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Administrator\Desktop\A NEW START\Excel projects\Loan Portfolio Risk &amp; Performance Analysis\"/>
    </mc:Choice>
  </mc:AlternateContent>
  <xr:revisionPtr revIDLastSave="0" documentId="13_ncr:1_{D4C7E90E-EE93-47F1-92FC-BFF96E9D8CFB}" xr6:coauthVersionLast="47" xr6:coauthVersionMax="47" xr10:uidLastSave="{00000000-0000-0000-0000-000000000000}"/>
  <bookViews>
    <workbookView xWindow="-110" yWindow="-110" windowWidth="19420" windowHeight="10300" firstSheet="5" activeTab="6" xr2:uid="{5D528F2F-824C-4C7C-A8C3-CDC49E9E3D1A}"/>
  </bookViews>
  <sheets>
    <sheet name="Project_Overview" sheetId="2" r:id="rId1"/>
    <sheet name="Data_Model" sheetId="1" r:id="rId2"/>
    <sheet name="Customers" sheetId="3" r:id="rId3"/>
    <sheet name="Branches" sheetId="4" r:id="rId4"/>
    <sheet name="Rate_Table" sheetId="5" r:id="rId5"/>
    <sheet name="Risk_Thresholds" sheetId="6" r:id="rId6"/>
    <sheet name="Loans_Data" sheetId="7" r:id="rId7"/>
    <sheet name="Portfolio_KPIs" sheetId="8" r:id="rId8"/>
    <sheet name="Executive_Dashboard" sheetId="9" r:id="rId9"/>
  </sheets>
  <definedNames>
    <definedName name="Slicer_BranchName">#N/A</definedName>
    <definedName name="Slicer_LoanType">#N/A</definedName>
  </definedNames>
  <calcPr calcId="191029"/>
  <pivotCaches>
    <pivotCache cacheId="0" r:id="rId10"/>
  </pivotCaches>
  <extLst>
    <ext xmlns:x14="http://schemas.microsoft.com/office/spreadsheetml/2009/9/main" uri="{BBE1A952-AA13-448e-AADC-164F8A28A991}">
      <x14:slicerCaches>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 i="7" l="1"/>
  <c r="A37" i="8" l="1" a="1"/>
  <c r="E46" i="8" s="1"/>
  <c r="B31" i="8"/>
  <c r="B29" i="8"/>
  <c r="B30" i="8"/>
  <c r="B28" i="8"/>
  <c r="G11" i="8"/>
  <c r="G12" i="8"/>
  <c r="G13" i="8"/>
  <c r="G14" i="8"/>
  <c r="G15" i="8"/>
  <c r="G16" i="8"/>
  <c r="G17" i="8"/>
  <c r="G18" i="8"/>
  <c r="G19" i="8"/>
  <c r="G20" i="8"/>
  <c r="G21" i="8"/>
  <c r="G22" i="8"/>
  <c r="G23" i="8"/>
  <c r="G24" i="8"/>
  <c r="G10" i="8"/>
  <c r="K4" i="9"/>
  <c r="F4" i="9"/>
  <c r="A4" i="9"/>
  <c r="D10" i="8"/>
  <c r="D13" i="8"/>
  <c r="D11" i="8"/>
  <c r="D12" i="8"/>
  <c r="D14" i="8"/>
  <c r="D15" i="8"/>
  <c r="D16" i="8"/>
  <c r="D17" i="8"/>
  <c r="D18" i="8"/>
  <c r="D19" i="8"/>
  <c r="D20" i="8"/>
  <c r="D21" i="8"/>
  <c r="D22" i="8"/>
  <c r="D23" i="8"/>
  <c r="D24" i="8"/>
  <c r="C11" i="8"/>
  <c r="C12" i="8"/>
  <c r="C13" i="8"/>
  <c r="C14" i="8"/>
  <c r="C15" i="8"/>
  <c r="C16" i="8"/>
  <c r="C17" i="8"/>
  <c r="C18" i="8"/>
  <c r="C19" i="8"/>
  <c r="C20" i="8"/>
  <c r="C21" i="8"/>
  <c r="C22" i="8"/>
  <c r="C23" i="8"/>
  <c r="C24" i="8"/>
  <c r="C10" i="8"/>
  <c r="P2" i="7"/>
  <c r="P3"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123" i="7"/>
  <c r="P124" i="7"/>
  <c r="P125" i="7"/>
  <c r="P126" i="7"/>
  <c r="P127" i="7"/>
  <c r="P128" i="7"/>
  <c r="P129" i="7"/>
  <c r="P130" i="7"/>
  <c r="P131" i="7"/>
  <c r="P132" i="7"/>
  <c r="P133" i="7"/>
  <c r="P134" i="7"/>
  <c r="P135" i="7"/>
  <c r="P136" i="7"/>
  <c r="P137" i="7"/>
  <c r="P138" i="7"/>
  <c r="P139" i="7"/>
  <c r="P140" i="7"/>
  <c r="P141" i="7"/>
  <c r="P142" i="7"/>
  <c r="P143" i="7"/>
  <c r="P144" i="7"/>
  <c r="P145" i="7"/>
  <c r="P146" i="7"/>
  <c r="P147" i="7"/>
  <c r="P148" i="7"/>
  <c r="P149" i="7"/>
  <c r="P150" i="7"/>
  <c r="P151" i="7"/>
  <c r="P152" i="7"/>
  <c r="P153" i="7"/>
  <c r="P154" i="7"/>
  <c r="P155" i="7"/>
  <c r="P156" i="7"/>
  <c r="P157" i="7"/>
  <c r="P158" i="7"/>
  <c r="P159" i="7"/>
  <c r="P160" i="7"/>
  <c r="P161" i="7"/>
  <c r="P162" i="7"/>
  <c r="P163" i="7"/>
  <c r="P164" i="7"/>
  <c r="P165" i="7"/>
  <c r="P166" i="7"/>
  <c r="P167" i="7"/>
  <c r="P168" i="7"/>
  <c r="P169" i="7"/>
  <c r="P170" i="7"/>
  <c r="P171" i="7"/>
  <c r="P172" i="7"/>
  <c r="P173" i="7"/>
  <c r="P174" i="7"/>
  <c r="P175" i="7"/>
  <c r="P176" i="7"/>
  <c r="P177" i="7"/>
  <c r="P178" i="7"/>
  <c r="P179" i="7"/>
  <c r="P180" i="7"/>
  <c r="P181" i="7"/>
  <c r="P182" i="7"/>
  <c r="P183" i="7"/>
  <c r="P184" i="7"/>
  <c r="P185" i="7"/>
  <c r="P186" i="7"/>
  <c r="P187" i="7"/>
  <c r="P188" i="7"/>
  <c r="P189" i="7"/>
  <c r="P190" i="7"/>
  <c r="P191" i="7"/>
  <c r="P192" i="7"/>
  <c r="P193" i="7"/>
  <c r="P194" i="7"/>
  <c r="P195" i="7"/>
  <c r="P196" i="7"/>
  <c r="P197" i="7"/>
  <c r="P198" i="7"/>
  <c r="P199" i="7"/>
  <c r="P200" i="7"/>
  <c r="P201" i="7"/>
  <c r="P202" i="7"/>
  <c r="P203" i="7"/>
  <c r="P204" i="7"/>
  <c r="P205" i="7"/>
  <c r="P206" i="7"/>
  <c r="P207" i="7"/>
  <c r="P208" i="7"/>
  <c r="P209" i="7"/>
  <c r="P210" i="7"/>
  <c r="P211" i="7"/>
  <c r="P212" i="7"/>
  <c r="P213" i="7"/>
  <c r="P214" i="7"/>
  <c r="P215" i="7"/>
  <c r="P216" i="7"/>
  <c r="P217" i="7"/>
  <c r="P218" i="7"/>
  <c r="P219" i="7"/>
  <c r="P220" i="7"/>
  <c r="P221" i="7"/>
  <c r="P222" i="7"/>
  <c r="P223" i="7"/>
  <c r="P224" i="7"/>
  <c r="P225" i="7"/>
  <c r="P226" i="7"/>
  <c r="P227" i="7"/>
  <c r="P228" i="7"/>
  <c r="P229" i="7"/>
  <c r="P230" i="7"/>
  <c r="P231" i="7"/>
  <c r="P232" i="7"/>
  <c r="P233" i="7"/>
  <c r="P234" i="7"/>
  <c r="P235" i="7"/>
  <c r="P236" i="7"/>
  <c r="P237" i="7"/>
  <c r="P238" i="7"/>
  <c r="P239" i="7"/>
  <c r="P240" i="7"/>
  <c r="P241" i="7"/>
  <c r="P242" i="7"/>
  <c r="P243" i="7"/>
  <c r="P244" i="7"/>
  <c r="P245" i="7"/>
  <c r="P246" i="7"/>
  <c r="P247" i="7"/>
  <c r="P248" i="7"/>
  <c r="P249" i="7"/>
  <c r="P250" i="7"/>
  <c r="P251" i="7"/>
  <c r="P252" i="7"/>
  <c r="P253" i="7"/>
  <c r="P254" i="7"/>
  <c r="P255" i="7"/>
  <c r="P256" i="7"/>
  <c r="P257" i="7"/>
  <c r="P258" i="7"/>
  <c r="P259" i="7"/>
  <c r="P260" i="7"/>
  <c r="P261" i="7"/>
  <c r="P262" i="7"/>
  <c r="P263" i="7"/>
  <c r="P264" i="7"/>
  <c r="P265" i="7"/>
  <c r="P266" i="7"/>
  <c r="P267" i="7"/>
  <c r="P268" i="7"/>
  <c r="P269" i="7"/>
  <c r="P270" i="7"/>
  <c r="P271" i="7"/>
  <c r="P272" i="7"/>
  <c r="P273" i="7"/>
  <c r="P274" i="7"/>
  <c r="P275" i="7"/>
  <c r="P276" i="7"/>
  <c r="P277" i="7"/>
  <c r="P278" i="7"/>
  <c r="P279" i="7"/>
  <c r="P280" i="7"/>
  <c r="P281" i="7"/>
  <c r="P282" i="7"/>
  <c r="P283" i="7"/>
  <c r="P284" i="7"/>
  <c r="P285" i="7"/>
  <c r="P286" i="7"/>
  <c r="P287" i="7"/>
  <c r="P288" i="7"/>
  <c r="P289" i="7"/>
  <c r="P290" i="7"/>
  <c r="P291" i="7"/>
  <c r="P292" i="7"/>
  <c r="P293" i="7"/>
  <c r="P294" i="7"/>
  <c r="P295" i="7"/>
  <c r="P296" i="7"/>
  <c r="P297" i="7"/>
  <c r="P298" i="7"/>
  <c r="P299" i="7"/>
  <c r="P300" i="7"/>
  <c r="P301" i="7"/>
  <c r="P302" i="7"/>
  <c r="P303" i="7"/>
  <c r="P304" i="7"/>
  <c r="P305" i="7"/>
  <c r="P306" i="7"/>
  <c r="P307" i="7"/>
  <c r="P308" i="7"/>
  <c r="P309" i="7"/>
  <c r="P310" i="7"/>
  <c r="P311" i="7"/>
  <c r="P312" i="7"/>
  <c r="P313" i="7"/>
  <c r="P314" i="7"/>
  <c r="P315" i="7"/>
  <c r="P316" i="7"/>
  <c r="P317" i="7"/>
  <c r="P318" i="7"/>
  <c r="P319" i="7"/>
  <c r="P320" i="7"/>
  <c r="P321" i="7"/>
  <c r="P322" i="7"/>
  <c r="P323" i="7"/>
  <c r="P324" i="7"/>
  <c r="P325" i="7"/>
  <c r="P326" i="7"/>
  <c r="P327" i="7"/>
  <c r="P328" i="7"/>
  <c r="P329" i="7"/>
  <c r="P330" i="7"/>
  <c r="P331" i="7"/>
  <c r="P332" i="7"/>
  <c r="P333" i="7"/>
  <c r="P334" i="7"/>
  <c r="P335" i="7"/>
  <c r="P336" i="7"/>
  <c r="P337" i="7"/>
  <c r="P338" i="7"/>
  <c r="P339" i="7"/>
  <c r="P340" i="7"/>
  <c r="P341" i="7"/>
  <c r="P342" i="7"/>
  <c r="P343" i="7"/>
  <c r="P344" i="7"/>
  <c r="P345" i="7"/>
  <c r="P346" i="7"/>
  <c r="P347" i="7"/>
  <c r="P348" i="7"/>
  <c r="P349" i="7"/>
  <c r="P350" i="7"/>
  <c r="P351" i="7"/>
  <c r="P352" i="7"/>
  <c r="P353" i="7"/>
  <c r="P354" i="7"/>
  <c r="P355" i="7"/>
  <c r="P356" i="7"/>
  <c r="P357" i="7"/>
  <c r="P358" i="7"/>
  <c r="P359" i="7"/>
  <c r="P360" i="7"/>
  <c r="P361" i="7"/>
  <c r="P362" i="7"/>
  <c r="P363" i="7"/>
  <c r="P364" i="7"/>
  <c r="P365" i="7"/>
  <c r="P366" i="7"/>
  <c r="P367" i="7"/>
  <c r="P368" i="7"/>
  <c r="P369" i="7"/>
  <c r="P370" i="7"/>
  <c r="P371" i="7"/>
  <c r="P372" i="7"/>
  <c r="P373" i="7"/>
  <c r="P374" i="7"/>
  <c r="P375" i="7"/>
  <c r="P376" i="7"/>
  <c r="P377" i="7"/>
  <c r="P378" i="7"/>
  <c r="P379" i="7"/>
  <c r="P380" i="7"/>
  <c r="P381" i="7"/>
  <c r="P382" i="7"/>
  <c r="P383" i="7"/>
  <c r="P384" i="7"/>
  <c r="P385" i="7"/>
  <c r="P386" i="7"/>
  <c r="P387" i="7"/>
  <c r="P388" i="7"/>
  <c r="P389" i="7"/>
  <c r="P390" i="7"/>
  <c r="P391" i="7"/>
  <c r="P392" i="7"/>
  <c r="P393" i="7"/>
  <c r="P394" i="7"/>
  <c r="P395" i="7"/>
  <c r="P396" i="7"/>
  <c r="P397" i="7"/>
  <c r="P398" i="7"/>
  <c r="P399" i="7"/>
  <c r="P400" i="7"/>
  <c r="P401" i="7"/>
  <c r="P402" i="7"/>
  <c r="P403" i="7"/>
  <c r="P404" i="7"/>
  <c r="P405" i="7"/>
  <c r="P406" i="7"/>
  <c r="P407" i="7"/>
  <c r="P408" i="7"/>
  <c r="P409" i="7"/>
  <c r="P410" i="7"/>
  <c r="P411" i="7"/>
  <c r="P412" i="7"/>
  <c r="P413" i="7"/>
  <c r="P414" i="7"/>
  <c r="P415" i="7"/>
  <c r="P416" i="7"/>
  <c r="P417" i="7"/>
  <c r="P418" i="7"/>
  <c r="P419" i="7"/>
  <c r="P420" i="7"/>
  <c r="P421" i="7"/>
  <c r="P422" i="7"/>
  <c r="P423" i="7"/>
  <c r="P424" i="7"/>
  <c r="P425" i="7"/>
  <c r="P426" i="7"/>
  <c r="P427" i="7"/>
  <c r="P428" i="7"/>
  <c r="P429" i="7"/>
  <c r="P430" i="7"/>
  <c r="P431" i="7"/>
  <c r="P432" i="7"/>
  <c r="P433" i="7"/>
  <c r="P434" i="7"/>
  <c r="P435" i="7"/>
  <c r="P436" i="7"/>
  <c r="P437" i="7"/>
  <c r="P438" i="7"/>
  <c r="P439" i="7"/>
  <c r="P440" i="7"/>
  <c r="P441" i="7"/>
  <c r="P442" i="7"/>
  <c r="P443" i="7"/>
  <c r="P444" i="7"/>
  <c r="P445" i="7"/>
  <c r="P446" i="7"/>
  <c r="P447" i="7"/>
  <c r="P448" i="7"/>
  <c r="P449" i="7"/>
  <c r="P450" i="7"/>
  <c r="P451" i="7"/>
  <c r="P452" i="7"/>
  <c r="P453" i="7"/>
  <c r="P454" i="7"/>
  <c r="P455" i="7"/>
  <c r="P456" i="7"/>
  <c r="P457" i="7"/>
  <c r="P458" i="7"/>
  <c r="P459" i="7"/>
  <c r="P460" i="7"/>
  <c r="P461" i="7"/>
  <c r="P462" i="7"/>
  <c r="P463" i="7"/>
  <c r="P464" i="7"/>
  <c r="P465" i="7"/>
  <c r="P466" i="7"/>
  <c r="P467" i="7"/>
  <c r="P468" i="7"/>
  <c r="P469" i="7"/>
  <c r="P470" i="7"/>
  <c r="P471" i="7"/>
  <c r="P472" i="7"/>
  <c r="P473" i="7"/>
  <c r="P474" i="7"/>
  <c r="P475" i="7"/>
  <c r="P476" i="7"/>
  <c r="P477" i="7"/>
  <c r="P478" i="7"/>
  <c r="P479" i="7"/>
  <c r="P480" i="7"/>
  <c r="P481" i="7"/>
  <c r="P482" i="7"/>
  <c r="P483" i="7"/>
  <c r="P484" i="7"/>
  <c r="P485" i="7"/>
  <c r="P486" i="7"/>
  <c r="P487" i="7"/>
  <c r="P488" i="7"/>
  <c r="P489" i="7"/>
  <c r="P490" i="7"/>
  <c r="P491" i="7"/>
  <c r="P492" i="7"/>
  <c r="P493" i="7"/>
  <c r="P494" i="7"/>
  <c r="P495" i="7"/>
  <c r="P496" i="7"/>
  <c r="P497" i="7"/>
  <c r="P498" i="7"/>
  <c r="P499" i="7"/>
  <c r="P500" i="7"/>
  <c r="P501" i="7"/>
  <c r="P502" i="7"/>
  <c r="P503" i="7"/>
  <c r="P504" i="7"/>
  <c r="P505" i="7"/>
  <c r="P506" i="7"/>
  <c r="P507" i="7"/>
  <c r="P508" i="7"/>
  <c r="P509" i="7"/>
  <c r="P510" i="7"/>
  <c r="P511" i="7"/>
  <c r="P512" i="7"/>
  <c r="P513" i="7"/>
  <c r="P514" i="7"/>
  <c r="P515" i="7"/>
  <c r="P516" i="7"/>
  <c r="P517" i="7"/>
  <c r="P518" i="7"/>
  <c r="P519" i="7"/>
  <c r="P520" i="7"/>
  <c r="P521" i="7"/>
  <c r="P522" i="7"/>
  <c r="P523" i="7"/>
  <c r="P524" i="7"/>
  <c r="P525" i="7"/>
  <c r="P526" i="7"/>
  <c r="P527" i="7"/>
  <c r="P528" i="7"/>
  <c r="P529" i="7"/>
  <c r="P530" i="7"/>
  <c r="P531" i="7"/>
  <c r="P532" i="7"/>
  <c r="P533" i="7"/>
  <c r="P534" i="7"/>
  <c r="P535" i="7"/>
  <c r="P536" i="7"/>
  <c r="P537" i="7"/>
  <c r="P538" i="7"/>
  <c r="P539" i="7"/>
  <c r="P540" i="7"/>
  <c r="P541" i="7"/>
  <c r="P542" i="7"/>
  <c r="P543" i="7"/>
  <c r="P544" i="7"/>
  <c r="P545" i="7"/>
  <c r="P546" i="7"/>
  <c r="P547" i="7"/>
  <c r="P548" i="7"/>
  <c r="P549" i="7"/>
  <c r="P550" i="7"/>
  <c r="P551" i="7"/>
  <c r="P552" i="7"/>
  <c r="P553" i="7"/>
  <c r="P554" i="7"/>
  <c r="P555" i="7"/>
  <c r="P556" i="7"/>
  <c r="P557" i="7"/>
  <c r="P558" i="7"/>
  <c r="P559" i="7"/>
  <c r="P560" i="7"/>
  <c r="P561" i="7"/>
  <c r="P562" i="7"/>
  <c r="P563" i="7"/>
  <c r="P564" i="7"/>
  <c r="P565" i="7"/>
  <c r="P566" i="7"/>
  <c r="P567" i="7"/>
  <c r="P568" i="7"/>
  <c r="P569" i="7"/>
  <c r="P570" i="7"/>
  <c r="P571" i="7"/>
  <c r="P572" i="7"/>
  <c r="P573" i="7"/>
  <c r="P574" i="7"/>
  <c r="P575" i="7"/>
  <c r="P576" i="7"/>
  <c r="P577" i="7"/>
  <c r="P578" i="7"/>
  <c r="P579" i="7"/>
  <c r="P580" i="7"/>
  <c r="P581" i="7"/>
  <c r="P582" i="7"/>
  <c r="P583" i="7"/>
  <c r="P584" i="7"/>
  <c r="P585" i="7"/>
  <c r="P586" i="7"/>
  <c r="P587" i="7"/>
  <c r="P588" i="7"/>
  <c r="P589" i="7"/>
  <c r="P590" i="7"/>
  <c r="P591" i="7"/>
  <c r="P592" i="7"/>
  <c r="P593" i="7"/>
  <c r="P594" i="7"/>
  <c r="P595" i="7"/>
  <c r="P596" i="7"/>
  <c r="P597" i="7"/>
  <c r="P598" i="7"/>
  <c r="P599" i="7"/>
  <c r="P600" i="7"/>
  <c r="P601" i="7"/>
  <c r="P602" i="7"/>
  <c r="P603" i="7"/>
  <c r="P604" i="7"/>
  <c r="P605" i="7"/>
  <c r="P606" i="7"/>
  <c r="P607" i="7"/>
  <c r="P608" i="7"/>
  <c r="P609" i="7"/>
  <c r="P610" i="7"/>
  <c r="P611" i="7"/>
  <c r="P612" i="7"/>
  <c r="P613" i="7"/>
  <c r="P614" i="7"/>
  <c r="P615" i="7"/>
  <c r="P616" i="7"/>
  <c r="P617" i="7"/>
  <c r="P618" i="7"/>
  <c r="P619" i="7"/>
  <c r="P620" i="7"/>
  <c r="P621" i="7"/>
  <c r="P622" i="7"/>
  <c r="P623" i="7"/>
  <c r="P624" i="7"/>
  <c r="P625" i="7"/>
  <c r="P626" i="7"/>
  <c r="P627" i="7"/>
  <c r="P628" i="7"/>
  <c r="P629" i="7"/>
  <c r="P630" i="7"/>
  <c r="P631" i="7"/>
  <c r="P632" i="7"/>
  <c r="P633" i="7"/>
  <c r="P634" i="7"/>
  <c r="P635" i="7"/>
  <c r="P636" i="7"/>
  <c r="P637" i="7"/>
  <c r="P638" i="7"/>
  <c r="P639" i="7"/>
  <c r="P640" i="7"/>
  <c r="P641" i="7"/>
  <c r="P642" i="7"/>
  <c r="P643" i="7"/>
  <c r="P644" i="7"/>
  <c r="P645" i="7"/>
  <c r="P646" i="7"/>
  <c r="P647" i="7"/>
  <c r="P648" i="7"/>
  <c r="P649" i="7"/>
  <c r="P650" i="7"/>
  <c r="P651" i="7"/>
  <c r="P652" i="7"/>
  <c r="P653" i="7"/>
  <c r="P654" i="7"/>
  <c r="P655" i="7"/>
  <c r="P656" i="7"/>
  <c r="P657" i="7"/>
  <c r="P658" i="7"/>
  <c r="P659" i="7"/>
  <c r="P660" i="7"/>
  <c r="P661" i="7"/>
  <c r="P662" i="7"/>
  <c r="P663" i="7"/>
  <c r="P664" i="7"/>
  <c r="P665" i="7"/>
  <c r="P666" i="7"/>
  <c r="P667" i="7"/>
  <c r="P668" i="7"/>
  <c r="P669" i="7"/>
  <c r="P670" i="7"/>
  <c r="P671" i="7"/>
  <c r="P672" i="7"/>
  <c r="P673" i="7"/>
  <c r="P674" i="7"/>
  <c r="P675" i="7"/>
  <c r="P676" i="7"/>
  <c r="P677" i="7"/>
  <c r="P678" i="7"/>
  <c r="P679" i="7"/>
  <c r="P680" i="7"/>
  <c r="P681" i="7"/>
  <c r="P682" i="7"/>
  <c r="P683" i="7"/>
  <c r="P684" i="7"/>
  <c r="P685" i="7"/>
  <c r="P686" i="7"/>
  <c r="P687" i="7"/>
  <c r="P688" i="7"/>
  <c r="P689" i="7"/>
  <c r="P690" i="7"/>
  <c r="P691" i="7"/>
  <c r="P692" i="7"/>
  <c r="P693" i="7"/>
  <c r="P694" i="7"/>
  <c r="P695" i="7"/>
  <c r="P696" i="7"/>
  <c r="P697" i="7"/>
  <c r="P698" i="7"/>
  <c r="P699" i="7"/>
  <c r="P700" i="7"/>
  <c r="P701" i="7"/>
  <c r="P702" i="7"/>
  <c r="P703" i="7"/>
  <c r="P704" i="7"/>
  <c r="P705" i="7"/>
  <c r="P706" i="7"/>
  <c r="P707" i="7"/>
  <c r="P708" i="7"/>
  <c r="P709" i="7"/>
  <c r="P710" i="7"/>
  <c r="P711" i="7"/>
  <c r="P712" i="7"/>
  <c r="P713" i="7"/>
  <c r="P714" i="7"/>
  <c r="P715" i="7"/>
  <c r="P716" i="7"/>
  <c r="P717" i="7"/>
  <c r="P718" i="7"/>
  <c r="P719" i="7"/>
  <c r="P720" i="7"/>
  <c r="P721" i="7"/>
  <c r="P722" i="7"/>
  <c r="P723" i="7"/>
  <c r="P724" i="7"/>
  <c r="P725" i="7"/>
  <c r="P726" i="7"/>
  <c r="P727" i="7"/>
  <c r="P728" i="7"/>
  <c r="P729" i="7"/>
  <c r="P730" i="7"/>
  <c r="P731" i="7"/>
  <c r="P732" i="7"/>
  <c r="P733" i="7"/>
  <c r="P734" i="7"/>
  <c r="P735" i="7"/>
  <c r="P736" i="7"/>
  <c r="P737" i="7"/>
  <c r="P738" i="7"/>
  <c r="P739" i="7"/>
  <c r="P740" i="7"/>
  <c r="P741" i="7"/>
  <c r="P742" i="7"/>
  <c r="P743" i="7"/>
  <c r="P744" i="7"/>
  <c r="P745" i="7"/>
  <c r="P746" i="7"/>
  <c r="P747" i="7"/>
  <c r="P748" i="7"/>
  <c r="P749" i="7"/>
  <c r="P750" i="7"/>
  <c r="P751" i="7"/>
  <c r="P752" i="7"/>
  <c r="P753" i="7"/>
  <c r="P754" i="7"/>
  <c r="P755" i="7"/>
  <c r="P756" i="7"/>
  <c r="P757" i="7"/>
  <c r="P758" i="7"/>
  <c r="P759" i="7"/>
  <c r="P760" i="7"/>
  <c r="P761" i="7"/>
  <c r="P762" i="7"/>
  <c r="P763" i="7"/>
  <c r="P764" i="7"/>
  <c r="P765" i="7"/>
  <c r="P766" i="7"/>
  <c r="P767" i="7"/>
  <c r="P768" i="7"/>
  <c r="P769" i="7"/>
  <c r="P770" i="7"/>
  <c r="P771" i="7"/>
  <c r="P772" i="7"/>
  <c r="P773" i="7"/>
  <c r="P774" i="7"/>
  <c r="P775" i="7"/>
  <c r="P776" i="7"/>
  <c r="P777" i="7"/>
  <c r="P778" i="7"/>
  <c r="P779" i="7"/>
  <c r="P780" i="7"/>
  <c r="P781" i="7"/>
  <c r="P782" i="7"/>
  <c r="P783" i="7"/>
  <c r="P784" i="7"/>
  <c r="P785" i="7"/>
  <c r="P786" i="7"/>
  <c r="P787" i="7"/>
  <c r="P788" i="7"/>
  <c r="P789" i="7"/>
  <c r="P790" i="7"/>
  <c r="P791" i="7"/>
  <c r="P792" i="7"/>
  <c r="P793" i="7"/>
  <c r="P794" i="7"/>
  <c r="P795" i="7"/>
  <c r="P796" i="7"/>
  <c r="P797" i="7"/>
  <c r="P798" i="7"/>
  <c r="P799" i="7"/>
  <c r="P800" i="7"/>
  <c r="P801" i="7"/>
  <c r="P802" i="7"/>
  <c r="P803" i="7"/>
  <c r="P804" i="7"/>
  <c r="P805" i="7"/>
  <c r="P806" i="7"/>
  <c r="P807" i="7"/>
  <c r="P808" i="7"/>
  <c r="P809" i="7"/>
  <c r="P810" i="7"/>
  <c r="P811" i="7"/>
  <c r="P812" i="7"/>
  <c r="P813" i="7"/>
  <c r="P814" i="7"/>
  <c r="P815" i="7"/>
  <c r="P816" i="7"/>
  <c r="P817" i="7"/>
  <c r="P818" i="7"/>
  <c r="P819" i="7"/>
  <c r="P820" i="7"/>
  <c r="P821" i="7"/>
  <c r="P822" i="7"/>
  <c r="P823" i="7"/>
  <c r="P824" i="7"/>
  <c r="P825" i="7"/>
  <c r="P826" i="7"/>
  <c r="P827" i="7"/>
  <c r="P828" i="7"/>
  <c r="P829" i="7"/>
  <c r="P830" i="7"/>
  <c r="P831" i="7"/>
  <c r="P832" i="7"/>
  <c r="P833" i="7"/>
  <c r="P834" i="7"/>
  <c r="P835" i="7"/>
  <c r="P836" i="7"/>
  <c r="P837" i="7"/>
  <c r="P838" i="7"/>
  <c r="P839" i="7"/>
  <c r="P840" i="7"/>
  <c r="P841" i="7"/>
  <c r="P842" i="7"/>
  <c r="P843" i="7"/>
  <c r="P844" i="7"/>
  <c r="P845" i="7"/>
  <c r="P846" i="7"/>
  <c r="P847" i="7"/>
  <c r="P848" i="7"/>
  <c r="P849" i="7"/>
  <c r="P850" i="7"/>
  <c r="P851" i="7"/>
  <c r="P852" i="7"/>
  <c r="P853" i="7"/>
  <c r="P854" i="7"/>
  <c r="P855" i="7"/>
  <c r="P856" i="7"/>
  <c r="P857" i="7"/>
  <c r="P858" i="7"/>
  <c r="P859" i="7"/>
  <c r="P860" i="7"/>
  <c r="P861" i="7"/>
  <c r="P862" i="7"/>
  <c r="P863" i="7"/>
  <c r="P864" i="7"/>
  <c r="P865" i="7"/>
  <c r="P866" i="7"/>
  <c r="P867" i="7"/>
  <c r="P868" i="7"/>
  <c r="P869" i="7"/>
  <c r="P870" i="7"/>
  <c r="P871" i="7"/>
  <c r="P872" i="7"/>
  <c r="P873" i="7"/>
  <c r="P874" i="7"/>
  <c r="P875" i="7"/>
  <c r="P876" i="7"/>
  <c r="P877" i="7"/>
  <c r="P878" i="7"/>
  <c r="P879" i="7"/>
  <c r="P880" i="7"/>
  <c r="P881" i="7"/>
  <c r="P882" i="7"/>
  <c r="P883" i="7"/>
  <c r="P884" i="7"/>
  <c r="P885" i="7"/>
  <c r="P886" i="7"/>
  <c r="P887" i="7"/>
  <c r="P888" i="7"/>
  <c r="P889" i="7"/>
  <c r="P890" i="7"/>
  <c r="P891" i="7"/>
  <c r="P892" i="7"/>
  <c r="P893" i="7"/>
  <c r="P894" i="7"/>
  <c r="P895" i="7"/>
  <c r="P896" i="7"/>
  <c r="P897" i="7"/>
  <c r="P898" i="7"/>
  <c r="P899" i="7"/>
  <c r="P900" i="7"/>
  <c r="P901" i="7"/>
  <c r="P902" i="7"/>
  <c r="P903" i="7"/>
  <c r="P904" i="7"/>
  <c r="P905" i="7"/>
  <c r="P906" i="7"/>
  <c r="P907" i="7"/>
  <c r="P908" i="7"/>
  <c r="P909" i="7"/>
  <c r="P910" i="7"/>
  <c r="P911" i="7"/>
  <c r="P912" i="7"/>
  <c r="P913" i="7"/>
  <c r="P914" i="7"/>
  <c r="P915" i="7"/>
  <c r="P916" i="7"/>
  <c r="P917" i="7"/>
  <c r="P918" i="7"/>
  <c r="P919" i="7"/>
  <c r="P920" i="7"/>
  <c r="P921" i="7"/>
  <c r="P922" i="7"/>
  <c r="P923" i="7"/>
  <c r="P924" i="7"/>
  <c r="P925" i="7"/>
  <c r="P926" i="7"/>
  <c r="P927" i="7"/>
  <c r="P928" i="7"/>
  <c r="P929" i="7"/>
  <c r="P930" i="7"/>
  <c r="P931" i="7"/>
  <c r="P932" i="7"/>
  <c r="P933" i="7"/>
  <c r="P934" i="7"/>
  <c r="P935" i="7"/>
  <c r="P936" i="7"/>
  <c r="P937" i="7"/>
  <c r="P938" i="7"/>
  <c r="P939" i="7"/>
  <c r="P940" i="7"/>
  <c r="P941" i="7"/>
  <c r="P942" i="7"/>
  <c r="P943" i="7"/>
  <c r="P944" i="7"/>
  <c r="P945" i="7"/>
  <c r="P946" i="7"/>
  <c r="P947" i="7"/>
  <c r="P948" i="7"/>
  <c r="P949" i="7"/>
  <c r="P950" i="7"/>
  <c r="P951" i="7"/>
  <c r="P952" i="7"/>
  <c r="P953" i="7"/>
  <c r="P954" i="7"/>
  <c r="P955" i="7"/>
  <c r="P956" i="7"/>
  <c r="P957" i="7"/>
  <c r="P958" i="7"/>
  <c r="P959" i="7"/>
  <c r="P960" i="7"/>
  <c r="P961" i="7"/>
  <c r="P962" i="7"/>
  <c r="P963" i="7"/>
  <c r="P964" i="7"/>
  <c r="P965" i="7"/>
  <c r="P966" i="7"/>
  <c r="P967" i="7"/>
  <c r="P968" i="7"/>
  <c r="P969" i="7"/>
  <c r="P970" i="7"/>
  <c r="P971" i="7"/>
  <c r="P972" i="7"/>
  <c r="P973" i="7"/>
  <c r="P974" i="7"/>
  <c r="P975" i="7"/>
  <c r="P976" i="7"/>
  <c r="P977" i="7"/>
  <c r="P978" i="7"/>
  <c r="P979" i="7"/>
  <c r="P980" i="7"/>
  <c r="P981" i="7"/>
  <c r="P982" i="7"/>
  <c r="P983" i="7"/>
  <c r="P984" i="7"/>
  <c r="P985" i="7"/>
  <c r="P986" i="7"/>
  <c r="P987" i="7"/>
  <c r="P988" i="7"/>
  <c r="P989" i="7"/>
  <c r="P990" i="7"/>
  <c r="P991" i="7"/>
  <c r="P992" i="7"/>
  <c r="P993" i="7"/>
  <c r="P994" i="7"/>
  <c r="P995" i="7"/>
  <c r="P996" i="7"/>
  <c r="P997" i="7"/>
  <c r="P998" i="7"/>
  <c r="P999" i="7"/>
  <c r="P1000" i="7"/>
  <c r="P1001" i="7"/>
  <c r="P1002" i="7"/>
  <c r="P1003" i="7"/>
  <c r="P1004" i="7"/>
  <c r="P1005" i="7"/>
  <c r="P1006" i="7"/>
  <c r="P1007" i="7"/>
  <c r="P1008" i="7"/>
  <c r="P1009" i="7"/>
  <c r="P1010" i="7"/>
  <c r="P1011" i="7"/>
  <c r="P1012" i="7"/>
  <c r="P1013" i="7"/>
  <c r="P1014" i="7"/>
  <c r="P1015" i="7"/>
  <c r="P1016" i="7"/>
  <c r="P1017" i="7"/>
  <c r="P1018" i="7"/>
  <c r="P1019" i="7"/>
  <c r="P1020" i="7"/>
  <c r="P1021" i="7"/>
  <c r="P1022" i="7"/>
  <c r="P1023" i="7"/>
  <c r="P1024" i="7"/>
  <c r="P1025" i="7"/>
  <c r="P1026" i="7"/>
  <c r="P1027" i="7"/>
  <c r="P1028" i="7"/>
  <c r="P1029" i="7"/>
  <c r="P1030" i="7"/>
  <c r="P1031" i="7"/>
  <c r="P1032" i="7"/>
  <c r="P1033" i="7"/>
  <c r="P1034" i="7"/>
  <c r="P1035" i="7"/>
  <c r="P1036" i="7"/>
  <c r="P1037" i="7"/>
  <c r="P1038" i="7"/>
  <c r="P1039" i="7"/>
  <c r="P1040" i="7"/>
  <c r="P1041" i="7"/>
  <c r="P1042" i="7"/>
  <c r="P1043" i="7"/>
  <c r="P1044" i="7"/>
  <c r="P1045" i="7"/>
  <c r="P1046" i="7"/>
  <c r="P1047" i="7"/>
  <c r="P1048" i="7"/>
  <c r="P1049" i="7"/>
  <c r="P1050" i="7"/>
  <c r="P1051" i="7"/>
  <c r="P1052" i="7"/>
  <c r="P1053" i="7"/>
  <c r="P1054" i="7"/>
  <c r="P1055" i="7"/>
  <c r="P1056" i="7"/>
  <c r="P1057" i="7"/>
  <c r="P1058" i="7"/>
  <c r="P1059" i="7"/>
  <c r="P1060" i="7"/>
  <c r="P1061" i="7"/>
  <c r="P1062" i="7"/>
  <c r="P1063" i="7"/>
  <c r="P1064" i="7"/>
  <c r="P1065" i="7"/>
  <c r="P1066" i="7"/>
  <c r="P1067" i="7"/>
  <c r="P1068" i="7"/>
  <c r="P1069" i="7"/>
  <c r="P1070" i="7"/>
  <c r="P1071" i="7"/>
  <c r="P1072" i="7"/>
  <c r="P1073" i="7"/>
  <c r="P1074" i="7"/>
  <c r="P1075" i="7"/>
  <c r="P1076" i="7"/>
  <c r="P1077" i="7"/>
  <c r="P1078" i="7"/>
  <c r="P1079" i="7"/>
  <c r="P1080" i="7"/>
  <c r="P1081" i="7"/>
  <c r="P1082" i="7"/>
  <c r="P1083" i="7"/>
  <c r="P1084" i="7"/>
  <c r="P1085" i="7"/>
  <c r="P1086" i="7"/>
  <c r="P1087" i="7"/>
  <c r="P1088" i="7"/>
  <c r="P1089" i="7"/>
  <c r="P1090" i="7"/>
  <c r="P1091" i="7"/>
  <c r="P1092" i="7"/>
  <c r="P1093" i="7"/>
  <c r="P1094" i="7"/>
  <c r="P1095" i="7"/>
  <c r="P1096" i="7"/>
  <c r="P1097" i="7"/>
  <c r="P1098" i="7"/>
  <c r="P1099" i="7"/>
  <c r="P1100" i="7"/>
  <c r="P1101" i="7"/>
  <c r="P1102" i="7"/>
  <c r="P1103" i="7"/>
  <c r="P1104" i="7"/>
  <c r="P1105" i="7"/>
  <c r="P1106" i="7"/>
  <c r="P1107" i="7"/>
  <c r="P1108" i="7"/>
  <c r="P1109" i="7"/>
  <c r="P1110" i="7"/>
  <c r="P1111" i="7"/>
  <c r="P1112" i="7"/>
  <c r="P1113" i="7"/>
  <c r="P1114" i="7"/>
  <c r="P1115" i="7"/>
  <c r="P1116" i="7"/>
  <c r="P1117" i="7"/>
  <c r="P1118" i="7"/>
  <c r="P1119" i="7"/>
  <c r="P1120" i="7"/>
  <c r="P1121" i="7"/>
  <c r="P1122" i="7"/>
  <c r="P1123" i="7"/>
  <c r="P1124" i="7"/>
  <c r="P1125" i="7"/>
  <c r="P1126" i="7"/>
  <c r="P1127" i="7"/>
  <c r="P1128" i="7"/>
  <c r="P1129" i="7"/>
  <c r="P1130" i="7"/>
  <c r="P1131" i="7"/>
  <c r="P1132" i="7"/>
  <c r="P1133" i="7"/>
  <c r="P1134" i="7"/>
  <c r="P1135" i="7"/>
  <c r="P1136" i="7"/>
  <c r="P1137" i="7"/>
  <c r="P1138" i="7"/>
  <c r="P1139" i="7"/>
  <c r="P1140" i="7"/>
  <c r="P1141" i="7"/>
  <c r="P1142" i="7"/>
  <c r="P1143" i="7"/>
  <c r="P1144" i="7"/>
  <c r="P1145" i="7"/>
  <c r="P1146" i="7"/>
  <c r="P1147" i="7"/>
  <c r="P1148" i="7"/>
  <c r="P1149" i="7"/>
  <c r="P1150" i="7"/>
  <c r="P1151" i="7"/>
  <c r="P1152" i="7"/>
  <c r="P1153" i="7"/>
  <c r="P1154" i="7"/>
  <c r="P1155" i="7"/>
  <c r="P1156" i="7"/>
  <c r="P1157" i="7"/>
  <c r="P1158" i="7"/>
  <c r="P1159" i="7"/>
  <c r="P1160" i="7"/>
  <c r="P1161" i="7"/>
  <c r="P1162" i="7"/>
  <c r="P1163" i="7"/>
  <c r="P1164" i="7"/>
  <c r="P1165" i="7"/>
  <c r="P1166" i="7"/>
  <c r="P1167" i="7"/>
  <c r="P1168" i="7"/>
  <c r="P1169" i="7"/>
  <c r="P1170" i="7"/>
  <c r="P1171" i="7"/>
  <c r="P1172" i="7"/>
  <c r="P1173" i="7"/>
  <c r="P1174" i="7"/>
  <c r="P1175" i="7"/>
  <c r="P1176" i="7"/>
  <c r="P1177" i="7"/>
  <c r="P1178" i="7"/>
  <c r="P1179" i="7"/>
  <c r="P1180" i="7"/>
  <c r="P1181" i="7"/>
  <c r="P1182" i="7"/>
  <c r="P1183" i="7"/>
  <c r="P1184" i="7"/>
  <c r="P1185" i="7"/>
  <c r="P1186" i="7"/>
  <c r="P1187" i="7"/>
  <c r="P1188" i="7"/>
  <c r="P1189" i="7"/>
  <c r="P1190" i="7"/>
  <c r="P1191" i="7"/>
  <c r="P1192" i="7"/>
  <c r="P1193" i="7"/>
  <c r="P1194" i="7"/>
  <c r="P1195" i="7"/>
  <c r="P1196" i="7"/>
  <c r="P1197" i="7"/>
  <c r="P1198" i="7"/>
  <c r="P1199" i="7"/>
  <c r="P1200" i="7"/>
  <c r="P1201" i="7"/>
  <c r="P1202" i="7"/>
  <c r="P1203" i="7"/>
  <c r="P1204" i="7"/>
  <c r="P1205" i="7"/>
  <c r="P1206" i="7"/>
  <c r="P1207" i="7"/>
  <c r="P1208" i="7"/>
  <c r="P1209" i="7"/>
  <c r="P1210" i="7"/>
  <c r="P1211" i="7"/>
  <c r="P1212" i="7"/>
  <c r="P1213" i="7"/>
  <c r="P1214" i="7"/>
  <c r="P1215" i="7"/>
  <c r="P1216" i="7"/>
  <c r="P1217" i="7"/>
  <c r="P1218" i="7"/>
  <c r="P1219" i="7"/>
  <c r="P1220" i="7"/>
  <c r="P1221" i="7"/>
  <c r="P1222" i="7"/>
  <c r="P1223" i="7"/>
  <c r="P1224" i="7"/>
  <c r="P1225" i="7"/>
  <c r="P1226" i="7"/>
  <c r="P1227" i="7"/>
  <c r="P1228" i="7"/>
  <c r="P1229" i="7"/>
  <c r="P1230" i="7"/>
  <c r="P1231" i="7"/>
  <c r="P1232" i="7"/>
  <c r="P1233" i="7"/>
  <c r="P1234" i="7"/>
  <c r="P1235" i="7"/>
  <c r="P1236" i="7"/>
  <c r="P1237" i="7"/>
  <c r="P1238" i="7"/>
  <c r="P1239" i="7"/>
  <c r="P1240" i="7"/>
  <c r="P1241" i="7"/>
  <c r="P1242" i="7"/>
  <c r="P1243" i="7"/>
  <c r="P1244" i="7"/>
  <c r="P1245" i="7"/>
  <c r="P1246" i="7"/>
  <c r="P1247" i="7"/>
  <c r="P1248" i="7"/>
  <c r="P1249" i="7"/>
  <c r="P1250" i="7"/>
  <c r="P1251" i="7"/>
  <c r="P1252" i="7"/>
  <c r="P1253" i="7"/>
  <c r="P1254" i="7"/>
  <c r="P1255" i="7"/>
  <c r="P1256" i="7"/>
  <c r="P1257" i="7"/>
  <c r="P1258" i="7"/>
  <c r="P1259" i="7"/>
  <c r="P1260" i="7"/>
  <c r="P1261" i="7"/>
  <c r="P1262" i="7"/>
  <c r="P1263" i="7"/>
  <c r="P1264" i="7"/>
  <c r="P1265" i="7"/>
  <c r="P1266" i="7"/>
  <c r="P1267" i="7"/>
  <c r="P1268" i="7"/>
  <c r="P1269" i="7"/>
  <c r="P1270" i="7"/>
  <c r="P1271" i="7"/>
  <c r="P1272" i="7"/>
  <c r="P1273" i="7"/>
  <c r="P1274" i="7"/>
  <c r="P1275" i="7"/>
  <c r="P1276" i="7"/>
  <c r="P1277" i="7"/>
  <c r="P1278" i="7"/>
  <c r="P1279" i="7"/>
  <c r="P1280" i="7"/>
  <c r="P1281" i="7"/>
  <c r="P1282" i="7"/>
  <c r="P1283" i="7"/>
  <c r="P1284" i="7"/>
  <c r="P1285" i="7"/>
  <c r="P1286" i="7"/>
  <c r="P1287" i="7"/>
  <c r="P1288" i="7"/>
  <c r="P1289" i="7"/>
  <c r="P1290" i="7"/>
  <c r="P1291" i="7"/>
  <c r="P1292" i="7"/>
  <c r="P1293" i="7"/>
  <c r="P1294" i="7"/>
  <c r="P1295" i="7"/>
  <c r="P1296" i="7"/>
  <c r="P1297" i="7"/>
  <c r="P1298" i="7"/>
  <c r="P1299" i="7"/>
  <c r="P1300" i="7"/>
  <c r="P1301" i="7"/>
  <c r="P1302" i="7"/>
  <c r="P1303" i="7"/>
  <c r="P1304" i="7"/>
  <c r="P1305" i="7"/>
  <c r="P1306" i="7"/>
  <c r="P1307" i="7"/>
  <c r="P1308" i="7"/>
  <c r="P1309" i="7"/>
  <c r="P1310" i="7"/>
  <c r="P1311" i="7"/>
  <c r="P1312" i="7"/>
  <c r="P1313" i="7"/>
  <c r="P1314" i="7"/>
  <c r="P1315" i="7"/>
  <c r="P1316" i="7"/>
  <c r="P1317" i="7"/>
  <c r="P1318" i="7"/>
  <c r="P1319" i="7"/>
  <c r="P1320" i="7"/>
  <c r="P1321" i="7"/>
  <c r="P1322" i="7"/>
  <c r="P1323" i="7"/>
  <c r="P1324" i="7"/>
  <c r="P1325" i="7"/>
  <c r="P1326" i="7"/>
  <c r="P1327" i="7"/>
  <c r="P1328" i="7"/>
  <c r="P1329" i="7"/>
  <c r="P1330" i="7"/>
  <c r="P1331" i="7"/>
  <c r="P1332" i="7"/>
  <c r="P1333" i="7"/>
  <c r="P1334" i="7"/>
  <c r="P1335" i="7"/>
  <c r="P1336" i="7"/>
  <c r="P1337" i="7"/>
  <c r="P1338" i="7"/>
  <c r="P1339" i="7"/>
  <c r="P1340" i="7"/>
  <c r="P1341" i="7"/>
  <c r="P1342" i="7"/>
  <c r="P1343" i="7"/>
  <c r="P1344" i="7"/>
  <c r="P1345" i="7"/>
  <c r="P1346" i="7"/>
  <c r="P1347" i="7"/>
  <c r="P1348" i="7"/>
  <c r="P1349" i="7"/>
  <c r="P1350" i="7"/>
  <c r="P1351" i="7"/>
  <c r="P1352" i="7"/>
  <c r="P1353" i="7"/>
  <c r="P1354" i="7"/>
  <c r="P1355" i="7"/>
  <c r="P1356" i="7"/>
  <c r="P1357" i="7"/>
  <c r="P1358" i="7"/>
  <c r="P1359" i="7"/>
  <c r="P1360" i="7"/>
  <c r="P1361" i="7"/>
  <c r="P1362" i="7"/>
  <c r="P1363" i="7"/>
  <c r="P1364" i="7"/>
  <c r="P1365" i="7"/>
  <c r="P1366" i="7"/>
  <c r="P1367" i="7"/>
  <c r="P1368" i="7"/>
  <c r="P1369" i="7"/>
  <c r="P1370" i="7"/>
  <c r="P1371" i="7"/>
  <c r="P1372" i="7"/>
  <c r="P1373" i="7"/>
  <c r="P1374" i="7"/>
  <c r="P1375" i="7"/>
  <c r="P1376" i="7"/>
  <c r="P1377" i="7"/>
  <c r="P1378" i="7"/>
  <c r="P1379" i="7"/>
  <c r="P1380" i="7"/>
  <c r="P1381" i="7"/>
  <c r="P1382" i="7"/>
  <c r="P1383" i="7"/>
  <c r="P1384" i="7"/>
  <c r="P1385" i="7"/>
  <c r="P1386" i="7"/>
  <c r="P1387" i="7"/>
  <c r="P1388" i="7"/>
  <c r="P1389" i="7"/>
  <c r="P1390" i="7"/>
  <c r="P1391" i="7"/>
  <c r="P1392" i="7"/>
  <c r="P1393" i="7"/>
  <c r="P1394" i="7"/>
  <c r="P1395" i="7"/>
  <c r="P1396" i="7"/>
  <c r="P1397" i="7"/>
  <c r="P1398" i="7"/>
  <c r="P1399" i="7"/>
  <c r="P1400" i="7"/>
  <c r="P1401" i="7"/>
  <c r="P1402" i="7"/>
  <c r="P1403" i="7"/>
  <c r="P1404" i="7"/>
  <c r="P1405" i="7"/>
  <c r="P1406" i="7"/>
  <c r="P1407" i="7"/>
  <c r="P1408" i="7"/>
  <c r="P1409" i="7"/>
  <c r="P1410" i="7"/>
  <c r="P1411" i="7"/>
  <c r="P1412" i="7"/>
  <c r="P1413" i="7"/>
  <c r="P1414" i="7"/>
  <c r="P1415" i="7"/>
  <c r="P1416" i="7"/>
  <c r="P1417" i="7"/>
  <c r="P1418" i="7"/>
  <c r="P1419" i="7"/>
  <c r="P1420" i="7"/>
  <c r="P1421" i="7"/>
  <c r="P1422" i="7"/>
  <c r="P1423" i="7"/>
  <c r="P1424" i="7"/>
  <c r="P1425" i="7"/>
  <c r="P1426" i="7"/>
  <c r="P1427" i="7"/>
  <c r="P1428" i="7"/>
  <c r="P1429" i="7"/>
  <c r="P1430" i="7"/>
  <c r="P1431" i="7"/>
  <c r="P1432" i="7"/>
  <c r="P1433" i="7"/>
  <c r="P1434" i="7"/>
  <c r="P1435" i="7"/>
  <c r="P1436" i="7"/>
  <c r="P1437" i="7"/>
  <c r="P1438" i="7"/>
  <c r="P1439" i="7"/>
  <c r="P1440" i="7"/>
  <c r="P1441" i="7"/>
  <c r="P1442" i="7"/>
  <c r="P1443" i="7"/>
  <c r="P1444" i="7"/>
  <c r="P1445" i="7"/>
  <c r="P1446" i="7"/>
  <c r="P1447" i="7"/>
  <c r="P1448" i="7"/>
  <c r="P1449" i="7"/>
  <c r="P1450" i="7"/>
  <c r="P1451" i="7"/>
  <c r="P1452" i="7"/>
  <c r="P1453" i="7"/>
  <c r="P1454" i="7"/>
  <c r="P1455" i="7"/>
  <c r="P1456" i="7"/>
  <c r="P1457" i="7"/>
  <c r="P1458" i="7"/>
  <c r="P1459" i="7"/>
  <c r="P1460" i="7"/>
  <c r="P1461" i="7"/>
  <c r="P1462" i="7"/>
  <c r="P1463" i="7"/>
  <c r="P1464" i="7"/>
  <c r="P1465" i="7"/>
  <c r="P1466" i="7"/>
  <c r="P1467" i="7"/>
  <c r="P1468" i="7"/>
  <c r="P1469" i="7"/>
  <c r="P1470" i="7"/>
  <c r="P1471" i="7"/>
  <c r="P1472" i="7"/>
  <c r="P1473" i="7"/>
  <c r="P1474" i="7"/>
  <c r="P1475" i="7"/>
  <c r="P1476" i="7"/>
  <c r="P1477" i="7"/>
  <c r="P1478" i="7"/>
  <c r="P1479" i="7"/>
  <c r="P1480" i="7"/>
  <c r="P1481" i="7"/>
  <c r="P1482" i="7"/>
  <c r="P1483" i="7"/>
  <c r="P1484" i="7"/>
  <c r="P1485" i="7"/>
  <c r="P1486" i="7"/>
  <c r="P1487" i="7"/>
  <c r="P1488" i="7"/>
  <c r="P1489" i="7"/>
  <c r="P1490" i="7"/>
  <c r="P1491" i="7"/>
  <c r="P1492" i="7"/>
  <c r="P1493" i="7"/>
  <c r="P1494" i="7"/>
  <c r="P1495" i="7"/>
  <c r="P1496" i="7"/>
  <c r="P1497" i="7"/>
  <c r="P1498" i="7"/>
  <c r="P1499" i="7"/>
  <c r="P1500" i="7"/>
  <c r="P1501" i="7"/>
  <c r="P1502" i="7"/>
  <c r="P1503" i="7"/>
  <c r="P1504" i="7"/>
  <c r="P1505" i="7"/>
  <c r="P1506" i="7"/>
  <c r="P1507" i="7"/>
  <c r="P1508" i="7"/>
  <c r="P1509" i="7"/>
  <c r="P1510" i="7"/>
  <c r="P1511" i="7"/>
  <c r="P1512" i="7"/>
  <c r="P1513" i="7"/>
  <c r="P1514" i="7"/>
  <c r="P1515" i="7"/>
  <c r="P1516" i="7"/>
  <c r="P1517" i="7"/>
  <c r="P1518" i="7"/>
  <c r="P1519" i="7"/>
  <c r="P1520" i="7"/>
  <c r="P1521" i="7"/>
  <c r="P1522" i="7"/>
  <c r="P1523" i="7"/>
  <c r="P1524" i="7"/>
  <c r="P1525" i="7"/>
  <c r="P1526" i="7"/>
  <c r="P1527" i="7"/>
  <c r="P1528" i="7"/>
  <c r="P1529" i="7"/>
  <c r="P1530" i="7"/>
  <c r="P1531" i="7"/>
  <c r="P1532" i="7"/>
  <c r="P1533" i="7"/>
  <c r="P1534" i="7"/>
  <c r="P1535" i="7"/>
  <c r="P1536" i="7"/>
  <c r="P1537" i="7"/>
  <c r="P1538" i="7"/>
  <c r="P1539" i="7"/>
  <c r="P1540" i="7"/>
  <c r="P1541" i="7"/>
  <c r="P1542" i="7"/>
  <c r="P1543" i="7"/>
  <c r="P1544" i="7"/>
  <c r="P1545" i="7"/>
  <c r="P1546" i="7"/>
  <c r="P1547" i="7"/>
  <c r="P1548" i="7"/>
  <c r="P1549" i="7"/>
  <c r="P1550" i="7"/>
  <c r="P1551" i="7"/>
  <c r="P1552" i="7"/>
  <c r="P1553" i="7"/>
  <c r="P1554" i="7"/>
  <c r="P1555" i="7"/>
  <c r="P1556" i="7"/>
  <c r="P1557" i="7"/>
  <c r="P1558" i="7"/>
  <c r="P1559" i="7"/>
  <c r="P1560" i="7"/>
  <c r="P1561" i="7"/>
  <c r="P1562" i="7"/>
  <c r="P1563" i="7"/>
  <c r="P1564" i="7"/>
  <c r="P1565" i="7"/>
  <c r="P1566" i="7"/>
  <c r="P1567" i="7"/>
  <c r="P1568" i="7"/>
  <c r="P1569" i="7"/>
  <c r="P1570" i="7"/>
  <c r="P1571" i="7"/>
  <c r="P1572" i="7"/>
  <c r="P1573" i="7"/>
  <c r="P1574" i="7"/>
  <c r="P1575" i="7"/>
  <c r="P1576" i="7"/>
  <c r="P1577" i="7"/>
  <c r="P1578" i="7"/>
  <c r="P1579" i="7"/>
  <c r="P1580" i="7"/>
  <c r="P1581" i="7"/>
  <c r="P1582" i="7"/>
  <c r="P1583" i="7"/>
  <c r="P1584" i="7"/>
  <c r="P1585" i="7"/>
  <c r="P1586" i="7"/>
  <c r="P1587" i="7"/>
  <c r="P1588" i="7"/>
  <c r="P1589" i="7"/>
  <c r="P1590" i="7"/>
  <c r="P1591" i="7"/>
  <c r="P1592" i="7"/>
  <c r="P1593" i="7"/>
  <c r="P1594" i="7"/>
  <c r="P1595" i="7"/>
  <c r="P1596" i="7"/>
  <c r="P1597" i="7"/>
  <c r="P1598" i="7"/>
  <c r="P1599" i="7"/>
  <c r="P1600" i="7"/>
  <c r="P1601" i="7"/>
  <c r="P1602" i="7"/>
  <c r="P1603" i="7"/>
  <c r="P1604" i="7"/>
  <c r="P1605" i="7"/>
  <c r="P1606" i="7"/>
  <c r="P1607" i="7"/>
  <c r="P1608" i="7"/>
  <c r="P1609" i="7"/>
  <c r="P1610" i="7"/>
  <c r="P1611" i="7"/>
  <c r="P1612" i="7"/>
  <c r="P1613" i="7"/>
  <c r="P1614" i="7"/>
  <c r="P1615" i="7"/>
  <c r="P1616" i="7"/>
  <c r="P1617" i="7"/>
  <c r="P1618" i="7"/>
  <c r="P1619" i="7"/>
  <c r="P1620" i="7"/>
  <c r="P1621" i="7"/>
  <c r="P1622" i="7"/>
  <c r="P1623" i="7"/>
  <c r="P1624" i="7"/>
  <c r="P1625" i="7"/>
  <c r="P1626" i="7"/>
  <c r="P1627" i="7"/>
  <c r="P1628" i="7"/>
  <c r="P1629" i="7"/>
  <c r="P1630" i="7"/>
  <c r="P1631" i="7"/>
  <c r="P1632" i="7"/>
  <c r="P1633" i="7"/>
  <c r="P1634" i="7"/>
  <c r="P1635" i="7"/>
  <c r="P1636" i="7"/>
  <c r="P1637" i="7"/>
  <c r="P1638" i="7"/>
  <c r="P1639" i="7"/>
  <c r="P1640" i="7"/>
  <c r="P1641" i="7"/>
  <c r="P1642" i="7"/>
  <c r="P1643" i="7"/>
  <c r="P1644" i="7"/>
  <c r="P1645" i="7"/>
  <c r="P1646" i="7"/>
  <c r="P1647" i="7"/>
  <c r="P1648" i="7"/>
  <c r="P1649" i="7"/>
  <c r="P1650" i="7"/>
  <c r="P1651" i="7"/>
  <c r="P1652" i="7"/>
  <c r="P1653" i="7"/>
  <c r="P1654" i="7"/>
  <c r="P1655" i="7"/>
  <c r="P1656" i="7"/>
  <c r="P1657" i="7"/>
  <c r="P1658" i="7"/>
  <c r="P1659" i="7"/>
  <c r="P1660" i="7"/>
  <c r="P1661" i="7"/>
  <c r="P1662" i="7"/>
  <c r="P1663" i="7"/>
  <c r="P1664" i="7"/>
  <c r="P1665" i="7"/>
  <c r="P1666" i="7"/>
  <c r="P1667" i="7"/>
  <c r="P1668" i="7"/>
  <c r="P1669" i="7"/>
  <c r="P1670" i="7"/>
  <c r="P1671" i="7"/>
  <c r="P1672" i="7"/>
  <c r="P1673" i="7"/>
  <c r="P1674" i="7"/>
  <c r="P1675" i="7"/>
  <c r="P1676" i="7"/>
  <c r="P1677" i="7"/>
  <c r="P1678" i="7"/>
  <c r="P1679" i="7"/>
  <c r="P1680" i="7"/>
  <c r="P1681" i="7"/>
  <c r="P1682" i="7"/>
  <c r="P1683" i="7"/>
  <c r="P1684" i="7"/>
  <c r="P1685" i="7"/>
  <c r="P1686" i="7"/>
  <c r="P1687" i="7"/>
  <c r="P1688" i="7"/>
  <c r="P1689" i="7"/>
  <c r="P1690" i="7"/>
  <c r="P1691" i="7"/>
  <c r="P1692" i="7"/>
  <c r="P1693" i="7"/>
  <c r="P1694" i="7"/>
  <c r="P1695" i="7"/>
  <c r="P1696" i="7"/>
  <c r="P1697" i="7"/>
  <c r="P1698" i="7"/>
  <c r="P1699" i="7"/>
  <c r="P1700" i="7"/>
  <c r="P1701" i="7"/>
  <c r="P1702" i="7"/>
  <c r="P1703" i="7"/>
  <c r="P1704" i="7"/>
  <c r="P1705" i="7"/>
  <c r="P1706" i="7"/>
  <c r="P1707" i="7"/>
  <c r="P1708" i="7"/>
  <c r="P1709" i="7"/>
  <c r="P1710" i="7"/>
  <c r="P1711" i="7"/>
  <c r="P1712" i="7"/>
  <c r="P1713" i="7"/>
  <c r="P1714" i="7"/>
  <c r="P1715" i="7"/>
  <c r="P1716" i="7"/>
  <c r="P1717" i="7"/>
  <c r="P1718" i="7"/>
  <c r="P1719" i="7"/>
  <c r="P1720" i="7"/>
  <c r="P1721" i="7"/>
  <c r="P1722" i="7"/>
  <c r="P1723" i="7"/>
  <c r="P1724" i="7"/>
  <c r="P1725" i="7"/>
  <c r="P1726" i="7"/>
  <c r="P1727" i="7"/>
  <c r="P1728" i="7"/>
  <c r="P1729" i="7"/>
  <c r="P1730" i="7"/>
  <c r="P1731" i="7"/>
  <c r="P1732" i="7"/>
  <c r="P1733" i="7"/>
  <c r="P1734" i="7"/>
  <c r="P1735" i="7"/>
  <c r="P1736" i="7"/>
  <c r="P1737" i="7"/>
  <c r="P1738" i="7"/>
  <c r="P1739" i="7"/>
  <c r="P1740" i="7"/>
  <c r="P1741" i="7"/>
  <c r="P1742" i="7"/>
  <c r="P1743" i="7"/>
  <c r="P1744" i="7"/>
  <c r="P1745" i="7"/>
  <c r="P1746" i="7"/>
  <c r="P1747" i="7"/>
  <c r="P1748" i="7"/>
  <c r="P1749" i="7"/>
  <c r="P1750" i="7"/>
  <c r="P1751" i="7"/>
  <c r="P1752" i="7"/>
  <c r="P1753" i="7"/>
  <c r="P1754" i="7"/>
  <c r="P1755" i="7"/>
  <c r="P1756" i="7"/>
  <c r="P1757" i="7"/>
  <c r="P1758" i="7"/>
  <c r="P1759" i="7"/>
  <c r="P1760" i="7"/>
  <c r="P1761" i="7"/>
  <c r="P1762" i="7"/>
  <c r="P1763" i="7"/>
  <c r="P1764" i="7"/>
  <c r="P1765" i="7"/>
  <c r="P1766" i="7"/>
  <c r="P1767" i="7"/>
  <c r="P1768" i="7"/>
  <c r="P1769" i="7"/>
  <c r="P1770" i="7"/>
  <c r="P1771" i="7"/>
  <c r="P1772" i="7"/>
  <c r="P1773" i="7"/>
  <c r="P1774" i="7"/>
  <c r="P1775" i="7"/>
  <c r="P1776" i="7"/>
  <c r="P1777" i="7"/>
  <c r="P1778" i="7"/>
  <c r="P1779" i="7"/>
  <c r="P1780" i="7"/>
  <c r="P1781" i="7"/>
  <c r="P1782" i="7"/>
  <c r="P1783" i="7"/>
  <c r="P1784" i="7"/>
  <c r="P1785" i="7"/>
  <c r="P1786" i="7"/>
  <c r="P1787" i="7"/>
  <c r="P1788" i="7"/>
  <c r="P1789" i="7"/>
  <c r="P1790" i="7"/>
  <c r="P1791" i="7"/>
  <c r="P1792" i="7"/>
  <c r="P1793" i="7"/>
  <c r="P1794" i="7"/>
  <c r="P1795" i="7"/>
  <c r="P1796" i="7"/>
  <c r="P1797" i="7"/>
  <c r="P1798" i="7"/>
  <c r="P1799" i="7"/>
  <c r="P1800" i="7"/>
  <c r="P1801" i="7"/>
  <c r="P1802" i="7"/>
  <c r="P1803" i="7"/>
  <c r="P1804" i="7"/>
  <c r="P1805" i="7"/>
  <c r="P1806" i="7"/>
  <c r="P1807" i="7"/>
  <c r="P1808" i="7"/>
  <c r="P1809" i="7"/>
  <c r="P1810" i="7"/>
  <c r="P1811" i="7"/>
  <c r="P1812" i="7"/>
  <c r="P1813" i="7"/>
  <c r="P1814" i="7"/>
  <c r="P1815" i="7"/>
  <c r="P1816" i="7"/>
  <c r="P1817" i="7"/>
  <c r="P1818" i="7"/>
  <c r="P1819" i="7"/>
  <c r="P1820" i="7"/>
  <c r="P1821" i="7"/>
  <c r="P1822" i="7"/>
  <c r="P1823" i="7"/>
  <c r="P1824" i="7"/>
  <c r="P1825" i="7"/>
  <c r="P1826" i="7"/>
  <c r="P1827" i="7"/>
  <c r="P1828" i="7"/>
  <c r="P1829" i="7"/>
  <c r="P1830" i="7"/>
  <c r="P1831" i="7"/>
  <c r="P1832" i="7"/>
  <c r="P1833" i="7"/>
  <c r="P1834" i="7"/>
  <c r="P1835" i="7"/>
  <c r="P1836" i="7"/>
  <c r="P1837" i="7"/>
  <c r="P1838" i="7"/>
  <c r="P1839" i="7"/>
  <c r="P1840" i="7"/>
  <c r="P1841" i="7"/>
  <c r="P1842" i="7"/>
  <c r="P1843" i="7"/>
  <c r="P1844" i="7"/>
  <c r="P1845" i="7"/>
  <c r="P1846" i="7"/>
  <c r="P1847" i="7"/>
  <c r="P1848" i="7"/>
  <c r="P1849" i="7"/>
  <c r="P1850" i="7"/>
  <c r="P1851" i="7"/>
  <c r="P1852" i="7"/>
  <c r="P1853" i="7"/>
  <c r="P1854" i="7"/>
  <c r="P1855" i="7"/>
  <c r="P1856" i="7"/>
  <c r="P1857" i="7"/>
  <c r="P1858" i="7"/>
  <c r="P1859" i="7"/>
  <c r="P1860" i="7"/>
  <c r="P1861" i="7"/>
  <c r="P1862" i="7"/>
  <c r="P1863" i="7"/>
  <c r="P1864" i="7"/>
  <c r="P1865" i="7"/>
  <c r="P1866" i="7"/>
  <c r="P1867" i="7"/>
  <c r="P1868" i="7"/>
  <c r="P1869" i="7"/>
  <c r="P1870" i="7"/>
  <c r="P1871" i="7"/>
  <c r="P1872" i="7"/>
  <c r="P1873" i="7"/>
  <c r="P1874" i="7"/>
  <c r="P1875" i="7"/>
  <c r="P1876" i="7"/>
  <c r="P1877" i="7"/>
  <c r="P1878" i="7"/>
  <c r="P1879" i="7"/>
  <c r="P1880" i="7"/>
  <c r="P1881" i="7"/>
  <c r="P1882" i="7"/>
  <c r="P1883" i="7"/>
  <c r="P1884" i="7"/>
  <c r="P1885" i="7"/>
  <c r="P1886" i="7"/>
  <c r="P1887" i="7"/>
  <c r="P1888" i="7"/>
  <c r="P1889" i="7"/>
  <c r="P1890" i="7"/>
  <c r="P1891" i="7"/>
  <c r="P1892" i="7"/>
  <c r="P1893" i="7"/>
  <c r="P1894" i="7"/>
  <c r="P1895" i="7"/>
  <c r="P1896" i="7"/>
  <c r="P1897" i="7"/>
  <c r="P1898" i="7"/>
  <c r="P1899" i="7"/>
  <c r="P1900" i="7"/>
  <c r="P1901" i="7"/>
  <c r="P1902" i="7"/>
  <c r="P1903" i="7"/>
  <c r="P1904" i="7"/>
  <c r="P1905" i="7"/>
  <c r="P1906" i="7"/>
  <c r="P1907" i="7"/>
  <c r="P1908" i="7"/>
  <c r="P1909" i="7"/>
  <c r="P1910" i="7"/>
  <c r="P1911" i="7"/>
  <c r="P1912" i="7"/>
  <c r="P1913" i="7"/>
  <c r="P1914" i="7"/>
  <c r="P1915" i="7"/>
  <c r="P1916" i="7"/>
  <c r="P1917" i="7"/>
  <c r="P1918" i="7"/>
  <c r="P1919" i="7"/>
  <c r="P1920" i="7"/>
  <c r="P1921" i="7"/>
  <c r="P1922" i="7"/>
  <c r="P1923" i="7"/>
  <c r="P1924" i="7"/>
  <c r="P1925" i="7"/>
  <c r="P1926" i="7"/>
  <c r="P1927" i="7"/>
  <c r="P1928" i="7"/>
  <c r="P1929" i="7"/>
  <c r="P1930" i="7"/>
  <c r="P1931" i="7"/>
  <c r="P1932" i="7"/>
  <c r="P1933" i="7"/>
  <c r="P1934" i="7"/>
  <c r="P1935" i="7"/>
  <c r="P1936" i="7"/>
  <c r="P1937" i="7"/>
  <c r="P1938" i="7"/>
  <c r="P1939" i="7"/>
  <c r="P1940" i="7"/>
  <c r="P1941" i="7"/>
  <c r="P1942" i="7"/>
  <c r="P1943" i="7"/>
  <c r="P1944" i="7"/>
  <c r="P1945" i="7"/>
  <c r="P1946" i="7"/>
  <c r="P1947" i="7"/>
  <c r="P1948" i="7"/>
  <c r="P1949" i="7"/>
  <c r="P1950" i="7"/>
  <c r="P1951" i="7"/>
  <c r="P1952" i="7"/>
  <c r="P1953" i="7"/>
  <c r="P1954" i="7"/>
  <c r="P1955" i="7"/>
  <c r="P1956" i="7"/>
  <c r="P1957" i="7"/>
  <c r="P1958" i="7"/>
  <c r="P1959" i="7"/>
  <c r="P1960" i="7"/>
  <c r="P1961" i="7"/>
  <c r="P1962" i="7"/>
  <c r="P1963" i="7"/>
  <c r="P1964" i="7"/>
  <c r="P1965" i="7"/>
  <c r="P1966" i="7"/>
  <c r="P1967" i="7"/>
  <c r="P1968" i="7"/>
  <c r="P1969" i="7"/>
  <c r="P1970" i="7"/>
  <c r="P1971" i="7"/>
  <c r="P1972" i="7"/>
  <c r="P1973" i="7"/>
  <c r="P1974" i="7"/>
  <c r="P1975" i="7"/>
  <c r="P1976" i="7"/>
  <c r="P1977" i="7"/>
  <c r="P1978" i="7"/>
  <c r="P1979" i="7"/>
  <c r="P1980" i="7"/>
  <c r="P1981" i="7"/>
  <c r="P1982" i="7"/>
  <c r="P1983" i="7"/>
  <c r="P1984" i="7"/>
  <c r="P1985" i="7"/>
  <c r="P1986" i="7"/>
  <c r="P1987" i="7"/>
  <c r="P1988" i="7"/>
  <c r="P1989" i="7"/>
  <c r="P1990" i="7"/>
  <c r="P1991" i="7"/>
  <c r="P1992" i="7"/>
  <c r="P1993" i="7"/>
  <c r="P1994" i="7"/>
  <c r="P1995" i="7"/>
  <c r="P1996" i="7"/>
  <c r="P1997" i="7"/>
  <c r="P1998" i="7"/>
  <c r="P1999" i="7"/>
  <c r="P2000" i="7"/>
  <c r="P2001" i="7"/>
  <c r="B4" i="8"/>
  <c r="B3" i="8"/>
  <c r="B2" i="8"/>
  <c r="B1" i="8"/>
  <c r="M2" i="7"/>
  <c r="N2" i="7"/>
  <c r="O2" i="7" s="1"/>
  <c r="L3" i="7"/>
  <c r="M3" i="7"/>
  <c r="N3" i="7"/>
  <c r="O3" i="7" s="1"/>
  <c r="L4" i="7"/>
  <c r="M4" i="7"/>
  <c r="N4" i="7"/>
  <c r="O4" i="7" s="1"/>
  <c r="L5" i="7"/>
  <c r="M5" i="7"/>
  <c r="N5" i="7"/>
  <c r="O5" i="7" s="1"/>
  <c r="L6" i="7"/>
  <c r="M6" i="7"/>
  <c r="N6" i="7"/>
  <c r="O6" i="7" s="1"/>
  <c r="L7" i="7"/>
  <c r="M7" i="7"/>
  <c r="N7" i="7"/>
  <c r="O7" i="7" s="1"/>
  <c r="L8" i="7"/>
  <c r="M8" i="7"/>
  <c r="N8" i="7"/>
  <c r="O8" i="7" s="1"/>
  <c r="L9" i="7"/>
  <c r="M9" i="7"/>
  <c r="N9" i="7"/>
  <c r="O9" i="7" s="1"/>
  <c r="L10" i="7"/>
  <c r="M10" i="7"/>
  <c r="N10" i="7"/>
  <c r="O10" i="7" s="1"/>
  <c r="L11" i="7"/>
  <c r="M11" i="7"/>
  <c r="N11" i="7"/>
  <c r="O11" i="7" s="1"/>
  <c r="L12" i="7"/>
  <c r="M12" i="7"/>
  <c r="N12" i="7"/>
  <c r="O12" i="7" s="1"/>
  <c r="L13" i="7"/>
  <c r="M13" i="7"/>
  <c r="N13" i="7"/>
  <c r="O13" i="7" s="1"/>
  <c r="L14" i="7"/>
  <c r="M14" i="7"/>
  <c r="N14" i="7"/>
  <c r="O14" i="7" s="1"/>
  <c r="L15" i="7"/>
  <c r="M15" i="7"/>
  <c r="N15" i="7"/>
  <c r="O15" i="7" s="1"/>
  <c r="L16" i="7"/>
  <c r="M16" i="7"/>
  <c r="N16" i="7"/>
  <c r="O16" i="7" s="1"/>
  <c r="L17" i="7"/>
  <c r="M17" i="7"/>
  <c r="N17" i="7"/>
  <c r="O17" i="7" s="1"/>
  <c r="L18" i="7"/>
  <c r="M18" i="7"/>
  <c r="N18" i="7"/>
  <c r="O18" i="7" s="1"/>
  <c r="L19" i="7"/>
  <c r="M19" i="7"/>
  <c r="N19" i="7"/>
  <c r="O19" i="7" s="1"/>
  <c r="L20" i="7"/>
  <c r="M20" i="7"/>
  <c r="N20" i="7"/>
  <c r="O20" i="7" s="1"/>
  <c r="L21" i="7"/>
  <c r="M21" i="7"/>
  <c r="N21" i="7"/>
  <c r="O21" i="7" s="1"/>
  <c r="L22" i="7"/>
  <c r="M22" i="7"/>
  <c r="N22" i="7"/>
  <c r="O22" i="7" s="1"/>
  <c r="L23" i="7"/>
  <c r="M23" i="7"/>
  <c r="N23" i="7"/>
  <c r="O23" i="7" s="1"/>
  <c r="L24" i="7"/>
  <c r="M24" i="7"/>
  <c r="N24" i="7"/>
  <c r="O24" i="7" s="1"/>
  <c r="L25" i="7"/>
  <c r="M25" i="7"/>
  <c r="N25" i="7"/>
  <c r="O25" i="7" s="1"/>
  <c r="L26" i="7"/>
  <c r="M26" i="7"/>
  <c r="N26" i="7"/>
  <c r="O26" i="7" s="1"/>
  <c r="L27" i="7"/>
  <c r="M27" i="7"/>
  <c r="N27" i="7"/>
  <c r="O27" i="7" s="1"/>
  <c r="L28" i="7"/>
  <c r="M28" i="7"/>
  <c r="N28" i="7"/>
  <c r="O28" i="7" s="1"/>
  <c r="L29" i="7"/>
  <c r="M29" i="7"/>
  <c r="N29" i="7"/>
  <c r="O29" i="7" s="1"/>
  <c r="L30" i="7"/>
  <c r="M30" i="7"/>
  <c r="N30" i="7"/>
  <c r="O30" i="7" s="1"/>
  <c r="L31" i="7"/>
  <c r="M31" i="7"/>
  <c r="N31" i="7"/>
  <c r="O31" i="7" s="1"/>
  <c r="L32" i="7"/>
  <c r="M32" i="7"/>
  <c r="N32" i="7"/>
  <c r="O32" i="7" s="1"/>
  <c r="L33" i="7"/>
  <c r="M33" i="7"/>
  <c r="N33" i="7"/>
  <c r="O33" i="7" s="1"/>
  <c r="L34" i="7"/>
  <c r="M34" i="7"/>
  <c r="N34" i="7"/>
  <c r="O34" i="7" s="1"/>
  <c r="L35" i="7"/>
  <c r="M35" i="7"/>
  <c r="N35" i="7"/>
  <c r="O35" i="7" s="1"/>
  <c r="L36" i="7"/>
  <c r="M36" i="7"/>
  <c r="N36" i="7"/>
  <c r="O36" i="7" s="1"/>
  <c r="L37" i="7"/>
  <c r="M37" i="7"/>
  <c r="N37" i="7"/>
  <c r="O37" i="7" s="1"/>
  <c r="L38" i="7"/>
  <c r="M38" i="7"/>
  <c r="N38" i="7"/>
  <c r="O38" i="7" s="1"/>
  <c r="L39" i="7"/>
  <c r="M39" i="7"/>
  <c r="N39" i="7"/>
  <c r="O39" i="7" s="1"/>
  <c r="L40" i="7"/>
  <c r="M40" i="7"/>
  <c r="N40" i="7"/>
  <c r="O40" i="7" s="1"/>
  <c r="L41" i="7"/>
  <c r="M41" i="7"/>
  <c r="N41" i="7"/>
  <c r="O41" i="7" s="1"/>
  <c r="L42" i="7"/>
  <c r="M42" i="7"/>
  <c r="N42" i="7"/>
  <c r="O42" i="7" s="1"/>
  <c r="L43" i="7"/>
  <c r="M43" i="7"/>
  <c r="N43" i="7"/>
  <c r="O43" i="7" s="1"/>
  <c r="L44" i="7"/>
  <c r="M44" i="7"/>
  <c r="N44" i="7"/>
  <c r="O44" i="7" s="1"/>
  <c r="L45" i="7"/>
  <c r="M45" i="7"/>
  <c r="N45" i="7"/>
  <c r="O45" i="7" s="1"/>
  <c r="L46" i="7"/>
  <c r="M46" i="7"/>
  <c r="N46" i="7"/>
  <c r="O46" i="7" s="1"/>
  <c r="L47" i="7"/>
  <c r="M47" i="7"/>
  <c r="N47" i="7"/>
  <c r="O47" i="7" s="1"/>
  <c r="L48" i="7"/>
  <c r="M48" i="7"/>
  <c r="N48" i="7"/>
  <c r="O48" i="7" s="1"/>
  <c r="L49" i="7"/>
  <c r="M49" i="7"/>
  <c r="N49" i="7"/>
  <c r="O49" i="7" s="1"/>
  <c r="L50" i="7"/>
  <c r="M50" i="7"/>
  <c r="N50" i="7"/>
  <c r="O50" i="7" s="1"/>
  <c r="L51" i="7"/>
  <c r="M51" i="7"/>
  <c r="N51" i="7"/>
  <c r="O51" i="7" s="1"/>
  <c r="L52" i="7"/>
  <c r="M52" i="7"/>
  <c r="N52" i="7"/>
  <c r="O52" i="7" s="1"/>
  <c r="L53" i="7"/>
  <c r="M53" i="7"/>
  <c r="N53" i="7"/>
  <c r="O53" i="7" s="1"/>
  <c r="L54" i="7"/>
  <c r="M54" i="7"/>
  <c r="N54" i="7"/>
  <c r="O54" i="7" s="1"/>
  <c r="L55" i="7"/>
  <c r="M55" i="7"/>
  <c r="N55" i="7"/>
  <c r="O55" i="7" s="1"/>
  <c r="L56" i="7"/>
  <c r="M56" i="7"/>
  <c r="N56" i="7"/>
  <c r="O56" i="7" s="1"/>
  <c r="L57" i="7"/>
  <c r="M57" i="7"/>
  <c r="N57" i="7"/>
  <c r="O57" i="7" s="1"/>
  <c r="L58" i="7"/>
  <c r="M58" i="7"/>
  <c r="N58" i="7"/>
  <c r="O58" i="7" s="1"/>
  <c r="L59" i="7"/>
  <c r="M59" i="7"/>
  <c r="N59" i="7"/>
  <c r="O59" i="7" s="1"/>
  <c r="L60" i="7"/>
  <c r="M60" i="7"/>
  <c r="N60" i="7"/>
  <c r="O60" i="7" s="1"/>
  <c r="L61" i="7"/>
  <c r="M61" i="7"/>
  <c r="N61" i="7"/>
  <c r="O61" i="7" s="1"/>
  <c r="L62" i="7"/>
  <c r="M62" i="7"/>
  <c r="N62" i="7"/>
  <c r="O62" i="7" s="1"/>
  <c r="L63" i="7"/>
  <c r="M63" i="7"/>
  <c r="N63" i="7"/>
  <c r="O63" i="7" s="1"/>
  <c r="L64" i="7"/>
  <c r="M64" i="7"/>
  <c r="N64" i="7"/>
  <c r="O64" i="7" s="1"/>
  <c r="L65" i="7"/>
  <c r="M65" i="7"/>
  <c r="N65" i="7"/>
  <c r="O65" i="7" s="1"/>
  <c r="L66" i="7"/>
  <c r="M66" i="7"/>
  <c r="N66" i="7"/>
  <c r="O66" i="7" s="1"/>
  <c r="L67" i="7"/>
  <c r="M67" i="7"/>
  <c r="N67" i="7"/>
  <c r="O67" i="7" s="1"/>
  <c r="L68" i="7"/>
  <c r="M68" i="7"/>
  <c r="N68" i="7"/>
  <c r="O68" i="7" s="1"/>
  <c r="L69" i="7"/>
  <c r="M69" i="7"/>
  <c r="N69" i="7"/>
  <c r="O69" i="7" s="1"/>
  <c r="L70" i="7"/>
  <c r="M70" i="7"/>
  <c r="N70" i="7"/>
  <c r="O70" i="7" s="1"/>
  <c r="L71" i="7"/>
  <c r="M71" i="7"/>
  <c r="N71" i="7"/>
  <c r="O71" i="7" s="1"/>
  <c r="L72" i="7"/>
  <c r="M72" i="7"/>
  <c r="N72" i="7"/>
  <c r="O72" i="7" s="1"/>
  <c r="L73" i="7"/>
  <c r="M73" i="7"/>
  <c r="N73" i="7"/>
  <c r="O73" i="7" s="1"/>
  <c r="L74" i="7"/>
  <c r="M74" i="7"/>
  <c r="N74" i="7"/>
  <c r="O74" i="7" s="1"/>
  <c r="L75" i="7"/>
  <c r="M75" i="7"/>
  <c r="N75" i="7"/>
  <c r="O75" i="7" s="1"/>
  <c r="L76" i="7"/>
  <c r="M76" i="7"/>
  <c r="N76" i="7"/>
  <c r="O76" i="7" s="1"/>
  <c r="L77" i="7"/>
  <c r="M77" i="7"/>
  <c r="N77" i="7"/>
  <c r="O77" i="7" s="1"/>
  <c r="L78" i="7"/>
  <c r="M78" i="7"/>
  <c r="N78" i="7"/>
  <c r="O78" i="7" s="1"/>
  <c r="L79" i="7"/>
  <c r="M79" i="7"/>
  <c r="N79" i="7"/>
  <c r="O79" i="7" s="1"/>
  <c r="L80" i="7"/>
  <c r="M80" i="7"/>
  <c r="N80" i="7"/>
  <c r="O80" i="7" s="1"/>
  <c r="L81" i="7"/>
  <c r="M81" i="7"/>
  <c r="N81" i="7"/>
  <c r="O81" i="7" s="1"/>
  <c r="L82" i="7"/>
  <c r="M82" i="7"/>
  <c r="N82" i="7"/>
  <c r="O82" i="7" s="1"/>
  <c r="L83" i="7"/>
  <c r="M83" i="7"/>
  <c r="N83" i="7"/>
  <c r="O83" i="7" s="1"/>
  <c r="L84" i="7"/>
  <c r="M84" i="7"/>
  <c r="N84" i="7"/>
  <c r="O84" i="7" s="1"/>
  <c r="L85" i="7"/>
  <c r="M85" i="7"/>
  <c r="N85" i="7"/>
  <c r="O85" i="7" s="1"/>
  <c r="L86" i="7"/>
  <c r="M86" i="7"/>
  <c r="N86" i="7"/>
  <c r="O86" i="7" s="1"/>
  <c r="L87" i="7"/>
  <c r="M87" i="7"/>
  <c r="N87" i="7"/>
  <c r="O87" i="7" s="1"/>
  <c r="L88" i="7"/>
  <c r="M88" i="7"/>
  <c r="N88" i="7"/>
  <c r="O88" i="7" s="1"/>
  <c r="L89" i="7"/>
  <c r="M89" i="7"/>
  <c r="N89" i="7"/>
  <c r="O89" i="7" s="1"/>
  <c r="L90" i="7"/>
  <c r="M90" i="7"/>
  <c r="N90" i="7"/>
  <c r="O90" i="7" s="1"/>
  <c r="L91" i="7"/>
  <c r="M91" i="7"/>
  <c r="N91" i="7"/>
  <c r="O91" i="7" s="1"/>
  <c r="L92" i="7"/>
  <c r="M92" i="7"/>
  <c r="N92" i="7"/>
  <c r="O92" i="7" s="1"/>
  <c r="L93" i="7"/>
  <c r="M93" i="7"/>
  <c r="N93" i="7"/>
  <c r="O93" i="7" s="1"/>
  <c r="L94" i="7"/>
  <c r="M94" i="7"/>
  <c r="N94" i="7"/>
  <c r="O94" i="7" s="1"/>
  <c r="L95" i="7"/>
  <c r="M95" i="7"/>
  <c r="N95" i="7"/>
  <c r="O95" i="7" s="1"/>
  <c r="L96" i="7"/>
  <c r="M96" i="7"/>
  <c r="N96" i="7"/>
  <c r="O96" i="7" s="1"/>
  <c r="L97" i="7"/>
  <c r="M97" i="7"/>
  <c r="N97" i="7"/>
  <c r="O97" i="7" s="1"/>
  <c r="L98" i="7"/>
  <c r="M98" i="7"/>
  <c r="N98" i="7"/>
  <c r="O98" i="7" s="1"/>
  <c r="L99" i="7"/>
  <c r="M99" i="7"/>
  <c r="N99" i="7"/>
  <c r="O99" i="7" s="1"/>
  <c r="L100" i="7"/>
  <c r="M100" i="7"/>
  <c r="N100" i="7"/>
  <c r="O100" i="7" s="1"/>
  <c r="L101" i="7"/>
  <c r="M101" i="7"/>
  <c r="N101" i="7"/>
  <c r="O101" i="7" s="1"/>
  <c r="L102" i="7"/>
  <c r="M102" i="7"/>
  <c r="N102" i="7"/>
  <c r="O102" i="7" s="1"/>
  <c r="L103" i="7"/>
  <c r="M103" i="7"/>
  <c r="N103" i="7"/>
  <c r="O103" i="7" s="1"/>
  <c r="L104" i="7"/>
  <c r="M104" i="7"/>
  <c r="N104" i="7"/>
  <c r="O104" i="7" s="1"/>
  <c r="L105" i="7"/>
  <c r="M105" i="7"/>
  <c r="N105" i="7"/>
  <c r="O105" i="7" s="1"/>
  <c r="L106" i="7"/>
  <c r="M106" i="7"/>
  <c r="N106" i="7"/>
  <c r="O106" i="7" s="1"/>
  <c r="L107" i="7"/>
  <c r="M107" i="7"/>
  <c r="N107" i="7"/>
  <c r="O107" i="7" s="1"/>
  <c r="L108" i="7"/>
  <c r="M108" i="7"/>
  <c r="N108" i="7"/>
  <c r="O108" i="7" s="1"/>
  <c r="L109" i="7"/>
  <c r="M109" i="7"/>
  <c r="N109" i="7"/>
  <c r="O109" i="7" s="1"/>
  <c r="L110" i="7"/>
  <c r="M110" i="7"/>
  <c r="N110" i="7"/>
  <c r="O110" i="7" s="1"/>
  <c r="L111" i="7"/>
  <c r="M111" i="7"/>
  <c r="N111" i="7"/>
  <c r="O111" i="7" s="1"/>
  <c r="L112" i="7"/>
  <c r="M112" i="7"/>
  <c r="N112" i="7"/>
  <c r="O112" i="7" s="1"/>
  <c r="L113" i="7"/>
  <c r="M113" i="7"/>
  <c r="N113" i="7"/>
  <c r="O113" i="7" s="1"/>
  <c r="L114" i="7"/>
  <c r="M114" i="7"/>
  <c r="N114" i="7"/>
  <c r="O114" i="7" s="1"/>
  <c r="L115" i="7"/>
  <c r="M115" i="7"/>
  <c r="N115" i="7"/>
  <c r="O115" i="7" s="1"/>
  <c r="L116" i="7"/>
  <c r="M116" i="7"/>
  <c r="N116" i="7"/>
  <c r="O116" i="7" s="1"/>
  <c r="L117" i="7"/>
  <c r="M117" i="7"/>
  <c r="N117" i="7"/>
  <c r="O117" i="7" s="1"/>
  <c r="L118" i="7"/>
  <c r="M118" i="7"/>
  <c r="N118" i="7"/>
  <c r="O118" i="7" s="1"/>
  <c r="L119" i="7"/>
  <c r="M119" i="7"/>
  <c r="N119" i="7"/>
  <c r="O119" i="7" s="1"/>
  <c r="L120" i="7"/>
  <c r="M120" i="7"/>
  <c r="N120" i="7"/>
  <c r="O120" i="7" s="1"/>
  <c r="L121" i="7"/>
  <c r="M121" i="7"/>
  <c r="N121" i="7"/>
  <c r="O121" i="7" s="1"/>
  <c r="L122" i="7"/>
  <c r="M122" i="7"/>
  <c r="N122" i="7"/>
  <c r="O122" i="7" s="1"/>
  <c r="L123" i="7"/>
  <c r="M123" i="7"/>
  <c r="N123" i="7"/>
  <c r="O123" i="7" s="1"/>
  <c r="L124" i="7"/>
  <c r="M124" i="7"/>
  <c r="N124" i="7"/>
  <c r="O124" i="7" s="1"/>
  <c r="L125" i="7"/>
  <c r="M125" i="7"/>
  <c r="N125" i="7"/>
  <c r="O125" i="7" s="1"/>
  <c r="L126" i="7"/>
  <c r="M126" i="7"/>
  <c r="N126" i="7"/>
  <c r="O126" i="7" s="1"/>
  <c r="L127" i="7"/>
  <c r="M127" i="7"/>
  <c r="N127" i="7"/>
  <c r="O127" i="7" s="1"/>
  <c r="L128" i="7"/>
  <c r="M128" i="7"/>
  <c r="N128" i="7"/>
  <c r="O128" i="7" s="1"/>
  <c r="L129" i="7"/>
  <c r="M129" i="7"/>
  <c r="N129" i="7"/>
  <c r="O129" i="7" s="1"/>
  <c r="L130" i="7"/>
  <c r="M130" i="7"/>
  <c r="N130" i="7"/>
  <c r="O130" i="7" s="1"/>
  <c r="L131" i="7"/>
  <c r="M131" i="7"/>
  <c r="N131" i="7"/>
  <c r="O131" i="7" s="1"/>
  <c r="L132" i="7"/>
  <c r="M132" i="7"/>
  <c r="N132" i="7"/>
  <c r="O132" i="7" s="1"/>
  <c r="L133" i="7"/>
  <c r="M133" i="7"/>
  <c r="N133" i="7"/>
  <c r="O133" i="7" s="1"/>
  <c r="L134" i="7"/>
  <c r="M134" i="7"/>
  <c r="N134" i="7"/>
  <c r="O134" i="7" s="1"/>
  <c r="L135" i="7"/>
  <c r="M135" i="7"/>
  <c r="N135" i="7"/>
  <c r="O135" i="7" s="1"/>
  <c r="L136" i="7"/>
  <c r="M136" i="7"/>
  <c r="N136" i="7"/>
  <c r="O136" i="7" s="1"/>
  <c r="L137" i="7"/>
  <c r="M137" i="7"/>
  <c r="N137" i="7"/>
  <c r="O137" i="7" s="1"/>
  <c r="L138" i="7"/>
  <c r="M138" i="7"/>
  <c r="N138" i="7"/>
  <c r="O138" i="7" s="1"/>
  <c r="L139" i="7"/>
  <c r="M139" i="7"/>
  <c r="N139" i="7"/>
  <c r="O139" i="7" s="1"/>
  <c r="L140" i="7"/>
  <c r="M140" i="7"/>
  <c r="N140" i="7"/>
  <c r="O140" i="7" s="1"/>
  <c r="L141" i="7"/>
  <c r="M141" i="7"/>
  <c r="N141" i="7"/>
  <c r="O141" i="7" s="1"/>
  <c r="L142" i="7"/>
  <c r="M142" i="7"/>
  <c r="N142" i="7"/>
  <c r="O142" i="7"/>
  <c r="L143" i="7"/>
  <c r="M143" i="7"/>
  <c r="N143" i="7"/>
  <c r="O143" i="7" s="1"/>
  <c r="L144" i="7"/>
  <c r="M144" i="7"/>
  <c r="N144" i="7"/>
  <c r="O144" i="7" s="1"/>
  <c r="L145" i="7"/>
  <c r="M145" i="7"/>
  <c r="N145" i="7"/>
  <c r="O145" i="7" s="1"/>
  <c r="L146" i="7"/>
  <c r="M146" i="7"/>
  <c r="N146" i="7"/>
  <c r="O146" i="7" s="1"/>
  <c r="L147" i="7"/>
  <c r="M147" i="7"/>
  <c r="N147" i="7"/>
  <c r="O147" i="7"/>
  <c r="L148" i="7"/>
  <c r="M148" i="7"/>
  <c r="N148" i="7"/>
  <c r="O148" i="7" s="1"/>
  <c r="L149" i="7"/>
  <c r="M149" i="7"/>
  <c r="N149" i="7"/>
  <c r="O149" i="7" s="1"/>
  <c r="L150" i="7"/>
  <c r="M150" i="7"/>
  <c r="N150" i="7"/>
  <c r="O150" i="7" s="1"/>
  <c r="L151" i="7"/>
  <c r="M151" i="7"/>
  <c r="N151" i="7"/>
  <c r="O151" i="7" s="1"/>
  <c r="L152" i="7"/>
  <c r="M152" i="7"/>
  <c r="N152" i="7"/>
  <c r="O152" i="7" s="1"/>
  <c r="L153" i="7"/>
  <c r="M153" i="7"/>
  <c r="N153" i="7"/>
  <c r="O153" i="7" s="1"/>
  <c r="L154" i="7"/>
  <c r="M154" i="7"/>
  <c r="N154" i="7"/>
  <c r="O154" i="7" s="1"/>
  <c r="L155" i="7"/>
  <c r="M155" i="7"/>
  <c r="N155" i="7"/>
  <c r="O155" i="7" s="1"/>
  <c r="L156" i="7"/>
  <c r="M156" i="7"/>
  <c r="N156" i="7"/>
  <c r="O156" i="7" s="1"/>
  <c r="L157" i="7"/>
  <c r="M157" i="7"/>
  <c r="N157" i="7"/>
  <c r="O157" i="7" s="1"/>
  <c r="L158" i="7"/>
  <c r="M158" i="7"/>
  <c r="N158" i="7"/>
  <c r="O158" i="7" s="1"/>
  <c r="L159" i="7"/>
  <c r="M159" i="7"/>
  <c r="N159" i="7"/>
  <c r="O159" i="7" s="1"/>
  <c r="L160" i="7"/>
  <c r="M160" i="7"/>
  <c r="N160" i="7"/>
  <c r="O160" i="7" s="1"/>
  <c r="L161" i="7"/>
  <c r="M161" i="7"/>
  <c r="N161" i="7"/>
  <c r="O161" i="7" s="1"/>
  <c r="L162" i="7"/>
  <c r="M162" i="7"/>
  <c r="N162" i="7"/>
  <c r="O162" i="7" s="1"/>
  <c r="L163" i="7"/>
  <c r="M163" i="7"/>
  <c r="N163" i="7"/>
  <c r="O163" i="7" s="1"/>
  <c r="L164" i="7"/>
  <c r="M164" i="7"/>
  <c r="N164" i="7"/>
  <c r="O164" i="7" s="1"/>
  <c r="L165" i="7"/>
  <c r="M165" i="7"/>
  <c r="N165" i="7"/>
  <c r="O165" i="7" s="1"/>
  <c r="L166" i="7"/>
  <c r="M166" i="7"/>
  <c r="N166" i="7"/>
  <c r="O166" i="7" s="1"/>
  <c r="L167" i="7"/>
  <c r="M167" i="7"/>
  <c r="N167" i="7"/>
  <c r="O167" i="7" s="1"/>
  <c r="L168" i="7"/>
  <c r="M168" i="7"/>
  <c r="N168" i="7"/>
  <c r="O168" i="7" s="1"/>
  <c r="L169" i="7"/>
  <c r="M169" i="7"/>
  <c r="N169" i="7"/>
  <c r="O169" i="7" s="1"/>
  <c r="L170" i="7"/>
  <c r="M170" i="7"/>
  <c r="N170" i="7"/>
  <c r="O170" i="7" s="1"/>
  <c r="L171" i="7"/>
  <c r="M171" i="7"/>
  <c r="N171" i="7"/>
  <c r="O171" i="7" s="1"/>
  <c r="L172" i="7"/>
  <c r="M172" i="7"/>
  <c r="N172" i="7"/>
  <c r="O172" i="7" s="1"/>
  <c r="L173" i="7"/>
  <c r="M173" i="7"/>
  <c r="N173" i="7"/>
  <c r="O173" i="7" s="1"/>
  <c r="L174" i="7"/>
  <c r="M174" i="7"/>
  <c r="N174" i="7"/>
  <c r="O174" i="7" s="1"/>
  <c r="L175" i="7"/>
  <c r="M175" i="7"/>
  <c r="N175" i="7"/>
  <c r="O175" i="7" s="1"/>
  <c r="L176" i="7"/>
  <c r="M176" i="7"/>
  <c r="N176" i="7"/>
  <c r="O176" i="7" s="1"/>
  <c r="L177" i="7"/>
  <c r="M177" i="7"/>
  <c r="N177" i="7"/>
  <c r="O177" i="7" s="1"/>
  <c r="L178" i="7"/>
  <c r="M178" i="7"/>
  <c r="N178" i="7"/>
  <c r="O178" i="7" s="1"/>
  <c r="L179" i="7"/>
  <c r="M179" i="7"/>
  <c r="N179" i="7"/>
  <c r="O179" i="7" s="1"/>
  <c r="L180" i="7"/>
  <c r="M180" i="7"/>
  <c r="N180" i="7"/>
  <c r="O180" i="7" s="1"/>
  <c r="L181" i="7"/>
  <c r="M181" i="7"/>
  <c r="N181" i="7"/>
  <c r="O181" i="7" s="1"/>
  <c r="L182" i="7"/>
  <c r="M182" i="7"/>
  <c r="N182" i="7"/>
  <c r="O182" i="7" s="1"/>
  <c r="L183" i="7"/>
  <c r="M183" i="7"/>
  <c r="N183" i="7"/>
  <c r="O183" i="7" s="1"/>
  <c r="L184" i="7"/>
  <c r="M184" i="7"/>
  <c r="N184" i="7"/>
  <c r="O184" i="7" s="1"/>
  <c r="L185" i="7"/>
  <c r="M185" i="7"/>
  <c r="N185" i="7"/>
  <c r="O185" i="7" s="1"/>
  <c r="L186" i="7"/>
  <c r="M186" i="7"/>
  <c r="N186" i="7"/>
  <c r="O186" i="7" s="1"/>
  <c r="L187" i="7"/>
  <c r="M187" i="7"/>
  <c r="N187" i="7"/>
  <c r="O187" i="7" s="1"/>
  <c r="L188" i="7"/>
  <c r="M188" i="7"/>
  <c r="N188" i="7"/>
  <c r="O188" i="7" s="1"/>
  <c r="L189" i="7"/>
  <c r="M189" i="7"/>
  <c r="N189" i="7"/>
  <c r="O189" i="7" s="1"/>
  <c r="L190" i="7"/>
  <c r="M190" i="7"/>
  <c r="N190" i="7"/>
  <c r="O190" i="7" s="1"/>
  <c r="L191" i="7"/>
  <c r="M191" i="7"/>
  <c r="N191" i="7"/>
  <c r="O191" i="7" s="1"/>
  <c r="L192" i="7"/>
  <c r="M192" i="7"/>
  <c r="N192" i="7"/>
  <c r="O192" i="7" s="1"/>
  <c r="L193" i="7"/>
  <c r="M193" i="7"/>
  <c r="N193" i="7"/>
  <c r="O193" i="7" s="1"/>
  <c r="L194" i="7"/>
  <c r="M194" i="7"/>
  <c r="N194" i="7"/>
  <c r="O194" i="7" s="1"/>
  <c r="L195" i="7"/>
  <c r="M195" i="7"/>
  <c r="N195" i="7"/>
  <c r="O195" i="7" s="1"/>
  <c r="L196" i="7"/>
  <c r="M196" i="7"/>
  <c r="N196" i="7"/>
  <c r="O196" i="7" s="1"/>
  <c r="L197" i="7"/>
  <c r="M197" i="7"/>
  <c r="N197" i="7"/>
  <c r="O197" i="7" s="1"/>
  <c r="L198" i="7"/>
  <c r="M198" i="7"/>
  <c r="N198" i="7"/>
  <c r="O198" i="7" s="1"/>
  <c r="L199" i="7"/>
  <c r="M199" i="7"/>
  <c r="N199" i="7"/>
  <c r="O199" i="7" s="1"/>
  <c r="L200" i="7"/>
  <c r="M200" i="7"/>
  <c r="N200" i="7"/>
  <c r="O200" i="7" s="1"/>
  <c r="L201" i="7"/>
  <c r="M201" i="7"/>
  <c r="N201" i="7"/>
  <c r="O201" i="7" s="1"/>
  <c r="L202" i="7"/>
  <c r="M202" i="7"/>
  <c r="N202" i="7"/>
  <c r="O202" i="7" s="1"/>
  <c r="L203" i="7"/>
  <c r="M203" i="7"/>
  <c r="N203" i="7"/>
  <c r="O203" i="7" s="1"/>
  <c r="L204" i="7"/>
  <c r="M204" i="7"/>
  <c r="N204" i="7"/>
  <c r="O204" i="7" s="1"/>
  <c r="L205" i="7"/>
  <c r="M205" i="7"/>
  <c r="N205" i="7"/>
  <c r="O205" i="7" s="1"/>
  <c r="L206" i="7"/>
  <c r="M206" i="7"/>
  <c r="N206" i="7"/>
  <c r="O206" i="7" s="1"/>
  <c r="L207" i="7"/>
  <c r="M207" i="7"/>
  <c r="N207" i="7"/>
  <c r="O207" i="7" s="1"/>
  <c r="L208" i="7"/>
  <c r="M208" i="7"/>
  <c r="N208" i="7"/>
  <c r="O208" i="7" s="1"/>
  <c r="L209" i="7"/>
  <c r="M209" i="7"/>
  <c r="N209" i="7"/>
  <c r="O209" i="7" s="1"/>
  <c r="L210" i="7"/>
  <c r="M210" i="7"/>
  <c r="N210" i="7"/>
  <c r="O210" i="7" s="1"/>
  <c r="L211" i="7"/>
  <c r="M211" i="7"/>
  <c r="N211" i="7"/>
  <c r="O211" i="7" s="1"/>
  <c r="L212" i="7"/>
  <c r="M212" i="7"/>
  <c r="N212" i="7"/>
  <c r="O212" i="7" s="1"/>
  <c r="L213" i="7"/>
  <c r="M213" i="7"/>
  <c r="N213" i="7"/>
  <c r="O213" i="7" s="1"/>
  <c r="L214" i="7"/>
  <c r="M214" i="7"/>
  <c r="N214" i="7"/>
  <c r="O214" i="7" s="1"/>
  <c r="L215" i="7"/>
  <c r="M215" i="7"/>
  <c r="N215" i="7"/>
  <c r="O215" i="7" s="1"/>
  <c r="L216" i="7"/>
  <c r="M216" i="7"/>
  <c r="N216" i="7"/>
  <c r="O216" i="7" s="1"/>
  <c r="L217" i="7"/>
  <c r="M217" i="7"/>
  <c r="N217" i="7"/>
  <c r="O217" i="7" s="1"/>
  <c r="L218" i="7"/>
  <c r="M218" i="7"/>
  <c r="N218" i="7"/>
  <c r="O218" i="7" s="1"/>
  <c r="L219" i="7"/>
  <c r="M219" i="7"/>
  <c r="N219" i="7"/>
  <c r="O219" i="7" s="1"/>
  <c r="L220" i="7"/>
  <c r="M220" i="7"/>
  <c r="N220" i="7"/>
  <c r="O220" i="7" s="1"/>
  <c r="L221" i="7"/>
  <c r="M221" i="7"/>
  <c r="N221" i="7"/>
  <c r="O221" i="7" s="1"/>
  <c r="L222" i="7"/>
  <c r="M222" i="7"/>
  <c r="N222" i="7"/>
  <c r="O222" i="7" s="1"/>
  <c r="L223" i="7"/>
  <c r="M223" i="7"/>
  <c r="N223" i="7"/>
  <c r="O223" i="7" s="1"/>
  <c r="L224" i="7"/>
  <c r="M224" i="7"/>
  <c r="N224" i="7"/>
  <c r="O224" i="7" s="1"/>
  <c r="L225" i="7"/>
  <c r="M225" i="7"/>
  <c r="N225" i="7"/>
  <c r="O225" i="7" s="1"/>
  <c r="L226" i="7"/>
  <c r="M226" i="7"/>
  <c r="N226" i="7"/>
  <c r="O226" i="7" s="1"/>
  <c r="L227" i="7"/>
  <c r="M227" i="7"/>
  <c r="N227" i="7"/>
  <c r="O227" i="7" s="1"/>
  <c r="L228" i="7"/>
  <c r="M228" i="7"/>
  <c r="N228" i="7"/>
  <c r="O228" i="7" s="1"/>
  <c r="L229" i="7"/>
  <c r="M229" i="7"/>
  <c r="N229" i="7"/>
  <c r="O229" i="7" s="1"/>
  <c r="L230" i="7"/>
  <c r="M230" i="7"/>
  <c r="N230" i="7"/>
  <c r="O230" i="7" s="1"/>
  <c r="L231" i="7"/>
  <c r="M231" i="7"/>
  <c r="N231" i="7"/>
  <c r="O231" i="7" s="1"/>
  <c r="L232" i="7"/>
  <c r="M232" i="7"/>
  <c r="N232" i="7"/>
  <c r="O232" i="7" s="1"/>
  <c r="L233" i="7"/>
  <c r="M233" i="7"/>
  <c r="N233" i="7"/>
  <c r="O233" i="7" s="1"/>
  <c r="L234" i="7"/>
  <c r="M234" i="7"/>
  <c r="N234" i="7"/>
  <c r="O234" i="7" s="1"/>
  <c r="L235" i="7"/>
  <c r="M235" i="7"/>
  <c r="N235" i="7"/>
  <c r="O235" i="7" s="1"/>
  <c r="L236" i="7"/>
  <c r="M236" i="7"/>
  <c r="N236" i="7"/>
  <c r="O236" i="7" s="1"/>
  <c r="L237" i="7"/>
  <c r="M237" i="7"/>
  <c r="N237" i="7"/>
  <c r="O237" i="7" s="1"/>
  <c r="L238" i="7"/>
  <c r="M238" i="7"/>
  <c r="N238" i="7"/>
  <c r="O238" i="7" s="1"/>
  <c r="L239" i="7"/>
  <c r="M239" i="7"/>
  <c r="N239" i="7"/>
  <c r="O239" i="7" s="1"/>
  <c r="L240" i="7"/>
  <c r="M240" i="7"/>
  <c r="N240" i="7"/>
  <c r="O240" i="7" s="1"/>
  <c r="L241" i="7"/>
  <c r="M241" i="7"/>
  <c r="N241" i="7"/>
  <c r="O241" i="7" s="1"/>
  <c r="L242" i="7"/>
  <c r="M242" i="7"/>
  <c r="N242" i="7"/>
  <c r="O242" i="7"/>
  <c r="L243" i="7"/>
  <c r="M243" i="7"/>
  <c r="N243" i="7"/>
  <c r="O243" i="7" s="1"/>
  <c r="L244" i="7"/>
  <c r="M244" i="7"/>
  <c r="N244" i="7"/>
  <c r="O244" i="7" s="1"/>
  <c r="L245" i="7"/>
  <c r="M245" i="7"/>
  <c r="N245" i="7"/>
  <c r="O245" i="7" s="1"/>
  <c r="L246" i="7"/>
  <c r="M246" i="7"/>
  <c r="N246" i="7"/>
  <c r="O246" i="7" s="1"/>
  <c r="L247" i="7"/>
  <c r="M247" i="7"/>
  <c r="N247" i="7"/>
  <c r="O247" i="7" s="1"/>
  <c r="L248" i="7"/>
  <c r="M248" i="7"/>
  <c r="N248" i="7"/>
  <c r="O248" i="7" s="1"/>
  <c r="L249" i="7"/>
  <c r="M249" i="7"/>
  <c r="N249" i="7"/>
  <c r="O249" i="7" s="1"/>
  <c r="L250" i="7"/>
  <c r="M250" i="7"/>
  <c r="N250" i="7"/>
  <c r="O250" i="7" s="1"/>
  <c r="L251" i="7"/>
  <c r="M251" i="7"/>
  <c r="N251" i="7"/>
  <c r="O251" i="7" s="1"/>
  <c r="L252" i="7"/>
  <c r="M252" i="7"/>
  <c r="N252" i="7"/>
  <c r="O252" i="7" s="1"/>
  <c r="L253" i="7"/>
  <c r="M253" i="7"/>
  <c r="N253" i="7"/>
  <c r="O253" i="7" s="1"/>
  <c r="L254" i="7"/>
  <c r="M254" i="7"/>
  <c r="N254" i="7"/>
  <c r="O254" i="7" s="1"/>
  <c r="L255" i="7"/>
  <c r="M255" i="7"/>
  <c r="N255" i="7"/>
  <c r="O255" i="7" s="1"/>
  <c r="L256" i="7"/>
  <c r="M256" i="7"/>
  <c r="N256" i="7"/>
  <c r="O256" i="7" s="1"/>
  <c r="L257" i="7"/>
  <c r="M257" i="7"/>
  <c r="N257" i="7"/>
  <c r="O257" i="7" s="1"/>
  <c r="L258" i="7"/>
  <c r="M258" i="7"/>
  <c r="N258" i="7"/>
  <c r="O258" i="7" s="1"/>
  <c r="L259" i="7"/>
  <c r="M259" i="7"/>
  <c r="N259" i="7"/>
  <c r="O259" i="7" s="1"/>
  <c r="L260" i="7"/>
  <c r="M260" i="7"/>
  <c r="N260" i="7"/>
  <c r="O260" i="7" s="1"/>
  <c r="L261" i="7"/>
  <c r="M261" i="7"/>
  <c r="N261" i="7"/>
  <c r="O261" i="7" s="1"/>
  <c r="L262" i="7"/>
  <c r="M262" i="7"/>
  <c r="N262" i="7"/>
  <c r="O262" i="7" s="1"/>
  <c r="L263" i="7"/>
  <c r="M263" i="7"/>
  <c r="N263" i="7"/>
  <c r="O263" i="7" s="1"/>
  <c r="L264" i="7"/>
  <c r="M264" i="7"/>
  <c r="N264" i="7"/>
  <c r="O264" i="7" s="1"/>
  <c r="L265" i="7"/>
  <c r="M265" i="7"/>
  <c r="N265" i="7"/>
  <c r="O265" i="7" s="1"/>
  <c r="L266" i="7"/>
  <c r="M266" i="7"/>
  <c r="N266" i="7"/>
  <c r="O266" i="7" s="1"/>
  <c r="L267" i="7"/>
  <c r="M267" i="7"/>
  <c r="N267" i="7"/>
  <c r="O267" i="7" s="1"/>
  <c r="L268" i="7"/>
  <c r="M268" i="7"/>
  <c r="N268" i="7"/>
  <c r="O268" i="7" s="1"/>
  <c r="L269" i="7"/>
  <c r="M269" i="7"/>
  <c r="N269" i="7"/>
  <c r="O269" i="7" s="1"/>
  <c r="L270" i="7"/>
  <c r="M270" i="7"/>
  <c r="N270" i="7"/>
  <c r="O270" i="7" s="1"/>
  <c r="L271" i="7"/>
  <c r="M271" i="7"/>
  <c r="N271" i="7"/>
  <c r="O271" i="7" s="1"/>
  <c r="L272" i="7"/>
  <c r="M272" i="7"/>
  <c r="N272" i="7"/>
  <c r="O272" i="7" s="1"/>
  <c r="L273" i="7"/>
  <c r="M273" i="7"/>
  <c r="N273" i="7"/>
  <c r="O273" i="7" s="1"/>
  <c r="L274" i="7"/>
  <c r="M274" i="7"/>
  <c r="N274" i="7"/>
  <c r="O274" i="7" s="1"/>
  <c r="L275" i="7"/>
  <c r="M275" i="7"/>
  <c r="N275" i="7"/>
  <c r="O275" i="7" s="1"/>
  <c r="L276" i="7"/>
  <c r="M276" i="7"/>
  <c r="N276" i="7"/>
  <c r="O276" i="7" s="1"/>
  <c r="L277" i="7"/>
  <c r="M277" i="7"/>
  <c r="N277" i="7"/>
  <c r="O277" i="7" s="1"/>
  <c r="L278" i="7"/>
  <c r="M278" i="7"/>
  <c r="N278" i="7"/>
  <c r="O278" i="7" s="1"/>
  <c r="L279" i="7"/>
  <c r="M279" i="7"/>
  <c r="N279" i="7"/>
  <c r="O279" i="7" s="1"/>
  <c r="L280" i="7"/>
  <c r="M280" i="7"/>
  <c r="N280" i="7"/>
  <c r="O280" i="7" s="1"/>
  <c r="L281" i="7"/>
  <c r="M281" i="7"/>
  <c r="N281" i="7"/>
  <c r="O281" i="7" s="1"/>
  <c r="L282" i="7"/>
  <c r="M282" i="7"/>
  <c r="N282" i="7"/>
  <c r="O282" i="7" s="1"/>
  <c r="L283" i="7"/>
  <c r="M283" i="7"/>
  <c r="N283" i="7"/>
  <c r="O283" i="7" s="1"/>
  <c r="L284" i="7"/>
  <c r="M284" i="7"/>
  <c r="N284" i="7"/>
  <c r="O284" i="7" s="1"/>
  <c r="L285" i="7"/>
  <c r="M285" i="7"/>
  <c r="N285" i="7"/>
  <c r="O285" i="7" s="1"/>
  <c r="L286" i="7"/>
  <c r="M286" i="7"/>
  <c r="N286" i="7"/>
  <c r="O286" i="7" s="1"/>
  <c r="L287" i="7"/>
  <c r="M287" i="7"/>
  <c r="N287" i="7"/>
  <c r="O287" i="7" s="1"/>
  <c r="L288" i="7"/>
  <c r="M288" i="7"/>
  <c r="N288" i="7"/>
  <c r="O288" i="7" s="1"/>
  <c r="L289" i="7"/>
  <c r="M289" i="7"/>
  <c r="N289" i="7"/>
  <c r="O289" i="7" s="1"/>
  <c r="L290" i="7"/>
  <c r="M290" i="7"/>
  <c r="N290" i="7"/>
  <c r="O290" i="7" s="1"/>
  <c r="L291" i="7"/>
  <c r="M291" i="7"/>
  <c r="N291" i="7"/>
  <c r="O291" i="7" s="1"/>
  <c r="L292" i="7"/>
  <c r="M292" i="7"/>
  <c r="N292" i="7"/>
  <c r="O292" i="7" s="1"/>
  <c r="L293" i="7"/>
  <c r="M293" i="7"/>
  <c r="N293" i="7"/>
  <c r="O293" i="7" s="1"/>
  <c r="L294" i="7"/>
  <c r="M294" i="7"/>
  <c r="N294" i="7"/>
  <c r="O294" i="7" s="1"/>
  <c r="L295" i="7"/>
  <c r="M295" i="7"/>
  <c r="N295" i="7"/>
  <c r="O295" i="7" s="1"/>
  <c r="L296" i="7"/>
  <c r="M296" i="7"/>
  <c r="N296" i="7"/>
  <c r="O296" i="7" s="1"/>
  <c r="L297" i="7"/>
  <c r="M297" i="7"/>
  <c r="N297" i="7"/>
  <c r="O297" i="7" s="1"/>
  <c r="L298" i="7"/>
  <c r="M298" i="7"/>
  <c r="N298" i="7"/>
  <c r="O298" i="7" s="1"/>
  <c r="L299" i="7"/>
  <c r="M299" i="7"/>
  <c r="N299" i="7"/>
  <c r="O299" i="7" s="1"/>
  <c r="L300" i="7"/>
  <c r="M300" i="7"/>
  <c r="N300" i="7"/>
  <c r="O300" i="7" s="1"/>
  <c r="L301" i="7"/>
  <c r="M301" i="7"/>
  <c r="N301" i="7"/>
  <c r="O301" i="7" s="1"/>
  <c r="L302" i="7"/>
  <c r="M302" i="7"/>
  <c r="N302" i="7"/>
  <c r="O302" i="7" s="1"/>
  <c r="L303" i="7"/>
  <c r="M303" i="7"/>
  <c r="N303" i="7"/>
  <c r="O303" i="7" s="1"/>
  <c r="L304" i="7"/>
  <c r="M304" i="7"/>
  <c r="N304" i="7"/>
  <c r="O304" i="7" s="1"/>
  <c r="L305" i="7"/>
  <c r="M305" i="7"/>
  <c r="N305" i="7"/>
  <c r="O305" i="7" s="1"/>
  <c r="L306" i="7"/>
  <c r="M306" i="7"/>
  <c r="N306" i="7"/>
  <c r="O306" i="7" s="1"/>
  <c r="L307" i="7"/>
  <c r="M307" i="7"/>
  <c r="N307" i="7"/>
  <c r="O307" i="7" s="1"/>
  <c r="L308" i="7"/>
  <c r="M308" i="7"/>
  <c r="N308" i="7"/>
  <c r="O308" i="7" s="1"/>
  <c r="L309" i="7"/>
  <c r="M309" i="7"/>
  <c r="N309" i="7"/>
  <c r="O309" i="7" s="1"/>
  <c r="L310" i="7"/>
  <c r="M310" i="7"/>
  <c r="N310" i="7"/>
  <c r="O310" i="7" s="1"/>
  <c r="L311" i="7"/>
  <c r="M311" i="7"/>
  <c r="N311" i="7"/>
  <c r="O311" i="7" s="1"/>
  <c r="L312" i="7"/>
  <c r="M312" i="7"/>
  <c r="N312" i="7"/>
  <c r="O312" i="7" s="1"/>
  <c r="L313" i="7"/>
  <c r="M313" i="7"/>
  <c r="N313" i="7"/>
  <c r="O313" i="7" s="1"/>
  <c r="L314" i="7"/>
  <c r="M314" i="7"/>
  <c r="N314" i="7"/>
  <c r="O314" i="7" s="1"/>
  <c r="L315" i="7"/>
  <c r="M315" i="7"/>
  <c r="N315" i="7"/>
  <c r="O315" i="7" s="1"/>
  <c r="L316" i="7"/>
  <c r="M316" i="7"/>
  <c r="N316" i="7"/>
  <c r="O316" i="7" s="1"/>
  <c r="L317" i="7"/>
  <c r="M317" i="7"/>
  <c r="N317" i="7"/>
  <c r="O317" i="7" s="1"/>
  <c r="L318" i="7"/>
  <c r="M318" i="7"/>
  <c r="N318" i="7"/>
  <c r="O318" i="7" s="1"/>
  <c r="L319" i="7"/>
  <c r="M319" i="7"/>
  <c r="N319" i="7"/>
  <c r="O319" i="7" s="1"/>
  <c r="L320" i="7"/>
  <c r="M320" i="7"/>
  <c r="N320" i="7"/>
  <c r="O320" i="7" s="1"/>
  <c r="L321" i="7"/>
  <c r="M321" i="7"/>
  <c r="N321" i="7"/>
  <c r="O321" i="7" s="1"/>
  <c r="L322" i="7"/>
  <c r="M322" i="7"/>
  <c r="N322" i="7"/>
  <c r="O322" i="7" s="1"/>
  <c r="L323" i="7"/>
  <c r="M323" i="7"/>
  <c r="N323" i="7"/>
  <c r="O323" i="7" s="1"/>
  <c r="L324" i="7"/>
  <c r="M324" i="7"/>
  <c r="N324" i="7"/>
  <c r="O324" i="7" s="1"/>
  <c r="L325" i="7"/>
  <c r="M325" i="7"/>
  <c r="N325" i="7"/>
  <c r="O325" i="7"/>
  <c r="L326" i="7"/>
  <c r="M326" i="7"/>
  <c r="N326" i="7"/>
  <c r="O326" i="7" s="1"/>
  <c r="L327" i="7"/>
  <c r="M327" i="7"/>
  <c r="N327" i="7"/>
  <c r="O327" i="7" s="1"/>
  <c r="L328" i="7"/>
  <c r="M328" i="7"/>
  <c r="N328" i="7"/>
  <c r="O328" i="7" s="1"/>
  <c r="L329" i="7"/>
  <c r="M329" i="7"/>
  <c r="N329" i="7"/>
  <c r="O329" i="7" s="1"/>
  <c r="L330" i="7"/>
  <c r="M330" i="7"/>
  <c r="N330" i="7"/>
  <c r="O330" i="7" s="1"/>
  <c r="L331" i="7"/>
  <c r="M331" i="7"/>
  <c r="N331" i="7"/>
  <c r="O331" i="7" s="1"/>
  <c r="L332" i="7"/>
  <c r="M332" i="7"/>
  <c r="N332" i="7"/>
  <c r="O332" i="7" s="1"/>
  <c r="L333" i="7"/>
  <c r="M333" i="7"/>
  <c r="N333" i="7"/>
  <c r="O333" i="7" s="1"/>
  <c r="L334" i="7"/>
  <c r="M334" i="7"/>
  <c r="N334" i="7"/>
  <c r="O334" i="7" s="1"/>
  <c r="L335" i="7"/>
  <c r="M335" i="7"/>
  <c r="N335" i="7"/>
  <c r="O335" i="7" s="1"/>
  <c r="L336" i="7"/>
  <c r="M336" i="7"/>
  <c r="N336" i="7"/>
  <c r="O336" i="7" s="1"/>
  <c r="L337" i="7"/>
  <c r="M337" i="7"/>
  <c r="N337" i="7"/>
  <c r="O337" i="7" s="1"/>
  <c r="L338" i="7"/>
  <c r="M338" i="7"/>
  <c r="N338" i="7"/>
  <c r="O338" i="7" s="1"/>
  <c r="L339" i="7"/>
  <c r="M339" i="7"/>
  <c r="N339" i="7"/>
  <c r="O339" i="7" s="1"/>
  <c r="L340" i="7"/>
  <c r="M340" i="7"/>
  <c r="N340" i="7"/>
  <c r="O340" i="7" s="1"/>
  <c r="L341" i="7"/>
  <c r="M341" i="7"/>
  <c r="N341" i="7"/>
  <c r="O341" i="7" s="1"/>
  <c r="L342" i="7"/>
  <c r="M342" i="7"/>
  <c r="N342" i="7"/>
  <c r="O342" i="7" s="1"/>
  <c r="L343" i="7"/>
  <c r="M343" i="7"/>
  <c r="N343" i="7"/>
  <c r="O343" i="7" s="1"/>
  <c r="L344" i="7"/>
  <c r="M344" i="7"/>
  <c r="N344" i="7"/>
  <c r="O344" i="7" s="1"/>
  <c r="L345" i="7"/>
  <c r="M345" i="7"/>
  <c r="N345" i="7"/>
  <c r="O345" i="7" s="1"/>
  <c r="L346" i="7"/>
  <c r="M346" i="7"/>
  <c r="N346" i="7"/>
  <c r="O346" i="7" s="1"/>
  <c r="L347" i="7"/>
  <c r="M347" i="7"/>
  <c r="N347" i="7"/>
  <c r="O347" i="7" s="1"/>
  <c r="L348" i="7"/>
  <c r="M348" i="7"/>
  <c r="N348" i="7"/>
  <c r="O348" i="7" s="1"/>
  <c r="L349" i="7"/>
  <c r="M349" i="7"/>
  <c r="N349" i="7"/>
  <c r="O349" i="7" s="1"/>
  <c r="L350" i="7"/>
  <c r="M350" i="7"/>
  <c r="N350" i="7"/>
  <c r="O350" i="7" s="1"/>
  <c r="L351" i="7"/>
  <c r="M351" i="7"/>
  <c r="N351" i="7"/>
  <c r="O351" i="7" s="1"/>
  <c r="L352" i="7"/>
  <c r="M352" i="7"/>
  <c r="N352" i="7"/>
  <c r="O352" i="7" s="1"/>
  <c r="L353" i="7"/>
  <c r="M353" i="7"/>
  <c r="N353" i="7"/>
  <c r="O353" i="7" s="1"/>
  <c r="L354" i="7"/>
  <c r="M354" i="7"/>
  <c r="N354" i="7"/>
  <c r="O354" i="7" s="1"/>
  <c r="L355" i="7"/>
  <c r="M355" i="7"/>
  <c r="N355" i="7"/>
  <c r="O355" i="7" s="1"/>
  <c r="L356" i="7"/>
  <c r="M356" i="7"/>
  <c r="N356" i="7"/>
  <c r="O356" i="7" s="1"/>
  <c r="L357" i="7"/>
  <c r="M357" i="7"/>
  <c r="N357" i="7"/>
  <c r="O357" i="7" s="1"/>
  <c r="L358" i="7"/>
  <c r="M358" i="7"/>
  <c r="N358" i="7"/>
  <c r="O358" i="7" s="1"/>
  <c r="L359" i="7"/>
  <c r="M359" i="7"/>
  <c r="N359" i="7"/>
  <c r="O359" i="7" s="1"/>
  <c r="L360" i="7"/>
  <c r="M360" i="7"/>
  <c r="N360" i="7"/>
  <c r="O360" i="7" s="1"/>
  <c r="L361" i="7"/>
  <c r="M361" i="7"/>
  <c r="N361" i="7"/>
  <c r="O361" i="7" s="1"/>
  <c r="L362" i="7"/>
  <c r="M362" i="7"/>
  <c r="N362" i="7"/>
  <c r="O362" i="7" s="1"/>
  <c r="L363" i="7"/>
  <c r="M363" i="7"/>
  <c r="N363" i="7"/>
  <c r="O363" i="7" s="1"/>
  <c r="L364" i="7"/>
  <c r="M364" i="7"/>
  <c r="N364" i="7"/>
  <c r="O364" i="7" s="1"/>
  <c r="L365" i="7"/>
  <c r="M365" i="7"/>
  <c r="N365" i="7"/>
  <c r="O365" i="7" s="1"/>
  <c r="L366" i="7"/>
  <c r="M366" i="7"/>
  <c r="N366" i="7"/>
  <c r="O366" i="7" s="1"/>
  <c r="L367" i="7"/>
  <c r="M367" i="7"/>
  <c r="N367" i="7"/>
  <c r="O367" i="7" s="1"/>
  <c r="L368" i="7"/>
  <c r="M368" i="7"/>
  <c r="N368" i="7"/>
  <c r="O368" i="7" s="1"/>
  <c r="L369" i="7"/>
  <c r="M369" i="7"/>
  <c r="N369" i="7"/>
  <c r="O369" i="7" s="1"/>
  <c r="L370" i="7"/>
  <c r="M370" i="7"/>
  <c r="N370" i="7"/>
  <c r="O370" i="7" s="1"/>
  <c r="L371" i="7"/>
  <c r="M371" i="7"/>
  <c r="N371" i="7"/>
  <c r="O371" i="7" s="1"/>
  <c r="L372" i="7"/>
  <c r="M372" i="7"/>
  <c r="N372" i="7"/>
  <c r="O372" i="7" s="1"/>
  <c r="L373" i="7"/>
  <c r="M373" i="7"/>
  <c r="N373" i="7"/>
  <c r="O373" i="7" s="1"/>
  <c r="L374" i="7"/>
  <c r="M374" i="7"/>
  <c r="N374" i="7"/>
  <c r="O374" i="7" s="1"/>
  <c r="L375" i="7"/>
  <c r="M375" i="7"/>
  <c r="N375" i="7"/>
  <c r="O375" i="7" s="1"/>
  <c r="L376" i="7"/>
  <c r="M376" i="7"/>
  <c r="N376" i="7"/>
  <c r="O376" i="7" s="1"/>
  <c r="L377" i="7"/>
  <c r="M377" i="7"/>
  <c r="N377" i="7"/>
  <c r="O377" i="7" s="1"/>
  <c r="L378" i="7"/>
  <c r="M378" i="7"/>
  <c r="N378" i="7"/>
  <c r="O378" i="7" s="1"/>
  <c r="L379" i="7"/>
  <c r="M379" i="7"/>
  <c r="N379" i="7"/>
  <c r="O379" i="7" s="1"/>
  <c r="L380" i="7"/>
  <c r="M380" i="7"/>
  <c r="N380" i="7"/>
  <c r="O380" i="7" s="1"/>
  <c r="L381" i="7"/>
  <c r="M381" i="7"/>
  <c r="N381" i="7"/>
  <c r="O381" i="7" s="1"/>
  <c r="L382" i="7"/>
  <c r="M382" i="7"/>
  <c r="N382" i="7"/>
  <c r="O382" i="7" s="1"/>
  <c r="L383" i="7"/>
  <c r="M383" i="7"/>
  <c r="N383" i="7"/>
  <c r="O383" i="7" s="1"/>
  <c r="L384" i="7"/>
  <c r="M384" i="7"/>
  <c r="N384" i="7"/>
  <c r="O384" i="7" s="1"/>
  <c r="L385" i="7"/>
  <c r="M385" i="7"/>
  <c r="N385" i="7"/>
  <c r="O385" i="7" s="1"/>
  <c r="L386" i="7"/>
  <c r="M386" i="7"/>
  <c r="N386" i="7"/>
  <c r="O386" i="7" s="1"/>
  <c r="L387" i="7"/>
  <c r="M387" i="7"/>
  <c r="N387" i="7"/>
  <c r="O387" i="7"/>
  <c r="L388" i="7"/>
  <c r="M388" i="7"/>
  <c r="N388" i="7"/>
  <c r="O388" i="7" s="1"/>
  <c r="L389" i="7"/>
  <c r="M389" i="7"/>
  <c r="N389" i="7"/>
  <c r="O389" i="7" s="1"/>
  <c r="L390" i="7"/>
  <c r="M390" i="7"/>
  <c r="N390" i="7"/>
  <c r="O390" i="7" s="1"/>
  <c r="L391" i="7"/>
  <c r="M391" i="7"/>
  <c r="N391" i="7"/>
  <c r="O391" i="7" s="1"/>
  <c r="L392" i="7"/>
  <c r="M392" i="7"/>
  <c r="N392" i="7"/>
  <c r="O392" i="7" s="1"/>
  <c r="L393" i="7"/>
  <c r="M393" i="7"/>
  <c r="N393" i="7"/>
  <c r="O393" i="7" s="1"/>
  <c r="L394" i="7"/>
  <c r="M394" i="7"/>
  <c r="N394" i="7"/>
  <c r="O394" i="7" s="1"/>
  <c r="L395" i="7"/>
  <c r="M395" i="7"/>
  <c r="N395" i="7"/>
  <c r="O395" i="7" s="1"/>
  <c r="L396" i="7"/>
  <c r="M396" i="7"/>
  <c r="N396" i="7"/>
  <c r="O396" i="7" s="1"/>
  <c r="L397" i="7"/>
  <c r="M397" i="7"/>
  <c r="N397" i="7"/>
  <c r="O397" i="7" s="1"/>
  <c r="L398" i="7"/>
  <c r="M398" i="7"/>
  <c r="N398" i="7"/>
  <c r="O398" i="7" s="1"/>
  <c r="L399" i="7"/>
  <c r="M399" i="7"/>
  <c r="N399" i="7"/>
  <c r="O399" i="7" s="1"/>
  <c r="L400" i="7"/>
  <c r="M400" i="7"/>
  <c r="N400" i="7"/>
  <c r="O400" i="7" s="1"/>
  <c r="L401" i="7"/>
  <c r="M401" i="7"/>
  <c r="N401" i="7"/>
  <c r="O401" i="7" s="1"/>
  <c r="L402" i="7"/>
  <c r="M402" i="7"/>
  <c r="N402" i="7"/>
  <c r="O402" i="7" s="1"/>
  <c r="L403" i="7"/>
  <c r="M403" i="7"/>
  <c r="N403" i="7"/>
  <c r="O403" i="7" s="1"/>
  <c r="L404" i="7"/>
  <c r="M404" i="7"/>
  <c r="N404" i="7"/>
  <c r="O404" i="7" s="1"/>
  <c r="L405" i="7"/>
  <c r="M405" i="7"/>
  <c r="N405" i="7"/>
  <c r="O405" i="7" s="1"/>
  <c r="L406" i="7"/>
  <c r="M406" i="7"/>
  <c r="N406" i="7"/>
  <c r="O406" i="7" s="1"/>
  <c r="L407" i="7"/>
  <c r="M407" i="7"/>
  <c r="N407" i="7"/>
  <c r="O407" i="7" s="1"/>
  <c r="L408" i="7"/>
  <c r="M408" i="7"/>
  <c r="N408" i="7"/>
  <c r="O408" i="7" s="1"/>
  <c r="L409" i="7"/>
  <c r="M409" i="7"/>
  <c r="N409" i="7"/>
  <c r="O409" i="7" s="1"/>
  <c r="L410" i="7"/>
  <c r="M410" i="7"/>
  <c r="N410" i="7"/>
  <c r="O410" i="7" s="1"/>
  <c r="L411" i="7"/>
  <c r="M411" i="7"/>
  <c r="N411" i="7"/>
  <c r="O411" i="7" s="1"/>
  <c r="L412" i="7"/>
  <c r="M412" i="7"/>
  <c r="N412" i="7"/>
  <c r="O412" i="7" s="1"/>
  <c r="L413" i="7"/>
  <c r="M413" i="7"/>
  <c r="N413" i="7"/>
  <c r="O413" i="7" s="1"/>
  <c r="L414" i="7"/>
  <c r="M414" i="7"/>
  <c r="N414" i="7"/>
  <c r="O414" i="7" s="1"/>
  <c r="L415" i="7"/>
  <c r="M415" i="7"/>
  <c r="N415" i="7"/>
  <c r="O415" i="7" s="1"/>
  <c r="L416" i="7"/>
  <c r="M416" i="7"/>
  <c r="N416" i="7"/>
  <c r="O416" i="7" s="1"/>
  <c r="L417" i="7"/>
  <c r="M417" i="7"/>
  <c r="N417" i="7"/>
  <c r="O417" i="7" s="1"/>
  <c r="L418" i="7"/>
  <c r="M418" i="7"/>
  <c r="N418" i="7"/>
  <c r="O418" i="7" s="1"/>
  <c r="L419" i="7"/>
  <c r="M419" i="7"/>
  <c r="N419" i="7"/>
  <c r="O419" i="7" s="1"/>
  <c r="L420" i="7"/>
  <c r="M420" i="7"/>
  <c r="N420" i="7"/>
  <c r="O420" i="7" s="1"/>
  <c r="L421" i="7"/>
  <c r="M421" i="7"/>
  <c r="N421" i="7"/>
  <c r="O421" i="7" s="1"/>
  <c r="L422" i="7"/>
  <c r="M422" i="7"/>
  <c r="N422" i="7"/>
  <c r="O422" i="7" s="1"/>
  <c r="L423" i="7"/>
  <c r="M423" i="7"/>
  <c r="N423" i="7"/>
  <c r="O423" i="7" s="1"/>
  <c r="L424" i="7"/>
  <c r="M424" i="7"/>
  <c r="N424" i="7"/>
  <c r="O424" i="7" s="1"/>
  <c r="L425" i="7"/>
  <c r="M425" i="7"/>
  <c r="N425" i="7"/>
  <c r="O425" i="7" s="1"/>
  <c r="L426" i="7"/>
  <c r="M426" i="7"/>
  <c r="N426" i="7"/>
  <c r="O426" i="7" s="1"/>
  <c r="L427" i="7"/>
  <c r="M427" i="7"/>
  <c r="N427" i="7"/>
  <c r="O427" i="7" s="1"/>
  <c r="L428" i="7"/>
  <c r="M428" i="7"/>
  <c r="N428" i="7"/>
  <c r="O428" i="7" s="1"/>
  <c r="L429" i="7"/>
  <c r="M429" i="7"/>
  <c r="N429" i="7"/>
  <c r="O429" i="7" s="1"/>
  <c r="L430" i="7"/>
  <c r="M430" i="7"/>
  <c r="N430" i="7"/>
  <c r="O430" i="7" s="1"/>
  <c r="L431" i="7"/>
  <c r="M431" i="7"/>
  <c r="N431" i="7"/>
  <c r="O431" i="7" s="1"/>
  <c r="L432" i="7"/>
  <c r="M432" i="7"/>
  <c r="N432" i="7"/>
  <c r="O432" i="7" s="1"/>
  <c r="L433" i="7"/>
  <c r="M433" i="7"/>
  <c r="N433" i="7"/>
  <c r="O433" i="7" s="1"/>
  <c r="L434" i="7"/>
  <c r="M434" i="7"/>
  <c r="N434" i="7"/>
  <c r="O434" i="7" s="1"/>
  <c r="L435" i="7"/>
  <c r="M435" i="7"/>
  <c r="N435" i="7"/>
  <c r="O435" i="7" s="1"/>
  <c r="L436" i="7"/>
  <c r="M436" i="7"/>
  <c r="N436" i="7"/>
  <c r="O436" i="7" s="1"/>
  <c r="L437" i="7"/>
  <c r="M437" i="7"/>
  <c r="N437" i="7"/>
  <c r="O437" i="7" s="1"/>
  <c r="L438" i="7"/>
  <c r="M438" i="7"/>
  <c r="N438" i="7"/>
  <c r="O438" i="7"/>
  <c r="L439" i="7"/>
  <c r="M439" i="7"/>
  <c r="N439" i="7"/>
  <c r="O439" i="7" s="1"/>
  <c r="L440" i="7"/>
  <c r="M440" i="7"/>
  <c r="N440" i="7"/>
  <c r="O440" i="7" s="1"/>
  <c r="L441" i="7"/>
  <c r="M441" i="7"/>
  <c r="N441" i="7"/>
  <c r="O441" i="7" s="1"/>
  <c r="L442" i="7"/>
  <c r="M442" i="7"/>
  <c r="N442" i="7"/>
  <c r="O442" i="7" s="1"/>
  <c r="L443" i="7"/>
  <c r="M443" i="7"/>
  <c r="N443" i="7"/>
  <c r="O443" i="7" s="1"/>
  <c r="L444" i="7"/>
  <c r="M444" i="7"/>
  <c r="N444" i="7"/>
  <c r="O444" i="7" s="1"/>
  <c r="L445" i="7"/>
  <c r="M445" i="7"/>
  <c r="N445" i="7"/>
  <c r="O445" i="7" s="1"/>
  <c r="L446" i="7"/>
  <c r="M446" i="7"/>
  <c r="N446" i="7"/>
  <c r="O446" i="7" s="1"/>
  <c r="L447" i="7"/>
  <c r="M447" i="7"/>
  <c r="N447" i="7"/>
  <c r="O447" i="7" s="1"/>
  <c r="L448" i="7"/>
  <c r="M448" i="7"/>
  <c r="N448" i="7"/>
  <c r="O448" i="7" s="1"/>
  <c r="L449" i="7"/>
  <c r="M449" i="7"/>
  <c r="N449" i="7"/>
  <c r="O449" i="7" s="1"/>
  <c r="L450" i="7"/>
  <c r="M450" i="7"/>
  <c r="N450" i="7"/>
  <c r="O450" i="7" s="1"/>
  <c r="L451" i="7"/>
  <c r="M451" i="7"/>
  <c r="N451" i="7"/>
  <c r="O451" i="7" s="1"/>
  <c r="L452" i="7"/>
  <c r="M452" i="7"/>
  <c r="N452" i="7"/>
  <c r="O452" i="7" s="1"/>
  <c r="L453" i="7"/>
  <c r="M453" i="7"/>
  <c r="N453" i="7"/>
  <c r="O453" i="7" s="1"/>
  <c r="L454" i="7"/>
  <c r="M454" i="7"/>
  <c r="N454" i="7"/>
  <c r="O454" i="7" s="1"/>
  <c r="L455" i="7"/>
  <c r="M455" i="7"/>
  <c r="N455" i="7"/>
  <c r="O455" i="7" s="1"/>
  <c r="L456" i="7"/>
  <c r="M456" i="7"/>
  <c r="N456" i="7"/>
  <c r="O456" i="7" s="1"/>
  <c r="L457" i="7"/>
  <c r="M457" i="7"/>
  <c r="N457" i="7"/>
  <c r="O457" i="7" s="1"/>
  <c r="L458" i="7"/>
  <c r="M458" i="7"/>
  <c r="N458" i="7"/>
  <c r="O458" i="7" s="1"/>
  <c r="L459" i="7"/>
  <c r="M459" i="7"/>
  <c r="N459" i="7"/>
  <c r="O459" i="7" s="1"/>
  <c r="L460" i="7"/>
  <c r="M460" i="7"/>
  <c r="N460" i="7"/>
  <c r="O460" i="7" s="1"/>
  <c r="L461" i="7"/>
  <c r="M461" i="7"/>
  <c r="N461" i="7"/>
  <c r="O461" i="7" s="1"/>
  <c r="L462" i="7"/>
  <c r="M462" i="7"/>
  <c r="N462" i="7"/>
  <c r="O462" i="7" s="1"/>
  <c r="L463" i="7"/>
  <c r="M463" i="7"/>
  <c r="N463" i="7"/>
  <c r="O463" i="7" s="1"/>
  <c r="L464" i="7"/>
  <c r="M464" i="7"/>
  <c r="N464" i="7"/>
  <c r="O464" i="7" s="1"/>
  <c r="L465" i="7"/>
  <c r="M465" i="7"/>
  <c r="N465" i="7"/>
  <c r="O465" i="7" s="1"/>
  <c r="L466" i="7"/>
  <c r="M466" i="7"/>
  <c r="N466" i="7"/>
  <c r="O466" i="7" s="1"/>
  <c r="L467" i="7"/>
  <c r="M467" i="7"/>
  <c r="N467" i="7"/>
  <c r="O467" i="7" s="1"/>
  <c r="L468" i="7"/>
  <c r="M468" i="7"/>
  <c r="N468" i="7"/>
  <c r="O468" i="7" s="1"/>
  <c r="L469" i="7"/>
  <c r="M469" i="7"/>
  <c r="N469" i="7"/>
  <c r="O469" i="7" s="1"/>
  <c r="L470" i="7"/>
  <c r="M470" i="7"/>
  <c r="N470" i="7"/>
  <c r="O470" i="7" s="1"/>
  <c r="L471" i="7"/>
  <c r="M471" i="7"/>
  <c r="N471" i="7"/>
  <c r="O471" i="7" s="1"/>
  <c r="L472" i="7"/>
  <c r="M472" i="7"/>
  <c r="N472" i="7"/>
  <c r="O472" i="7" s="1"/>
  <c r="L473" i="7"/>
  <c r="M473" i="7"/>
  <c r="N473" i="7"/>
  <c r="O473" i="7" s="1"/>
  <c r="L474" i="7"/>
  <c r="M474" i="7"/>
  <c r="N474" i="7"/>
  <c r="O474" i="7" s="1"/>
  <c r="L475" i="7"/>
  <c r="M475" i="7"/>
  <c r="N475" i="7"/>
  <c r="O475" i="7" s="1"/>
  <c r="L476" i="7"/>
  <c r="M476" i="7"/>
  <c r="N476" i="7"/>
  <c r="O476" i="7" s="1"/>
  <c r="L477" i="7"/>
  <c r="M477" i="7"/>
  <c r="N477" i="7"/>
  <c r="O477" i="7" s="1"/>
  <c r="L478" i="7"/>
  <c r="M478" i="7"/>
  <c r="N478" i="7"/>
  <c r="O478" i="7" s="1"/>
  <c r="L479" i="7"/>
  <c r="M479" i="7"/>
  <c r="N479" i="7"/>
  <c r="O479" i="7" s="1"/>
  <c r="L480" i="7"/>
  <c r="M480" i="7"/>
  <c r="N480" i="7"/>
  <c r="O480" i="7" s="1"/>
  <c r="L481" i="7"/>
  <c r="M481" i="7"/>
  <c r="N481" i="7"/>
  <c r="O481" i="7" s="1"/>
  <c r="L482" i="7"/>
  <c r="M482" i="7"/>
  <c r="N482" i="7"/>
  <c r="O482" i="7" s="1"/>
  <c r="L483" i="7"/>
  <c r="M483" i="7"/>
  <c r="N483" i="7"/>
  <c r="O483" i="7" s="1"/>
  <c r="L484" i="7"/>
  <c r="M484" i="7"/>
  <c r="N484" i="7"/>
  <c r="O484" i="7" s="1"/>
  <c r="L485" i="7"/>
  <c r="M485" i="7"/>
  <c r="N485" i="7"/>
  <c r="O485" i="7" s="1"/>
  <c r="L486" i="7"/>
  <c r="M486" i="7"/>
  <c r="N486" i="7"/>
  <c r="O486" i="7" s="1"/>
  <c r="L487" i="7"/>
  <c r="M487" i="7"/>
  <c r="N487" i="7"/>
  <c r="O487" i="7" s="1"/>
  <c r="L488" i="7"/>
  <c r="M488" i="7"/>
  <c r="N488" i="7"/>
  <c r="O488" i="7" s="1"/>
  <c r="L489" i="7"/>
  <c r="M489" i="7"/>
  <c r="N489" i="7"/>
  <c r="O489" i="7" s="1"/>
  <c r="L490" i="7"/>
  <c r="M490" i="7"/>
  <c r="N490" i="7"/>
  <c r="O490" i="7" s="1"/>
  <c r="L491" i="7"/>
  <c r="M491" i="7"/>
  <c r="N491" i="7"/>
  <c r="O491" i="7" s="1"/>
  <c r="L492" i="7"/>
  <c r="M492" i="7"/>
  <c r="N492" i="7"/>
  <c r="O492" i="7" s="1"/>
  <c r="L493" i="7"/>
  <c r="M493" i="7"/>
  <c r="N493" i="7"/>
  <c r="O493" i="7" s="1"/>
  <c r="L494" i="7"/>
  <c r="M494" i="7"/>
  <c r="N494" i="7"/>
  <c r="O494" i="7" s="1"/>
  <c r="L495" i="7"/>
  <c r="M495" i="7"/>
  <c r="N495" i="7"/>
  <c r="O495" i="7" s="1"/>
  <c r="L496" i="7"/>
  <c r="M496" i="7"/>
  <c r="N496" i="7"/>
  <c r="O496" i="7" s="1"/>
  <c r="L497" i="7"/>
  <c r="M497" i="7"/>
  <c r="N497" i="7"/>
  <c r="O497" i="7" s="1"/>
  <c r="L498" i="7"/>
  <c r="M498" i="7"/>
  <c r="N498" i="7"/>
  <c r="O498" i="7" s="1"/>
  <c r="L499" i="7"/>
  <c r="M499" i="7"/>
  <c r="N499" i="7"/>
  <c r="O499" i="7" s="1"/>
  <c r="L500" i="7"/>
  <c r="M500" i="7"/>
  <c r="N500" i="7"/>
  <c r="O500" i="7" s="1"/>
  <c r="L501" i="7"/>
  <c r="M501" i="7"/>
  <c r="N501" i="7"/>
  <c r="O501" i="7" s="1"/>
  <c r="L502" i="7"/>
  <c r="M502" i="7"/>
  <c r="N502" i="7"/>
  <c r="O502" i="7" s="1"/>
  <c r="L503" i="7"/>
  <c r="M503" i="7"/>
  <c r="N503" i="7"/>
  <c r="O503" i="7" s="1"/>
  <c r="L504" i="7"/>
  <c r="M504" i="7"/>
  <c r="N504" i="7"/>
  <c r="O504" i="7" s="1"/>
  <c r="L505" i="7"/>
  <c r="M505" i="7"/>
  <c r="N505" i="7"/>
  <c r="O505" i="7" s="1"/>
  <c r="L506" i="7"/>
  <c r="M506" i="7"/>
  <c r="N506" i="7"/>
  <c r="O506" i="7" s="1"/>
  <c r="L507" i="7"/>
  <c r="M507" i="7"/>
  <c r="N507" i="7"/>
  <c r="O507" i="7" s="1"/>
  <c r="L508" i="7"/>
  <c r="M508" i="7"/>
  <c r="N508" i="7"/>
  <c r="O508" i="7" s="1"/>
  <c r="L509" i="7"/>
  <c r="M509" i="7"/>
  <c r="N509" i="7"/>
  <c r="O509" i="7" s="1"/>
  <c r="L510" i="7"/>
  <c r="M510" i="7"/>
  <c r="N510" i="7"/>
  <c r="O510" i="7" s="1"/>
  <c r="L511" i="7"/>
  <c r="M511" i="7"/>
  <c r="N511" i="7"/>
  <c r="O511" i="7" s="1"/>
  <c r="L512" i="7"/>
  <c r="M512" i="7"/>
  <c r="N512" i="7"/>
  <c r="O512" i="7" s="1"/>
  <c r="L513" i="7"/>
  <c r="M513" i="7"/>
  <c r="N513" i="7"/>
  <c r="O513" i="7"/>
  <c r="L514" i="7"/>
  <c r="M514" i="7"/>
  <c r="N514" i="7"/>
  <c r="O514" i="7" s="1"/>
  <c r="L515" i="7"/>
  <c r="M515" i="7"/>
  <c r="N515" i="7"/>
  <c r="O515" i="7" s="1"/>
  <c r="L516" i="7"/>
  <c r="M516" i="7"/>
  <c r="N516" i="7"/>
  <c r="O516" i="7" s="1"/>
  <c r="L517" i="7"/>
  <c r="M517" i="7"/>
  <c r="N517" i="7"/>
  <c r="O517" i="7" s="1"/>
  <c r="L518" i="7"/>
  <c r="M518" i="7"/>
  <c r="N518" i="7"/>
  <c r="O518" i="7" s="1"/>
  <c r="L519" i="7"/>
  <c r="M519" i="7"/>
  <c r="N519" i="7"/>
  <c r="O519" i="7" s="1"/>
  <c r="L520" i="7"/>
  <c r="M520" i="7"/>
  <c r="N520" i="7"/>
  <c r="O520" i="7" s="1"/>
  <c r="L521" i="7"/>
  <c r="M521" i="7"/>
  <c r="N521" i="7"/>
  <c r="O521" i="7" s="1"/>
  <c r="L522" i="7"/>
  <c r="M522" i="7"/>
  <c r="N522" i="7"/>
  <c r="O522" i="7" s="1"/>
  <c r="L523" i="7"/>
  <c r="M523" i="7"/>
  <c r="N523" i="7"/>
  <c r="O523" i="7" s="1"/>
  <c r="L524" i="7"/>
  <c r="M524" i="7"/>
  <c r="N524" i="7"/>
  <c r="O524" i="7" s="1"/>
  <c r="L525" i="7"/>
  <c r="M525" i="7"/>
  <c r="N525" i="7"/>
  <c r="O525" i="7" s="1"/>
  <c r="L526" i="7"/>
  <c r="M526" i="7"/>
  <c r="N526" i="7"/>
  <c r="O526" i="7" s="1"/>
  <c r="L527" i="7"/>
  <c r="M527" i="7"/>
  <c r="N527" i="7"/>
  <c r="O527" i="7" s="1"/>
  <c r="L528" i="7"/>
  <c r="M528" i="7"/>
  <c r="N528" i="7"/>
  <c r="O528" i="7" s="1"/>
  <c r="L529" i="7"/>
  <c r="M529" i="7"/>
  <c r="N529" i="7"/>
  <c r="O529" i="7" s="1"/>
  <c r="L530" i="7"/>
  <c r="M530" i="7"/>
  <c r="N530" i="7"/>
  <c r="O530" i="7" s="1"/>
  <c r="L531" i="7"/>
  <c r="M531" i="7"/>
  <c r="N531" i="7"/>
  <c r="O531" i="7" s="1"/>
  <c r="L532" i="7"/>
  <c r="M532" i="7"/>
  <c r="N532" i="7"/>
  <c r="O532" i="7" s="1"/>
  <c r="L533" i="7"/>
  <c r="M533" i="7"/>
  <c r="N533" i="7"/>
  <c r="O533" i="7" s="1"/>
  <c r="L534" i="7"/>
  <c r="M534" i="7"/>
  <c r="N534" i="7"/>
  <c r="O534" i="7" s="1"/>
  <c r="L535" i="7"/>
  <c r="M535" i="7"/>
  <c r="N535" i="7"/>
  <c r="O535" i="7" s="1"/>
  <c r="L536" i="7"/>
  <c r="M536" i="7"/>
  <c r="N536" i="7"/>
  <c r="O536" i="7" s="1"/>
  <c r="L537" i="7"/>
  <c r="M537" i="7"/>
  <c r="N537" i="7"/>
  <c r="O537" i="7" s="1"/>
  <c r="L538" i="7"/>
  <c r="M538" i="7"/>
  <c r="N538" i="7"/>
  <c r="O538" i="7" s="1"/>
  <c r="L539" i="7"/>
  <c r="M539" i="7"/>
  <c r="N539" i="7"/>
  <c r="O539" i="7" s="1"/>
  <c r="L540" i="7"/>
  <c r="M540" i="7"/>
  <c r="N540" i="7"/>
  <c r="O540" i="7" s="1"/>
  <c r="L541" i="7"/>
  <c r="M541" i="7"/>
  <c r="N541" i="7"/>
  <c r="O541" i="7" s="1"/>
  <c r="L542" i="7"/>
  <c r="M542" i="7"/>
  <c r="N542" i="7"/>
  <c r="O542" i="7" s="1"/>
  <c r="L543" i="7"/>
  <c r="M543" i="7"/>
  <c r="N543" i="7"/>
  <c r="O543" i="7" s="1"/>
  <c r="L544" i="7"/>
  <c r="M544" i="7"/>
  <c r="N544" i="7"/>
  <c r="O544" i="7" s="1"/>
  <c r="L545" i="7"/>
  <c r="M545" i="7"/>
  <c r="N545" i="7"/>
  <c r="O545" i="7" s="1"/>
  <c r="L546" i="7"/>
  <c r="M546" i="7"/>
  <c r="N546" i="7"/>
  <c r="O546" i="7" s="1"/>
  <c r="L547" i="7"/>
  <c r="M547" i="7"/>
  <c r="N547" i="7"/>
  <c r="O547" i="7" s="1"/>
  <c r="L548" i="7"/>
  <c r="M548" i="7"/>
  <c r="N548" i="7"/>
  <c r="O548" i="7" s="1"/>
  <c r="L549" i="7"/>
  <c r="M549" i="7"/>
  <c r="N549" i="7"/>
  <c r="O549" i="7" s="1"/>
  <c r="L550" i="7"/>
  <c r="M550" i="7"/>
  <c r="N550" i="7"/>
  <c r="O550" i="7" s="1"/>
  <c r="L551" i="7"/>
  <c r="M551" i="7"/>
  <c r="N551" i="7"/>
  <c r="O551" i="7" s="1"/>
  <c r="L552" i="7"/>
  <c r="M552" i="7"/>
  <c r="N552" i="7"/>
  <c r="O552" i="7" s="1"/>
  <c r="L553" i="7"/>
  <c r="M553" i="7"/>
  <c r="N553" i="7"/>
  <c r="O553" i="7" s="1"/>
  <c r="L554" i="7"/>
  <c r="M554" i="7"/>
  <c r="N554" i="7"/>
  <c r="O554" i="7" s="1"/>
  <c r="L555" i="7"/>
  <c r="M555" i="7"/>
  <c r="N555" i="7"/>
  <c r="O555" i="7" s="1"/>
  <c r="L556" i="7"/>
  <c r="M556" i="7"/>
  <c r="N556" i="7"/>
  <c r="O556" i="7" s="1"/>
  <c r="L557" i="7"/>
  <c r="M557" i="7"/>
  <c r="N557" i="7"/>
  <c r="O557" i="7" s="1"/>
  <c r="L558" i="7"/>
  <c r="M558" i="7"/>
  <c r="N558" i="7"/>
  <c r="O558" i="7" s="1"/>
  <c r="L559" i="7"/>
  <c r="M559" i="7"/>
  <c r="N559" i="7"/>
  <c r="O559" i="7" s="1"/>
  <c r="L560" i="7"/>
  <c r="M560" i="7"/>
  <c r="N560" i="7"/>
  <c r="O560" i="7" s="1"/>
  <c r="L561" i="7"/>
  <c r="M561" i="7"/>
  <c r="N561" i="7"/>
  <c r="O561" i="7" s="1"/>
  <c r="L562" i="7"/>
  <c r="M562" i="7"/>
  <c r="N562" i="7"/>
  <c r="O562" i="7" s="1"/>
  <c r="L563" i="7"/>
  <c r="M563" i="7"/>
  <c r="N563" i="7"/>
  <c r="O563" i="7"/>
  <c r="L564" i="7"/>
  <c r="M564" i="7"/>
  <c r="N564" i="7"/>
  <c r="O564" i="7" s="1"/>
  <c r="L565" i="7"/>
  <c r="M565" i="7"/>
  <c r="N565" i="7"/>
  <c r="O565" i="7" s="1"/>
  <c r="L566" i="7"/>
  <c r="M566" i="7"/>
  <c r="N566" i="7"/>
  <c r="O566" i="7" s="1"/>
  <c r="L567" i="7"/>
  <c r="M567" i="7"/>
  <c r="N567" i="7"/>
  <c r="O567" i="7" s="1"/>
  <c r="L568" i="7"/>
  <c r="M568" i="7"/>
  <c r="N568" i="7"/>
  <c r="O568" i="7" s="1"/>
  <c r="L569" i="7"/>
  <c r="M569" i="7"/>
  <c r="N569" i="7"/>
  <c r="O569" i="7" s="1"/>
  <c r="L570" i="7"/>
  <c r="M570" i="7"/>
  <c r="N570" i="7"/>
  <c r="O570" i="7" s="1"/>
  <c r="L571" i="7"/>
  <c r="M571" i="7"/>
  <c r="N571" i="7"/>
  <c r="O571" i="7" s="1"/>
  <c r="L572" i="7"/>
  <c r="M572" i="7"/>
  <c r="N572" i="7"/>
  <c r="O572" i="7" s="1"/>
  <c r="L573" i="7"/>
  <c r="M573" i="7"/>
  <c r="N573" i="7"/>
  <c r="O573" i="7" s="1"/>
  <c r="L574" i="7"/>
  <c r="M574" i="7"/>
  <c r="N574" i="7"/>
  <c r="O574" i="7" s="1"/>
  <c r="L575" i="7"/>
  <c r="M575" i="7"/>
  <c r="N575" i="7"/>
  <c r="O575" i="7" s="1"/>
  <c r="L576" i="7"/>
  <c r="M576" i="7"/>
  <c r="N576" i="7"/>
  <c r="O576" i="7" s="1"/>
  <c r="L577" i="7"/>
  <c r="M577" i="7"/>
  <c r="N577" i="7"/>
  <c r="O577" i="7" s="1"/>
  <c r="L578" i="7"/>
  <c r="M578" i="7"/>
  <c r="N578" i="7"/>
  <c r="O578" i="7" s="1"/>
  <c r="L579" i="7"/>
  <c r="M579" i="7"/>
  <c r="N579" i="7"/>
  <c r="O579" i="7" s="1"/>
  <c r="L580" i="7"/>
  <c r="M580" i="7"/>
  <c r="N580" i="7"/>
  <c r="O580" i="7" s="1"/>
  <c r="L581" i="7"/>
  <c r="M581" i="7"/>
  <c r="N581" i="7"/>
  <c r="O581" i="7" s="1"/>
  <c r="L582" i="7"/>
  <c r="M582" i="7"/>
  <c r="N582" i="7"/>
  <c r="O582" i="7" s="1"/>
  <c r="L583" i="7"/>
  <c r="M583" i="7"/>
  <c r="N583" i="7"/>
  <c r="O583" i="7" s="1"/>
  <c r="L584" i="7"/>
  <c r="M584" i="7"/>
  <c r="N584" i="7"/>
  <c r="O584" i="7" s="1"/>
  <c r="L585" i="7"/>
  <c r="M585" i="7"/>
  <c r="N585" i="7"/>
  <c r="O585" i="7" s="1"/>
  <c r="L586" i="7"/>
  <c r="M586" i="7"/>
  <c r="N586" i="7"/>
  <c r="O586" i="7" s="1"/>
  <c r="L587" i="7"/>
  <c r="M587" i="7"/>
  <c r="N587" i="7"/>
  <c r="O587" i="7" s="1"/>
  <c r="L588" i="7"/>
  <c r="M588" i="7"/>
  <c r="N588" i="7"/>
  <c r="O588" i="7" s="1"/>
  <c r="L589" i="7"/>
  <c r="M589" i="7"/>
  <c r="N589" i="7"/>
  <c r="O589" i="7" s="1"/>
  <c r="L590" i="7"/>
  <c r="M590" i="7"/>
  <c r="N590" i="7"/>
  <c r="O590" i="7" s="1"/>
  <c r="L591" i="7"/>
  <c r="M591" i="7"/>
  <c r="N591" i="7"/>
  <c r="O591" i="7" s="1"/>
  <c r="L592" i="7"/>
  <c r="M592" i="7"/>
  <c r="N592" i="7"/>
  <c r="O592" i="7" s="1"/>
  <c r="L593" i="7"/>
  <c r="M593" i="7"/>
  <c r="N593" i="7"/>
  <c r="O593" i="7" s="1"/>
  <c r="L594" i="7"/>
  <c r="M594" i="7"/>
  <c r="N594" i="7"/>
  <c r="O594" i="7" s="1"/>
  <c r="L595" i="7"/>
  <c r="M595" i="7"/>
  <c r="N595" i="7"/>
  <c r="O595" i="7" s="1"/>
  <c r="L596" i="7"/>
  <c r="M596" i="7"/>
  <c r="N596" i="7"/>
  <c r="O596" i="7" s="1"/>
  <c r="L597" i="7"/>
  <c r="M597" i="7"/>
  <c r="N597" i="7"/>
  <c r="O597" i="7" s="1"/>
  <c r="L598" i="7"/>
  <c r="M598" i="7"/>
  <c r="N598" i="7"/>
  <c r="O598" i="7" s="1"/>
  <c r="L599" i="7"/>
  <c r="M599" i="7"/>
  <c r="N599" i="7"/>
  <c r="O599" i="7" s="1"/>
  <c r="L600" i="7"/>
  <c r="M600" i="7"/>
  <c r="N600" i="7"/>
  <c r="O600" i="7" s="1"/>
  <c r="L601" i="7"/>
  <c r="M601" i="7"/>
  <c r="N601" i="7"/>
  <c r="O601" i="7" s="1"/>
  <c r="L602" i="7"/>
  <c r="M602" i="7"/>
  <c r="N602" i="7"/>
  <c r="O602" i="7" s="1"/>
  <c r="L603" i="7"/>
  <c r="M603" i="7"/>
  <c r="N603" i="7"/>
  <c r="O603" i="7" s="1"/>
  <c r="L604" i="7"/>
  <c r="M604" i="7"/>
  <c r="N604" i="7"/>
  <c r="O604" i="7" s="1"/>
  <c r="L605" i="7"/>
  <c r="M605" i="7"/>
  <c r="N605" i="7"/>
  <c r="O605" i="7" s="1"/>
  <c r="L606" i="7"/>
  <c r="M606" i="7"/>
  <c r="N606" i="7"/>
  <c r="O606" i="7" s="1"/>
  <c r="L607" i="7"/>
  <c r="M607" i="7"/>
  <c r="N607" i="7"/>
  <c r="O607" i="7" s="1"/>
  <c r="L608" i="7"/>
  <c r="M608" i="7"/>
  <c r="N608" i="7"/>
  <c r="O608" i="7" s="1"/>
  <c r="L609" i="7"/>
  <c r="M609" i="7"/>
  <c r="N609" i="7"/>
  <c r="O609" i="7" s="1"/>
  <c r="L610" i="7"/>
  <c r="M610" i="7"/>
  <c r="N610" i="7"/>
  <c r="O610" i="7" s="1"/>
  <c r="L611" i="7"/>
  <c r="M611" i="7"/>
  <c r="N611" i="7"/>
  <c r="O611" i="7" s="1"/>
  <c r="L612" i="7"/>
  <c r="M612" i="7"/>
  <c r="N612" i="7"/>
  <c r="O612" i="7" s="1"/>
  <c r="L613" i="7"/>
  <c r="M613" i="7"/>
  <c r="N613" i="7"/>
  <c r="O613" i="7" s="1"/>
  <c r="L614" i="7"/>
  <c r="M614" i="7"/>
  <c r="N614" i="7"/>
  <c r="O614" i="7" s="1"/>
  <c r="L615" i="7"/>
  <c r="M615" i="7"/>
  <c r="N615" i="7"/>
  <c r="O615" i="7" s="1"/>
  <c r="L616" i="7"/>
  <c r="M616" i="7"/>
  <c r="N616" i="7"/>
  <c r="O616" i="7" s="1"/>
  <c r="L617" i="7"/>
  <c r="M617" i="7"/>
  <c r="N617" i="7"/>
  <c r="O617" i="7" s="1"/>
  <c r="L618" i="7"/>
  <c r="M618" i="7"/>
  <c r="N618" i="7"/>
  <c r="O618" i="7" s="1"/>
  <c r="L619" i="7"/>
  <c r="M619" i="7"/>
  <c r="N619" i="7"/>
  <c r="O619" i="7" s="1"/>
  <c r="L620" i="7"/>
  <c r="M620" i="7"/>
  <c r="N620" i="7"/>
  <c r="O620" i="7" s="1"/>
  <c r="L621" i="7"/>
  <c r="M621" i="7"/>
  <c r="N621" i="7"/>
  <c r="O621" i="7" s="1"/>
  <c r="L622" i="7"/>
  <c r="M622" i="7"/>
  <c r="N622" i="7"/>
  <c r="O622" i="7" s="1"/>
  <c r="L623" i="7"/>
  <c r="M623" i="7"/>
  <c r="N623" i="7"/>
  <c r="O623" i="7" s="1"/>
  <c r="L624" i="7"/>
  <c r="M624" i="7"/>
  <c r="N624" i="7"/>
  <c r="O624" i="7" s="1"/>
  <c r="L625" i="7"/>
  <c r="M625" i="7"/>
  <c r="N625" i="7"/>
  <c r="O625" i="7" s="1"/>
  <c r="L626" i="7"/>
  <c r="M626" i="7"/>
  <c r="N626" i="7"/>
  <c r="O626" i="7" s="1"/>
  <c r="L627" i="7"/>
  <c r="M627" i="7"/>
  <c r="N627" i="7"/>
  <c r="O627" i="7" s="1"/>
  <c r="L628" i="7"/>
  <c r="M628" i="7"/>
  <c r="N628" i="7"/>
  <c r="O628" i="7" s="1"/>
  <c r="L629" i="7"/>
  <c r="M629" i="7"/>
  <c r="N629" i="7"/>
  <c r="O629" i="7" s="1"/>
  <c r="L630" i="7"/>
  <c r="M630" i="7"/>
  <c r="N630" i="7"/>
  <c r="O630" i="7" s="1"/>
  <c r="L631" i="7"/>
  <c r="M631" i="7"/>
  <c r="N631" i="7"/>
  <c r="O631" i="7" s="1"/>
  <c r="L632" i="7"/>
  <c r="M632" i="7"/>
  <c r="N632" i="7"/>
  <c r="O632" i="7" s="1"/>
  <c r="L633" i="7"/>
  <c r="M633" i="7"/>
  <c r="N633" i="7"/>
  <c r="O633" i="7" s="1"/>
  <c r="L634" i="7"/>
  <c r="M634" i="7"/>
  <c r="N634" i="7"/>
  <c r="O634" i="7" s="1"/>
  <c r="L635" i="7"/>
  <c r="M635" i="7"/>
  <c r="N635" i="7"/>
  <c r="O635" i="7" s="1"/>
  <c r="L636" i="7"/>
  <c r="M636" i="7"/>
  <c r="N636" i="7"/>
  <c r="O636" i="7" s="1"/>
  <c r="L637" i="7"/>
  <c r="M637" i="7"/>
  <c r="N637" i="7"/>
  <c r="O637" i="7" s="1"/>
  <c r="L638" i="7"/>
  <c r="M638" i="7"/>
  <c r="N638" i="7"/>
  <c r="O638" i="7" s="1"/>
  <c r="L639" i="7"/>
  <c r="M639" i="7"/>
  <c r="N639" i="7"/>
  <c r="O639" i="7" s="1"/>
  <c r="L640" i="7"/>
  <c r="M640" i="7"/>
  <c r="N640" i="7"/>
  <c r="O640" i="7" s="1"/>
  <c r="L641" i="7"/>
  <c r="M641" i="7"/>
  <c r="N641" i="7"/>
  <c r="O641" i="7" s="1"/>
  <c r="L642" i="7"/>
  <c r="M642" i="7"/>
  <c r="N642" i="7"/>
  <c r="O642" i="7" s="1"/>
  <c r="L643" i="7"/>
  <c r="M643" i="7"/>
  <c r="N643" i="7"/>
  <c r="O643" i="7" s="1"/>
  <c r="L644" i="7"/>
  <c r="M644" i="7"/>
  <c r="N644" i="7"/>
  <c r="O644" i="7" s="1"/>
  <c r="L645" i="7"/>
  <c r="M645" i="7"/>
  <c r="N645" i="7"/>
  <c r="O645" i="7" s="1"/>
  <c r="L646" i="7"/>
  <c r="M646" i="7"/>
  <c r="N646" i="7"/>
  <c r="O646" i="7" s="1"/>
  <c r="L647" i="7"/>
  <c r="M647" i="7"/>
  <c r="N647" i="7"/>
  <c r="O647" i="7" s="1"/>
  <c r="L648" i="7"/>
  <c r="M648" i="7"/>
  <c r="N648" i="7"/>
  <c r="O648" i="7" s="1"/>
  <c r="L649" i="7"/>
  <c r="M649" i="7"/>
  <c r="N649" i="7"/>
  <c r="O649" i="7" s="1"/>
  <c r="L650" i="7"/>
  <c r="M650" i="7"/>
  <c r="N650" i="7"/>
  <c r="O650" i="7" s="1"/>
  <c r="L651" i="7"/>
  <c r="M651" i="7"/>
  <c r="N651" i="7"/>
  <c r="O651" i="7" s="1"/>
  <c r="L652" i="7"/>
  <c r="M652" i="7"/>
  <c r="N652" i="7"/>
  <c r="O652" i="7" s="1"/>
  <c r="L653" i="7"/>
  <c r="M653" i="7"/>
  <c r="N653" i="7"/>
  <c r="O653" i="7" s="1"/>
  <c r="L654" i="7"/>
  <c r="M654" i="7"/>
  <c r="N654" i="7"/>
  <c r="O654" i="7" s="1"/>
  <c r="L655" i="7"/>
  <c r="M655" i="7"/>
  <c r="N655" i="7"/>
  <c r="O655" i="7" s="1"/>
  <c r="L656" i="7"/>
  <c r="M656" i="7"/>
  <c r="N656" i="7"/>
  <c r="O656" i="7" s="1"/>
  <c r="L657" i="7"/>
  <c r="M657" i="7"/>
  <c r="N657" i="7"/>
  <c r="O657" i="7" s="1"/>
  <c r="L658" i="7"/>
  <c r="M658" i="7"/>
  <c r="N658" i="7"/>
  <c r="O658" i="7" s="1"/>
  <c r="L659" i="7"/>
  <c r="M659" i="7"/>
  <c r="N659" i="7"/>
  <c r="O659" i="7" s="1"/>
  <c r="L660" i="7"/>
  <c r="M660" i="7"/>
  <c r="N660" i="7"/>
  <c r="O660" i="7" s="1"/>
  <c r="L661" i="7"/>
  <c r="M661" i="7"/>
  <c r="N661" i="7"/>
  <c r="O661" i="7" s="1"/>
  <c r="L662" i="7"/>
  <c r="M662" i="7"/>
  <c r="N662" i="7"/>
  <c r="O662" i="7" s="1"/>
  <c r="L663" i="7"/>
  <c r="M663" i="7"/>
  <c r="N663" i="7"/>
  <c r="O663" i="7" s="1"/>
  <c r="L664" i="7"/>
  <c r="M664" i="7"/>
  <c r="N664" i="7"/>
  <c r="O664" i="7" s="1"/>
  <c r="L665" i="7"/>
  <c r="M665" i="7"/>
  <c r="N665" i="7"/>
  <c r="O665" i="7" s="1"/>
  <c r="L666" i="7"/>
  <c r="M666" i="7"/>
  <c r="N666" i="7"/>
  <c r="O666" i="7" s="1"/>
  <c r="L667" i="7"/>
  <c r="M667" i="7"/>
  <c r="N667" i="7"/>
  <c r="O667" i="7" s="1"/>
  <c r="L668" i="7"/>
  <c r="M668" i="7"/>
  <c r="N668" i="7"/>
  <c r="O668" i="7" s="1"/>
  <c r="L669" i="7"/>
  <c r="M669" i="7"/>
  <c r="N669" i="7"/>
  <c r="O669" i="7" s="1"/>
  <c r="L670" i="7"/>
  <c r="M670" i="7"/>
  <c r="N670" i="7"/>
  <c r="O670" i="7" s="1"/>
  <c r="L671" i="7"/>
  <c r="M671" i="7"/>
  <c r="N671" i="7"/>
  <c r="O671" i="7" s="1"/>
  <c r="L672" i="7"/>
  <c r="M672" i="7"/>
  <c r="N672" i="7"/>
  <c r="O672" i="7" s="1"/>
  <c r="L673" i="7"/>
  <c r="M673" i="7"/>
  <c r="N673" i="7"/>
  <c r="O673" i="7" s="1"/>
  <c r="L674" i="7"/>
  <c r="M674" i="7"/>
  <c r="N674" i="7"/>
  <c r="O674" i="7" s="1"/>
  <c r="L675" i="7"/>
  <c r="M675" i="7"/>
  <c r="N675" i="7"/>
  <c r="O675" i="7" s="1"/>
  <c r="L676" i="7"/>
  <c r="M676" i="7"/>
  <c r="N676" i="7"/>
  <c r="O676" i="7" s="1"/>
  <c r="L677" i="7"/>
  <c r="M677" i="7"/>
  <c r="N677" i="7"/>
  <c r="O677" i="7" s="1"/>
  <c r="L678" i="7"/>
  <c r="M678" i="7"/>
  <c r="N678" i="7"/>
  <c r="O678" i="7" s="1"/>
  <c r="L679" i="7"/>
  <c r="M679" i="7"/>
  <c r="N679" i="7"/>
  <c r="O679" i="7" s="1"/>
  <c r="L680" i="7"/>
  <c r="M680" i="7"/>
  <c r="N680" i="7"/>
  <c r="O680" i="7" s="1"/>
  <c r="L681" i="7"/>
  <c r="M681" i="7"/>
  <c r="N681" i="7"/>
  <c r="O681" i="7" s="1"/>
  <c r="L682" i="7"/>
  <c r="M682" i="7"/>
  <c r="N682" i="7"/>
  <c r="O682" i="7" s="1"/>
  <c r="L683" i="7"/>
  <c r="M683" i="7"/>
  <c r="N683" i="7"/>
  <c r="O683" i="7" s="1"/>
  <c r="L684" i="7"/>
  <c r="M684" i="7"/>
  <c r="N684" i="7"/>
  <c r="O684" i="7" s="1"/>
  <c r="L685" i="7"/>
  <c r="M685" i="7"/>
  <c r="N685" i="7"/>
  <c r="O685" i="7" s="1"/>
  <c r="L686" i="7"/>
  <c r="M686" i="7"/>
  <c r="N686" i="7"/>
  <c r="O686" i="7" s="1"/>
  <c r="L687" i="7"/>
  <c r="M687" i="7"/>
  <c r="N687" i="7"/>
  <c r="O687" i="7" s="1"/>
  <c r="L688" i="7"/>
  <c r="M688" i="7"/>
  <c r="N688" i="7"/>
  <c r="O688" i="7" s="1"/>
  <c r="L689" i="7"/>
  <c r="M689" i="7"/>
  <c r="N689" i="7"/>
  <c r="O689" i="7" s="1"/>
  <c r="L690" i="7"/>
  <c r="M690" i="7"/>
  <c r="N690" i="7"/>
  <c r="O690" i="7" s="1"/>
  <c r="L691" i="7"/>
  <c r="M691" i="7"/>
  <c r="N691" i="7"/>
  <c r="O691" i="7" s="1"/>
  <c r="L692" i="7"/>
  <c r="M692" i="7"/>
  <c r="N692" i="7"/>
  <c r="O692" i="7" s="1"/>
  <c r="L693" i="7"/>
  <c r="M693" i="7"/>
  <c r="N693" i="7"/>
  <c r="O693" i="7" s="1"/>
  <c r="L694" i="7"/>
  <c r="M694" i="7"/>
  <c r="N694" i="7"/>
  <c r="O694" i="7" s="1"/>
  <c r="L695" i="7"/>
  <c r="M695" i="7"/>
  <c r="N695" i="7"/>
  <c r="O695" i="7" s="1"/>
  <c r="L696" i="7"/>
  <c r="M696" i="7"/>
  <c r="N696" i="7"/>
  <c r="O696" i="7" s="1"/>
  <c r="L697" i="7"/>
  <c r="M697" i="7"/>
  <c r="N697" i="7"/>
  <c r="O697" i="7" s="1"/>
  <c r="L698" i="7"/>
  <c r="M698" i="7"/>
  <c r="N698" i="7"/>
  <c r="O698" i="7" s="1"/>
  <c r="L699" i="7"/>
  <c r="M699" i="7"/>
  <c r="N699" i="7"/>
  <c r="O699" i="7" s="1"/>
  <c r="L700" i="7"/>
  <c r="M700" i="7"/>
  <c r="N700" i="7"/>
  <c r="O700" i="7" s="1"/>
  <c r="L701" i="7"/>
  <c r="M701" i="7"/>
  <c r="N701" i="7"/>
  <c r="O701" i="7" s="1"/>
  <c r="L702" i="7"/>
  <c r="M702" i="7"/>
  <c r="N702" i="7"/>
  <c r="O702" i="7" s="1"/>
  <c r="L703" i="7"/>
  <c r="M703" i="7"/>
  <c r="N703" i="7"/>
  <c r="O703" i="7" s="1"/>
  <c r="L704" i="7"/>
  <c r="M704" i="7"/>
  <c r="N704" i="7"/>
  <c r="O704" i="7" s="1"/>
  <c r="L705" i="7"/>
  <c r="M705" i="7"/>
  <c r="N705" i="7"/>
  <c r="O705" i="7" s="1"/>
  <c r="L706" i="7"/>
  <c r="M706" i="7"/>
  <c r="N706" i="7"/>
  <c r="O706" i="7" s="1"/>
  <c r="L707" i="7"/>
  <c r="M707" i="7"/>
  <c r="N707" i="7"/>
  <c r="O707" i="7" s="1"/>
  <c r="L708" i="7"/>
  <c r="M708" i="7"/>
  <c r="N708" i="7"/>
  <c r="O708" i="7" s="1"/>
  <c r="L709" i="7"/>
  <c r="M709" i="7"/>
  <c r="N709" i="7"/>
  <c r="O709" i="7" s="1"/>
  <c r="L710" i="7"/>
  <c r="M710" i="7"/>
  <c r="N710" i="7"/>
  <c r="O710" i="7" s="1"/>
  <c r="L711" i="7"/>
  <c r="M711" i="7"/>
  <c r="N711" i="7"/>
  <c r="O711" i="7" s="1"/>
  <c r="L712" i="7"/>
  <c r="M712" i="7"/>
  <c r="N712" i="7"/>
  <c r="O712" i="7" s="1"/>
  <c r="L713" i="7"/>
  <c r="M713" i="7"/>
  <c r="N713" i="7"/>
  <c r="O713" i="7" s="1"/>
  <c r="L714" i="7"/>
  <c r="M714" i="7"/>
  <c r="N714" i="7"/>
  <c r="O714" i="7" s="1"/>
  <c r="L715" i="7"/>
  <c r="M715" i="7"/>
  <c r="N715" i="7"/>
  <c r="O715" i="7" s="1"/>
  <c r="L716" i="7"/>
  <c r="M716" i="7"/>
  <c r="N716" i="7"/>
  <c r="O716" i="7" s="1"/>
  <c r="L717" i="7"/>
  <c r="M717" i="7"/>
  <c r="N717" i="7"/>
  <c r="O717" i="7" s="1"/>
  <c r="L718" i="7"/>
  <c r="M718" i="7"/>
  <c r="N718" i="7"/>
  <c r="O718" i="7" s="1"/>
  <c r="L719" i="7"/>
  <c r="M719" i="7"/>
  <c r="N719" i="7"/>
  <c r="O719" i="7"/>
  <c r="L720" i="7"/>
  <c r="M720" i="7"/>
  <c r="N720" i="7"/>
  <c r="O720" i="7" s="1"/>
  <c r="L721" i="7"/>
  <c r="M721" i="7"/>
  <c r="N721" i="7"/>
  <c r="O721" i="7" s="1"/>
  <c r="L722" i="7"/>
  <c r="M722" i="7"/>
  <c r="N722" i="7"/>
  <c r="O722" i="7" s="1"/>
  <c r="L723" i="7"/>
  <c r="M723" i="7"/>
  <c r="N723" i="7"/>
  <c r="O723" i="7" s="1"/>
  <c r="L724" i="7"/>
  <c r="M724" i="7"/>
  <c r="N724" i="7"/>
  <c r="O724" i="7" s="1"/>
  <c r="L725" i="7"/>
  <c r="M725" i="7"/>
  <c r="N725" i="7"/>
  <c r="O725" i="7" s="1"/>
  <c r="L726" i="7"/>
  <c r="M726" i="7"/>
  <c r="N726" i="7"/>
  <c r="O726" i="7" s="1"/>
  <c r="L727" i="7"/>
  <c r="M727" i="7"/>
  <c r="N727" i="7"/>
  <c r="O727" i="7" s="1"/>
  <c r="L728" i="7"/>
  <c r="M728" i="7"/>
  <c r="N728" i="7"/>
  <c r="O728" i="7" s="1"/>
  <c r="L729" i="7"/>
  <c r="M729" i="7"/>
  <c r="N729" i="7"/>
  <c r="O729" i="7" s="1"/>
  <c r="L730" i="7"/>
  <c r="M730" i="7"/>
  <c r="N730" i="7"/>
  <c r="O730" i="7" s="1"/>
  <c r="L731" i="7"/>
  <c r="M731" i="7"/>
  <c r="N731" i="7"/>
  <c r="O731" i="7" s="1"/>
  <c r="L732" i="7"/>
  <c r="M732" i="7"/>
  <c r="N732" i="7"/>
  <c r="O732" i="7" s="1"/>
  <c r="L733" i="7"/>
  <c r="M733" i="7"/>
  <c r="N733" i="7"/>
  <c r="O733" i="7" s="1"/>
  <c r="L734" i="7"/>
  <c r="M734" i="7"/>
  <c r="N734" i="7"/>
  <c r="O734" i="7" s="1"/>
  <c r="L735" i="7"/>
  <c r="M735" i="7"/>
  <c r="N735" i="7"/>
  <c r="O735" i="7" s="1"/>
  <c r="L736" i="7"/>
  <c r="M736" i="7"/>
  <c r="N736" i="7"/>
  <c r="O736" i="7" s="1"/>
  <c r="L737" i="7"/>
  <c r="M737" i="7"/>
  <c r="N737" i="7"/>
  <c r="O737" i="7" s="1"/>
  <c r="L738" i="7"/>
  <c r="M738" i="7"/>
  <c r="N738" i="7"/>
  <c r="O738" i="7" s="1"/>
  <c r="L739" i="7"/>
  <c r="M739" i="7"/>
  <c r="N739" i="7"/>
  <c r="O739" i="7" s="1"/>
  <c r="L740" i="7"/>
  <c r="M740" i="7"/>
  <c r="N740" i="7"/>
  <c r="O740" i="7" s="1"/>
  <c r="L741" i="7"/>
  <c r="M741" i="7"/>
  <c r="N741" i="7"/>
  <c r="O741" i="7" s="1"/>
  <c r="L742" i="7"/>
  <c r="M742" i="7"/>
  <c r="N742" i="7"/>
  <c r="O742" i="7" s="1"/>
  <c r="L743" i="7"/>
  <c r="M743" i="7"/>
  <c r="N743" i="7"/>
  <c r="O743" i="7" s="1"/>
  <c r="L744" i="7"/>
  <c r="M744" i="7"/>
  <c r="N744" i="7"/>
  <c r="O744" i="7" s="1"/>
  <c r="L745" i="7"/>
  <c r="M745" i="7"/>
  <c r="N745" i="7"/>
  <c r="O745" i="7" s="1"/>
  <c r="L746" i="7"/>
  <c r="M746" i="7"/>
  <c r="N746" i="7"/>
  <c r="O746" i="7" s="1"/>
  <c r="L747" i="7"/>
  <c r="M747" i="7"/>
  <c r="N747" i="7"/>
  <c r="O747" i="7" s="1"/>
  <c r="L748" i="7"/>
  <c r="M748" i="7"/>
  <c r="N748" i="7"/>
  <c r="O748" i="7" s="1"/>
  <c r="L749" i="7"/>
  <c r="M749" i="7"/>
  <c r="N749" i="7"/>
  <c r="O749" i="7" s="1"/>
  <c r="L750" i="7"/>
  <c r="M750" i="7"/>
  <c r="N750" i="7"/>
  <c r="O750" i="7" s="1"/>
  <c r="L751" i="7"/>
  <c r="M751" i="7"/>
  <c r="N751" i="7"/>
  <c r="O751" i="7" s="1"/>
  <c r="L752" i="7"/>
  <c r="M752" i="7"/>
  <c r="N752" i="7"/>
  <c r="O752" i="7" s="1"/>
  <c r="L753" i="7"/>
  <c r="M753" i="7"/>
  <c r="N753" i="7"/>
  <c r="O753" i="7" s="1"/>
  <c r="L754" i="7"/>
  <c r="M754" i="7"/>
  <c r="N754" i="7"/>
  <c r="O754" i="7"/>
  <c r="L755" i="7"/>
  <c r="M755" i="7"/>
  <c r="N755" i="7"/>
  <c r="O755" i="7" s="1"/>
  <c r="L756" i="7"/>
  <c r="M756" i="7"/>
  <c r="N756" i="7"/>
  <c r="O756" i="7" s="1"/>
  <c r="L757" i="7"/>
  <c r="M757" i="7"/>
  <c r="N757" i="7"/>
  <c r="O757" i="7" s="1"/>
  <c r="L758" i="7"/>
  <c r="M758" i="7"/>
  <c r="N758" i="7"/>
  <c r="O758" i="7" s="1"/>
  <c r="L759" i="7"/>
  <c r="M759" i="7"/>
  <c r="N759" i="7"/>
  <c r="O759" i="7" s="1"/>
  <c r="L760" i="7"/>
  <c r="M760" i="7"/>
  <c r="N760" i="7"/>
  <c r="O760" i="7" s="1"/>
  <c r="L761" i="7"/>
  <c r="M761" i="7"/>
  <c r="N761" i="7"/>
  <c r="O761" i="7" s="1"/>
  <c r="L762" i="7"/>
  <c r="M762" i="7"/>
  <c r="N762" i="7"/>
  <c r="O762" i="7" s="1"/>
  <c r="L763" i="7"/>
  <c r="M763" i="7"/>
  <c r="N763" i="7"/>
  <c r="O763" i="7" s="1"/>
  <c r="L764" i="7"/>
  <c r="M764" i="7"/>
  <c r="N764" i="7"/>
  <c r="O764" i="7" s="1"/>
  <c r="L765" i="7"/>
  <c r="M765" i="7"/>
  <c r="N765" i="7"/>
  <c r="O765" i="7" s="1"/>
  <c r="L766" i="7"/>
  <c r="M766" i="7"/>
  <c r="N766" i="7"/>
  <c r="O766" i="7" s="1"/>
  <c r="L767" i="7"/>
  <c r="M767" i="7"/>
  <c r="N767" i="7"/>
  <c r="O767" i="7" s="1"/>
  <c r="L768" i="7"/>
  <c r="M768" i="7"/>
  <c r="N768" i="7"/>
  <c r="O768" i="7" s="1"/>
  <c r="L769" i="7"/>
  <c r="M769" i="7"/>
  <c r="N769" i="7"/>
  <c r="O769" i="7" s="1"/>
  <c r="L770" i="7"/>
  <c r="M770" i="7"/>
  <c r="N770" i="7"/>
  <c r="O770" i="7" s="1"/>
  <c r="L771" i="7"/>
  <c r="M771" i="7"/>
  <c r="N771" i="7"/>
  <c r="O771" i="7" s="1"/>
  <c r="L772" i="7"/>
  <c r="M772" i="7"/>
  <c r="N772" i="7"/>
  <c r="O772" i="7" s="1"/>
  <c r="L773" i="7"/>
  <c r="M773" i="7"/>
  <c r="N773" i="7"/>
  <c r="O773" i="7" s="1"/>
  <c r="L774" i="7"/>
  <c r="M774" i="7"/>
  <c r="N774" i="7"/>
  <c r="O774" i="7" s="1"/>
  <c r="L775" i="7"/>
  <c r="M775" i="7"/>
  <c r="N775" i="7"/>
  <c r="O775" i="7" s="1"/>
  <c r="L776" i="7"/>
  <c r="M776" i="7"/>
  <c r="N776" i="7"/>
  <c r="O776" i="7" s="1"/>
  <c r="L777" i="7"/>
  <c r="M777" i="7"/>
  <c r="N777" i="7"/>
  <c r="O777" i="7" s="1"/>
  <c r="L778" i="7"/>
  <c r="M778" i="7"/>
  <c r="N778" i="7"/>
  <c r="O778" i="7"/>
  <c r="L779" i="7"/>
  <c r="M779" i="7"/>
  <c r="N779" i="7"/>
  <c r="O779" i="7" s="1"/>
  <c r="L780" i="7"/>
  <c r="M780" i="7"/>
  <c r="N780" i="7"/>
  <c r="O780" i="7" s="1"/>
  <c r="L781" i="7"/>
  <c r="M781" i="7"/>
  <c r="N781" i="7"/>
  <c r="O781" i="7" s="1"/>
  <c r="L782" i="7"/>
  <c r="M782" i="7"/>
  <c r="N782" i="7"/>
  <c r="O782" i="7" s="1"/>
  <c r="L783" i="7"/>
  <c r="M783" i="7"/>
  <c r="N783" i="7"/>
  <c r="O783" i="7" s="1"/>
  <c r="L784" i="7"/>
  <c r="M784" i="7"/>
  <c r="N784" i="7"/>
  <c r="O784" i="7" s="1"/>
  <c r="L785" i="7"/>
  <c r="M785" i="7"/>
  <c r="N785" i="7"/>
  <c r="O785" i="7" s="1"/>
  <c r="L786" i="7"/>
  <c r="M786" i="7"/>
  <c r="N786" i="7"/>
  <c r="O786" i="7" s="1"/>
  <c r="L787" i="7"/>
  <c r="M787" i="7"/>
  <c r="N787" i="7"/>
  <c r="O787" i="7" s="1"/>
  <c r="L788" i="7"/>
  <c r="M788" i="7"/>
  <c r="N788" i="7"/>
  <c r="O788" i="7" s="1"/>
  <c r="L789" i="7"/>
  <c r="M789" i="7"/>
  <c r="N789" i="7"/>
  <c r="O789" i="7" s="1"/>
  <c r="L790" i="7"/>
  <c r="M790" i="7"/>
  <c r="N790" i="7"/>
  <c r="O790" i="7"/>
  <c r="L791" i="7"/>
  <c r="M791" i="7"/>
  <c r="N791" i="7"/>
  <c r="O791" i="7" s="1"/>
  <c r="L792" i="7"/>
  <c r="M792" i="7"/>
  <c r="N792" i="7"/>
  <c r="O792" i="7" s="1"/>
  <c r="L793" i="7"/>
  <c r="M793" i="7"/>
  <c r="N793" i="7"/>
  <c r="O793" i="7" s="1"/>
  <c r="L794" i="7"/>
  <c r="M794" i="7"/>
  <c r="N794" i="7"/>
  <c r="O794" i="7" s="1"/>
  <c r="L795" i="7"/>
  <c r="M795" i="7"/>
  <c r="N795" i="7"/>
  <c r="O795" i="7" s="1"/>
  <c r="L796" i="7"/>
  <c r="M796" i="7"/>
  <c r="N796" i="7"/>
  <c r="O796" i="7" s="1"/>
  <c r="L797" i="7"/>
  <c r="M797" i="7"/>
  <c r="N797" i="7"/>
  <c r="O797" i="7" s="1"/>
  <c r="L798" i="7"/>
  <c r="M798" i="7"/>
  <c r="N798" i="7"/>
  <c r="O798" i="7" s="1"/>
  <c r="L799" i="7"/>
  <c r="M799" i="7"/>
  <c r="N799" i="7"/>
  <c r="O799" i="7" s="1"/>
  <c r="L800" i="7"/>
  <c r="M800" i="7"/>
  <c r="N800" i="7"/>
  <c r="O800" i="7" s="1"/>
  <c r="L801" i="7"/>
  <c r="M801" i="7"/>
  <c r="N801" i="7"/>
  <c r="O801" i="7" s="1"/>
  <c r="L802" i="7"/>
  <c r="M802" i="7"/>
  <c r="N802" i="7"/>
  <c r="O802" i="7" s="1"/>
  <c r="L803" i="7"/>
  <c r="M803" i="7"/>
  <c r="N803" i="7"/>
  <c r="O803" i="7" s="1"/>
  <c r="L804" i="7"/>
  <c r="M804" i="7"/>
  <c r="N804" i="7"/>
  <c r="O804" i="7" s="1"/>
  <c r="L805" i="7"/>
  <c r="M805" i="7"/>
  <c r="N805" i="7"/>
  <c r="O805" i="7" s="1"/>
  <c r="L806" i="7"/>
  <c r="M806" i="7"/>
  <c r="N806" i="7"/>
  <c r="O806" i="7" s="1"/>
  <c r="L807" i="7"/>
  <c r="M807" i="7"/>
  <c r="N807" i="7"/>
  <c r="O807" i="7" s="1"/>
  <c r="L808" i="7"/>
  <c r="M808" i="7"/>
  <c r="N808" i="7"/>
  <c r="O808" i="7" s="1"/>
  <c r="L809" i="7"/>
  <c r="M809" i="7"/>
  <c r="N809" i="7"/>
  <c r="O809" i="7" s="1"/>
  <c r="L810" i="7"/>
  <c r="M810" i="7"/>
  <c r="N810" i="7"/>
  <c r="O810" i="7" s="1"/>
  <c r="L811" i="7"/>
  <c r="M811" i="7"/>
  <c r="N811" i="7"/>
  <c r="O811" i="7" s="1"/>
  <c r="L812" i="7"/>
  <c r="M812" i="7"/>
  <c r="N812" i="7"/>
  <c r="O812" i="7" s="1"/>
  <c r="L813" i="7"/>
  <c r="M813" i="7"/>
  <c r="N813" i="7"/>
  <c r="O813" i="7" s="1"/>
  <c r="L814" i="7"/>
  <c r="M814" i="7"/>
  <c r="N814" i="7"/>
  <c r="O814" i="7" s="1"/>
  <c r="L815" i="7"/>
  <c r="M815" i="7"/>
  <c r="N815" i="7"/>
  <c r="O815" i="7" s="1"/>
  <c r="L816" i="7"/>
  <c r="M816" i="7"/>
  <c r="N816" i="7"/>
  <c r="O816" i="7" s="1"/>
  <c r="L817" i="7"/>
  <c r="M817" i="7"/>
  <c r="N817" i="7"/>
  <c r="O817" i="7"/>
  <c r="L818" i="7"/>
  <c r="M818" i="7"/>
  <c r="N818" i="7"/>
  <c r="O818" i="7" s="1"/>
  <c r="L819" i="7"/>
  <c r="M819" i="7"/>
  <c r="N819" i="7"/>
  <c r="O819" i="7" s="1"/>
  <c r="L820" i="7"/>
  <c r="M820" i="7"/>
  <c r="N820" i="7"/>
  <c r="O820" i="7" s="1"/>
  <c r="L821" i="7"/>
  <c r="M821" i="7"/>
  <c r="N821" i="7"/>
  <c r="O821" i="7" s="1"/>
  <c r="L822" i="7"/>
  <c r="M822" i="7"/>
  <c r="N822" i="7"/>
  <c r="O822" i="7" s="1"/>
  <c r="L823" i="7"/>
  <c r="M823" i="7"/>
  <c r="N823" i="7"/>
  <c r="O823" i="7" s="1"/>
  <c r="L824" i="7"/>
  <c r="M824" i="7"/>
  <c r="N824" i="7"/>
  <c r="O824" i="7" s="1"/>
  <c r="L825" i="7"/>
  <c r="M825" i="7"/>
  <c r="N825" i="7"/>
  <c r="O825" i="7" s="1"/>
  <c r="L826" i="7"/>
  <c r="M826" i="7"/>
  <c r="N826" i="7"/>
  <c r="O826" i="7" s="1"/>
  <c r="L827" i="7"/>
  <c r="M827" i="7"/>
  <c r="N827" i="7"/>
  <c r="O827" i="7" s="1"/>
  <c r="L828" i="7"/>
  <c r="M828" i="7"/>
  <c r="N828" i="7"/>
  <c r="O828" i="7" s="1"/>
  <c r="L829" i="7"/>
  <c r="M829" i="7"/>
  <c r="N829" i="7"/>
  <c r="O829" i="7" s="1"/>
  <c r="L830" i="7"/>
  <c r="M830" i="7"/>
  <c r="N830" i="7"/>
  <c r="O830" i="7" s="1"/>
  <c r="L831" i="7"/>
  <c r="M831" i="7"/>
  <c r="N831" i="7"/>
  <c r="O831" i="7" s="1"/>
  <c r="L832" i="7"/>
  <c r="M832" i="7"/>
  <c r="N832" i="7"/>
  <c r="O832" i="7" s="1"/>
  <c r="L833" i="7"/>
  <c r="M833" i="7"/>
  <c r="N833" i="7"/>
  <c r="O833" i="7" s="1"/>
  <c r="L834" i="7"/>
  <c r="M834" i="7"/>
  <c r="N834" i="7"/>
  <c r="O834" i="7" s="1"/>
  <c r="L835" i="7"/>
  <c r="M835" i="7"/>
  <c r="N835" i="7"/>
  <c r="O835" i="7" s="1"/>
  <c r="L836" i="7"/>
  <c r="M836" i="7"/>
  <c r="N836" i="7"/>
  <c r="O836" i="7" s="1"/>
  <c r="L837" i="7"/>
  <c r="M837" i="7"/>
  <c r="N837" i="7"/>
  <c r="O837" i="7" s="1"/>
  <c r="L838" i="7"/>
  <c r="M838" i="7"/>
  <c r="N838" i="7"/>
  <c r="O838" i="7" s="1"/>
  <c r="L839" i="7"/>
  <c r="M839" i="7"/>
  <c r="N839" i="7"/>
  <c r="O839" i="7" s="1"/>
  <c r="L840" i="7"/>
  <c r="M840" i="7"/>
  <c r="N840" i="7"/>
  <c r="O840" i="7" s="1"/>
  <c r="L841" i="7"/>
  <c r="M841" i="7"/>
  <c r="N841" i="7"/>
  <c r="O841" i="7" s="1"/>
  <c r="L842" i="7"/>
  <c r="M842" i="7"/>
  <c r="N842" i="7"/>
  <c r="O842" i="7" s="1"/>
  <c r="L843" i="7"/>
  <c r="M843" i="7"/>
  <c r="N843" i="7"/>
  <c r="O843" i="7" s="1"/>
  <c r="L844" i="7"/>
  <c r="M844" i="7"/>
  <c r="N844" i="7"/>
  <c r="O844" i="7" s="1"/>
  <c r="L845" i="7"/>
  <c r="M845" i="7"/>
  <c r="N845" i="7"/>
  <c r="O845" i="7" s="1"/>
  <c r="L846" i="7"/>
  <c r="M846" i="7"/>
  <c r="N846" i="7"/>
  <c r="O846" i="7" s="1"/>
  <c r="L847" i="7"/>
  <c r="M847" i="7"/>
  <c r="N847" i="7"/>
  <c r="O847" i="7" s="1"/>
  <c r="L848" i="7"/>
  <c r="M848" i="7"/>
  <c r="N848" i="7"/>
  <c r="O848" i="7" s="1"/>
  <c r="L849" i="7"/>
  <c r="M849" i="7"/>
  <c r="N849" i="7"/>
  <c r="O849" i="7" s="1"/>
  <c r="L850" i="7"/>
  <c r="M850" i="7"/>
  <c r="N850" i="7"/>
  <c r="O850" i="7" s="1"/>
  <c r="L851" i="7"/>
  <c r="M851" i="7"/>
  <c r="N851" i="7"/>
  <c r="O851" i="7" s="1"/>
  <c r="L852" i="7"/>
  <c r="M852" i="7"/>
  <c r="N852" i="7"/>
  <c r="O852" i="7" s="1"/>
  <c r="L853" i="7"/>
  <c r="M853" i="7"/>
  <c r="N853" i="7"/>
  <c r="O853" i="7" s="1"/>
  <c r="L854" i="7"/>
  <c r="M854" i="7"/>
  <c r="N854" i="7"/>
  <c r="O854" i="7" s="1"/>
  <c r="L855" i="7"/>
  <c r="M855" i="7"/>
  <c r="N855" i="7"/>
  <c r="O855" i="7" s="1"/>
  <c r="L856" i="7"/>
  <c r="M856" i="7"/>
  <c r="N856" i="7"/>
  <c r="O856" i="7" s="1"/>
  <c r="L857" i="7"/>
  <c r="M857" i="7"/>
  <c r="N857" i="7"/>
  <c r="O857" i="7" s="1"/>
  <c r="L858" i="7"/>
  <c r="M858" i="7"/>
  <c r="N858" i="7"/>
  <c r="O858" i="7" s="1"/>
  <c r="L859" i="7"/>
  <c r="M859" i="7"/>
  <c r="N859" i="7"/>
  <c r="O859" i="7" s="1"/>
  <c r="L860" i="7"/>
  <c r="M860" i="7"/>
  <c r="N860" i="7"/>
  <c r="O860" i="7" s="1"/>
  <c r="L861" i="7"/>
  <c r="M861" i="7"/>
  <c r="N861" i="7"/>
  <c r="O861" i="7" s="1"/>
  <c r="L862" i="7"/>
  <c r="M862" i="7"/>
  <c r="N862" i="7"/>
  <c r="O862" i="7" s="1"/>
  <c r="L863" i="7"/>
  <c r="M863" i="7"/>
  <c r="N863" i="7"/>
  <c r="O863" i="7" s="1"/>
  <c r="L864" i="7"/>
  <c r="M864" i="7"/>
  <c r="N864" i="7"/>
  <c r="O864" i="7" s="1"/>
  <c r="L865" i="7"/>
  <c r="M865" i="7"/>
  <c r="N865" i="7"/>
  <c r="O865" i="7" s="1"/>
  <c r="L866" i="7"/>
  <c r="M866" i="7"/>
  <c r="N866" i="7"/>
  <c r="O866" i="7" s="1"/>
  <c r="L867" i="7"/>
  <c r="M867" i="7"/>
  <c r="N867" i="7"/>
  <c r="O867" i="7" s="1"/>
  <c r="L868" i="7"/>
  <c r="M868" i="7"/>
  <c r="N868" i="7"/>
  <c r="O868" i="7" s="1"/>
  <c r="L869" i="7"/>
  <c r="M869" i="7"/>
  <c r="N869" i="7"/>
  <c r="O869" i="7" s="1"/>
  <c r="L870" i="7"/>
  <c r="M870" i="7"/>
  <c r="N870" i="7"/>
  <c r="O870" i="7" s="1"/>
  <c r="L871" i="7"/>
  <c r="M871" i="7"/>
  <c r="N871" i="7"/>
  <c r="O871" i="7" s="1"/>
  <c r="L872" i="7"/>
  <c r="M872" i="7"/>
  <c r="N872" i="7"/>
  <c r="O872" i="7" s="1"/>
  <c r="L873" i="7"/>
  <c r="M873" i="7"/>
  <c r="N873" i="7"/>
  <c r="O873" i="7" s="1"/>
  <c r="L874" i="7"/>
  <c r="M874" i="7"/>
  <c r="N874" i="7"/>
  <c r="O874" i="7" s="1"/>
  <c r="L875" i="7"/>
  <c r="M875" i="7"/>
  <c r="N875" i="7"/>
  <c r="O875" i="7" s="1"/>
  <c r="L876" i="7"/>
  <c r="M876" i="7"/>
  <c r="N876" i="7"/>
  <c r="O876" i="7" s="1"/>
  <c r="L877" i="7"/>
  <c r="M877" i="7"/>
  <c r="N877" i="7"/>
  <c r="O877" i="7"/>
  <c r="L878" i="7"/>
  <c r="M878" i="7"/>
  <c r="N878" i="7"/>
  <c r="O878" i="7" s="1"/>
  <c r="L879" i="7"/>
  <c r="M879" i="7"/>
  <c r="N879" i="7"/>
  <c r="O879" i="7" s="1"/>
  <c r="L880" i="7"/>
  <c r="M880" i="7"/>
  <c r="N880" i="7"/>
  <c r="O880" i="7" s="1"/>
  <c r="L881" i="7"/>
  <c r="M881" i="7"/>
  <c r="N881" i="7"/>
  <c r="O881" i="7" s="1"/>
  <c r="L882" i="7"/>
  <c r="M882" i="7"/>
  <c r="N882" i="7"/>
  <c r="O882" i="7" s="1"/>
  <c r="L883" i="7"/>
  <c r="M883" i="7"/>
  <c r="N883" i="7"/>
  <c r="O883" i="7" s="1"/>
  <c r="L884" i="7"/>
  <c r="M884" i="7"/>
  <c r="N884" i="7"/>
  <c r="O884" i="7" s="1"/>
  <c r="L885" i="7"/>
  <c r="M885" i="7"/>
  <c r="N885" i="7"/>
  <c r="O885" i="7" s="1"/>
  <c r="L886" i="7"/>
  <c r="M886" i="7"/>
  <c r="N886" i="7"/>
  <c r="O886" i="7" s="1"/>
  <c r="L887" i="7"/>
  <c r="M887" i="7"/>
  <c r="N887" i="7"/>
  <c r="O887" i="7" s="1"/>
  <c r="L888" i="7"/>
  <c r="M888" i="7"/>
  <c r="N888" i="7"/>
  <c r="O888" i="7" s="1"/>
  <c r="L889" i="7"/>
  <c r="M889" i="7"/>
  <c r="N889" i="7"/>
  <c r="O889" i="7" s="1"/>
  <c r="L890" i="7"/>
  <c r="M890" i="7"/>
  <c r="N890" i="7"/>
  <c r="O890" i="7" s="1"/>
  <c r="L891" i="7"/>
  <c r="M891" i="7"/>
  <c r="N891" i="7"/>
  <c r="O891" i="7" s="1"/>
  <c r="L892" i="7"/>
  <c r="M892" i="7"/>
  <c r="N892" i="7"/>
  <c r="O892" i="7" s="1"/>
  <c r="L893" i="7"/>
  <c r="M893" i="7"/>
  <c r="N893" i="7"/>
  <c r="O893" i="7" s="1"/>
  <c r="L894" i="7"/>
  <c r="M894" i="7"/>
  <c r="N894" i="7"/>
  <c r="O894" i="7" s="1"/>
  <c r="L895" i="7"/>
  <c r="M895" i="7"/>
  <c r="N895" i="7"/>
  <c r="O895" i="7" s="1"/>
  <c r="L896" i="7"/>
  <c r="M896" i="7"/>
  <c r="N896" i="7"/>
  <c r="O896" i="7" s="1"/>
  <c r="L897" i="7"/>
  <c r="M897" i="7"/>
  <c r="N897" i="7"/>
  <c r="O897" i="7" s="1"/>
  <c r="L898" i="7"/>
  <c r="M898" i="7"/>
  <c r="N898" i="7"/>
  <c r="O898" i="7" s="1"/>
  <c r="L899" i="7"/>
  <c r="M899" i="7"/>
  <c r="N899" i="7"/>
  <c r="O899" i="7" s="1"/>
  <c r="L900" i="7"/>
  <c r="M900" i="7"/>
  <c r="N900" i="7"/>
  <c r="O900" i="7" s="1"/>
  <c r="L901" i="7"/>
  <c r="M901" i="7"/>
  <c r="N901" i="7"/>
  <c r="O901" i="7" s="1"/>
  <c r="L902" i="7"/>
  <c r="M902" i="7"/>
  <c r="N902" i="7"/>
  <c r="O902" i="7" s="1"/>
  <c r="L903" i="7"/>
  <c r="M903" i="7"/>
  <c r="N903" i="7"/>
  <c r="O903" i="7" s="1"/>
  <c r="L904" i="7"/>
  <c r="M904" i="7"/>
  <c r="N904" i="7"/>
  <c r="O904" i="7" s="1"/>
  <c r="L905" i="7"/>
  <c r="M905" i="7"/>
  <c r="N905" i="7"/>
  <c r="O905" i="7" s="1"/>
  <c r="L906" i="7"/>
  <c r="M906" i="7"/>
  <c r="N906" i="7"/>
  <c r="O906" i="7" s="1"/>
  <c r="L907" i="7"/>
  <c r="M907" i="7"/>
  <c r="N907" i="7"/>
  <c r="O907" i="7" s="1"/>
  <c r="L908" i="7"/>
  <c r="M908" i="7"/>
  <c r="N908" i="7"/>
  <c r="O908" i="7" s="1"/>
  <c r="L909" i="7"/>
  <c r="M909" i="7"/>
  <c r="N909" i="7"/>
  <c r="O909" i="7" s="1"/>
  <c r="L910" i="7"/>
  <c r="M910" i="7"/>
  <c r="N910" i="7"/>
  <c r="O910" i="7" s="1"/>
  <c r="L911" i="7"/>
  <c r="M911" i="7"/>
  <c r="N911" i="7"/>
  <c r="O911" i="7" s="1"/>
  <c r="L912" i="7"/>
  <c r="M912" i="7"/>
  <c r="N912" i="7"/>
  <c r="O912" i="7" s="1"/>
  <c r="L913" i="7"/>
  <c r="M913" i="7"/>
  <c r="N913" i="7"/>
  <c r="O913" i="7" s="1"/>
  <c r="L914" i="7"/>
  <c r="M914" i="7"/>
  <c r="N914" i="7"/>
  <c r="O914" i="7" s="1"/>
  <c r="L915" i="7"/>
  <c r="M915" i="7"/>
  <c r="N915" i="7"/>
  <c r="O915" i="7" s="1"/>
  <c r="L916" i="7"/>
  <c r="M916" i="7"/>
  <c r="N916" i="7"/>
  <c r="O916" i="7" s="1"/>
  <c r="L917" i="7"/>
  <c r="M917" i="7"/>
  <c r="N917" i="7"/>
  <c r="O917" i="7" s="1"/>
  <c r="L918" i="7"/>
  <c r="M918" i="7"/>
  <c r="N918" i="7"/>
  <c r="O918" i="7" s="1"/>
  <c r="L919" i="7"/>
  <c r="M919" i="7"/>
  <c r="N919" i="7"/>
  <c r="O919" i="7" s="1"/>
  <c r="L920" i="7"/>
  <c r="M920" i="7"/>
  <c r="N920" i="7"/>
  <c r="O920" i="7" s="1"/>
  <c r="L921" i="7"/>
  <c r="M921" i="7"/>
  <c r="N921" i="7"/>
  <c r="O921" i="7" s="1"/>
  <c r="L922" i="7"/>
  <c r="M922" i="7"/>
  <c r="N922" i="7"/>
  <c r="O922" i="7" s="1"/>
  <c r="L923" i="7"/>
  <c r="M923" i="7"/>
  <c r="N923" i="7"/>
  <c r="O923" i="7" s="1"/>
  <c r="L924" i="7"/>
  <c r="M924" i="7"/>
  <c r="N924" i="7"/>
  <c r="O924" i="7" s="1"/>
  <c r="L925" i="7"/>
  <c r="M925" i="7"/>
  <c r="N925" i="7"/>
  <c r="O925" i="7" s="1"/>
  <c r="L926" i="7"/>
  <c r="M926" i="7"/>
  <c r="N926" i="7"/>
  <c r="O926" i="7" s="1"/>
  <c r="L927" i="7"/>
  <c r="M927" i="7"/>
  <c r="N927" i="7"/>
  <c r="O927" i="7" s="1"/>
  <c r="L928" i="7"/>
  <c r="M928" i="7"/>
  <c r="N928" i="7"/>
  <c r="O928" i="7" s="1"/>
  <c r="L929" i="7"/>
  <c r="M929" i="7"/>
  <c r="N929" i="7"/>
  <c r="O929" i="7" s="1"/>
  <c r="L930" i="7"/>
  <c r="M930" i="7"/>
  <c r="N930" i="7"/>
  <c r="O930" i="7" s="1"/>
  <c r="L931" i="7"/>
  <c r="M931" i="7"/>
  <c r="N931" i="7"/>
  <c r="O931" i="7" s="1"/>
  <c r="L932" i="7"/>
  <c r="M932" i="7"/>
  <c r="N932" i="7"/>
  <c r="O932" i="7" s="1"/>
  <c r="L933" i="7"/>
  <c r="M933" i="7"/>
  <c r="N933" i="7"/>
  <c r="O933" i="7" s="1"/>
  <c r="L934" i="7"/>
  <c r="M934" i="7"/>
  <c r="N934" i="7"/>
  <c r="O934" i="7" s="1"/>
  <c r="L935" i="7"/>
  <c r="M935" i="7"/>
  <c r="N935" i="7"/>
  <c r="O935" i="7" s="1"/>
  <c r="L936" i="7"/>
  <c r="M936" i="7"/>
  <c r="N936" i="7"/>
  <c r="O936" i="7" s="1"/>
  <c r="L937" i="7"/>
  <c r="M937" i="7"/>
  <c r="N937" i="7"/>
  <c r="O937" i="7" s="1"/>
  <c r="L938" i="7"/>
  <c r="M938" i="7"/>
  <c r="N938" i="7"/>
  <c r="O938" i="7" s="1"/>
  <c r="L939" i="7"/>
  <c r="M939" i="7"/>
  <c r="N939" i="7"/>
  <c r="O939" i="7" s="1"/>
  <c r="L940" i="7"/>
  <c r="M940" i="7"/>
  <c r="N940" i="7"/>
  <c r="O940" i="7" s="1"/>
  <c r="L941" i="7"/>
  <c r="M941" i="7"/>
  <c r="N941" i="7"/>
  <c r="O941" i="7" s="1"/>
  <c r="L942" i="7"/>
  <c r="M942" i="7"/>
  <c r="N942" i="7"/>
  <c r="O942" i="7" s="1"/>
  <c r="L943" i="7"/>
  <c r="M943" i="7"/>
  <c r="N943" i="7"/>
  <c r="O943" i="7" s="1"/>
  <c r="L944" i="7"/>
  <c r="M944" i="7"/>
  <c r="N944" i="7"/>
  <c r="O944" i="7" s="1"/>
  <c r="L945" i="7"/>
  <c r="M945" i="7"/>
  <c r="N945" i="7"/>
  <c r="O945" i="7" s="1"/>
  <c r="L946" i="7"/>
  <c r="M946" i="7"/>
  <c r="N946" i="7"/>
  <c r="O946" i="7" s="1"/>
  <c r="L947" i="7"/>
  <c r="M947" i="7"/>
  <c r="N947" i="7"/>
  <c r="O947" i="7" s="1"/>
  <c r="L948" i="7"/>
  <c r="M948" i="7"/>
  <c r="N948" i="7"/>
  <c r="O948" i="7" s="1"/>
  <c r="L949" i="7"/>
  <c r="M949" i="7"/>
  <c r="N949" i="7"/>
  <c r="O949" i="7" s="1"/>
  <c r="L950" i="7"/>
  <c r="M950" i="7"/>
  <c r="N950" i="7"/>
  <c r="O950" i="7" s="1"/>
  <c r="L951" i="7"/>
  <c r="M951" i="7"/>
  <c r="N951" i="7"/>
  <c r="O951" i="7" s="1"/>
  <c r="L952" i="7"/>
  <c r="M952" i="7"/>
  <c r="N952" i="7"/>
  <c r="O952" i="7" s="1"/>
  <c r="L953" i="7"/>
  <c r="M953" i="7"/>
  <c r="N953" i="7"/>
  <c r="O953" i="7" s="1"/>
  <c r="L954" i="7"/>
  <c r="M954" i="7"/>
  <c r="N954" i="7"/>
  <c r="O954" i="7"/>
  <c r="L955" i="7"/>
  <c r="M955" i="7"/>
  <c r="N955" i="7"/>
  <c r="O955" i="7" s="1"/>
  <c r="L956" i="7"/>
  <c r="M956" i="7"/>
  <c r="N956" i="7"/>
  <c r="O956" i="7" s="1"/>
  <c r="L957" i="7"/>
  <c r="M957" i="7"/>
  <c r="N957" i="7"/>
  <c r="O957" i="7" s="1"/>
  <c r="L958" i="7"/>
  <c r="M958" i="7"/>
  <c r="N958" i="7"/>
  <c r="O958" i="7" s="1"/>
  <c r="L959" i="7"/>
  <c r="M959" i="7"/>
  <c r="N959" i="7"/>
  <c r="O959" i="7" s="1"/>
  <c r="L960" i="7"/>
  <c r="M960" i="7"/>
  <c r="N960" i="7"/>
  <c r="O960" i="7" s="1"/>
  <c r="L961" i="7"/>
  <c r="M961" i="7"/>
  <c r="N961" i="7"/>
  <c r="O961" i="7" s="1"/>
  <c r="L962" i="7"/>
  <c r="M962" i="7"/>
  <c r="N962" i="7"/>
  <c r="O962" i="7" s="1"/>
  <c r="L963" i="7"/>
  <c r="M963" i="7"/>
  <c r="N963" i="7"/>
  <c r="O963" i="7" s="1"/>
  <c r="L964" i="7"/>
  <c r="M964" i="7"/>
  <c r="N964" i="7"/>
  <c r="O964" i="7" s="1"/>
  <c r="L965" i="7"/>
  <c r="M965" i="7"/>
  <c r="N965" i="7"/>
  <c r="O965" i="7" s="1"/>
  <c r="L966" i="7"/>
  <c r="M966" i="7"/>
  <c r="N966" i="7"/>
  <c r="O966" i="7" s="1"/>
  <c r="L967" i="7"/>
  <c r="M967" i="7"/>
  <c r="N967" i="7"/>
  <c r="O967" i="7" s="1"/>
  <c r="L968" i="7"/>
  <c r="M968" i="7"/>
  <c r="N968" i="7"/>
  <c r="O968" i="7" s="1"/>
  <c r="L969" i="7"/>
  <c r="M969" i="7"/>
  <c r="N969" i="7"/>
  <c r="O969" i="7" s="1"/>
  <c r="L970" i="7"/>
  <c r="M970" i="7"/>
  <c r="N970" i="7"/>
  <c r="O970" i="7" s="1"/>
  <c r="L971" i="7"/>
  <c r="M971" i="7"/>
  <c r="N971" i="7"/>
  <c r="O971" i="7" s="1"/>
  <c r="L972" i="7"/>
  <c r="M972" i="7"/>
  <c r="N972" i="7"/>
  <c r="O972" i="7" s="1"/>
  <c r="L973" i="7"/>
  <c r="M973" i="7"/>
  <c r="N973" i="7"/>
  <c r="O973" i="7" s="1"/>
  <c r="L974" i="7"/>
  <c r="M974" i="7"/>
  <c r="N974" i="7"/>
  <c r="O974" i="7" s="1"/>
  <c r="L975" i="7"/>
  <c r="M975" i="7"/>
  <c r="N975" i="7"/>
  <c r="O975" i="7" s="1"/>
  <c r="L976" i="7"/>
  <c r="M976" i="7"/>
  <c r="N976" i="7"/>
  <c r="O976" i="7" s="1"/>
  <c r="L977" i="7"/>
  <c r="M977" i="7"/>
  <c r="N977" i="7"/>
  <c r="O977" i="7" s="1"/>
  <c r="L978" i="7"/>
  <c r="M978" i="7"/>
  <c r="N978" i="7"/>
  <c r="O978" i="7" s="1"/>
  <c r="L979" i="7"/>
  <c r="M979" i="7"/>
  <c r="N979" i="7"/>
  <c r="O979" i="7" s="1"/>
  <c r="L980" i="7"/>
  <c r="M980" i="7"/>
  <c r="N980" i="7"/>
  <c r="O980" i="7" s="1"/>
  <c r="L981" i="7"/>
  <c r="M981" i="7"/>
  <c r="N981" i="7"/>
  <c r="O981" i="7" s="1"/>
  <c r="L982" i="7"/>
  <c r="M982" i="7"/>
  <c r="N982" i="7"/>
  <c r="O982" i="7" s="1"/>
  <c r="L983" i="7"/>
  <c r="M983" i="7"/>
  <c r="N983" i="7"/>
  <c r="O983" i="7" s="1"/>
  <c r="L984" i="7"/>
  <c r="M984" i="7"/>
  <c r="N984" i="7"/>
  <c r="O984" i="7" s="1"/>
  <c r="L985" i="7"/>
  <c r="M985" i="7"/>
  <c r="N985" i="7"/>
  <c r="O985" i="7" s="1"/>
  <c r="L986" i="7"/>
  <c r="M986" i="7"/>
  <c r="N986" i="7"/>
  <c r="O986" i="7" s="1"/>
  <c r="L987" i="7"/>
  <c r="M987" i="7"/>
  <c r="N987" i="7"/>
  <c r="O987" i="7" s="1"/>
  <c r="L988" i="7"/>
  <c r="M988" i="7"/>
  <c r="N988" i="7"/>
  <c r="O988" i="7" s="1"/>
  <c r="L989" i="7"/>
  <c r="M989" i="7"/>
  <c r="N989" i="7"/>
  <c r="O989" i="7" s="1"/>
  <c r="L990" i="7"/>
  <c r="M990" i="7"/>
  <c r="N990" i="7"/>
  <c r="O990" i="7" s="1"/>
  <c r="L991" i="7"/>
  <c r="M991" i="7"/>
  <c r="N991" i="7"/>
  <c r="O991" i="7" s="1"/>
  <c r="L992" i="7"/>
  <c r="M992" i="7"/>
  <c r="N992" i="7"/>
  <c r="O992" i="7" s="1"/>
  <c r="L993" i="7"/>
  <c r="M993" i="7"/>
  <c r="N993" i="7"/>
  <c r="O993" i="7" s="1"/>
  <c r="L994" i="7"/>
  <c r="M994" i="7"/>
  <c r="N994" i="7"/>
  <c r="O994" i="7" s="1"/>
  <c r="L995" i="7"/>
  <c r="M995" i="7"/>
  <c r="N995" i="7"/>
  <c r="O995" i="7" s="1"/>
  <c r="L996" i="7"/>
  <c r="M996" i="7"/>
  <c r="N996" i="7"/>
  <c r="O996" i="7" s="1"/>
  <c r="L997" i="7"/>
  <c r="M997" i="7"/>
  <c r="N997" i="7"/>
  <c r="O997" i="7" s="1"/>
  <c r="L998" i="7"/>
  <c r="M998" i="7"/>
  <c r="N998" i="7"/>
  <c r="O998" i="7" s="1"/>
  <c r="L999" i="7"/>
  <c r="M999" i="7"/>
  <c r="N999" i="7"/>
  <c r="O999" i="7" s="1"/>
  <c r="L1000" i="7"/>
  <c r="M1000" i="7"/>
  <c r="N1000" i="7"/>
  <c r="O1000" i="7" s="1"/>
  <c r="L1001" i="7"/>
  <c r="M1001" i="7"/>
  <c r="N1001" i="7"/>
  <c r="O1001" i="7" s="1"/>
  <c r="L1002" i="7"/>
  <c r="M1002" i="7"/>
  <c r="N1002" i="7"/>
  <c r="O1002" i="7" s="1"/>
  <c r="L1003" i="7"/>
  <c r="M1003" i="7"/>
  <c r="N1003" i="7"/>
  <c r="O1003" i="7" s="1"/>
  <c r="L1004" i="7"/>
  <c r="M1004" i="7"/>
  <c r="N1004" i="7"/>
  <c r="O1004" i="7" s="1"/>
  <c r="L1005" i="7"/>
  <c r="M1005" i="7"/>
  <c r="N1005" i="7"/>
  <c r="O1005" i="7" s="1"/>
  <c r="L1006" i="7"/>
  <c r="M1006" i="7"/>
  <c r="N1006" i="7"/>
  <c r="O1006" i="7" s="1"/>
  <c r="L1007" i="7"/>
  <c r="M1007" i="7"/>
  <c r="N1007" i="7"/>
  <c r="O1007" i="7" s="1"/>
  <c r="L1008" i="7"/>
  <c r="M1008" i="7"/>
  <c r="N1008" i="7"/>
  <c r="O1008" i="7" s="1"/>
  <c r="L1009" i="7"/>
  <c r="M1009" i="7"/>
  <c r="N1009" i="7"/>
  <c r="O1009" i="7" s="1"/>
  <c r="L1010" i="7"/>
  <c r="M1010" i="7"/>
  <c r="N1010" i="7"/>
  <c r="O1010" i="7" s="1"/>
  <c r="L1011" i="7"/>
  <c r="M1011" i="7"/>
  <c r="N1011" i="7"/>
  <c r="O1011" i="7" s="1"/>
  <c r="L1012" i="7"/>
  <c r="M1012" i="7"/>
  <c r="N1012" i="7"/>
  <c r="O1012" i="7" s="1"/>
  <c r="L1013" i="7"/>
  <c r="M1013" i="7"/>
  <c r="N1013" i="7"/>
  <c r="O1013" i="7" s="1"/>
  <c r="L1014" i="7"/>
  <c r="M1014" i="7"/>
  <c r="N1014" i="7"/>
  <c r="O1014" i="7" s="1"/>
  <c r="L1015" i="7"/>
  <c r="M1015" i="7"/>
  <c r="N1015" i="7"/>
  <c r="O1015" i="7" s="1"/>
  <c r="L1016" i="7"/>
  <c r="M1016" i="7"/>
  <c r="N1016" i="7"/>
  <c r="O1016" i="7" s="1"/>
  <c r="L1017" i="7"/>
  <c r="M1017" i="7"/>
  <c r="N1017" i="7"/>
  <c r="O1017" i="7" s="1"/>
  <c r="L1018" i="7"/>
  <c r="M1018" i="7"/>
  <c r="N1018" i="7"/>
  <c r="O1018" i="7" s="1"/>
  <c r="L1019" i="7"/>
  <c r="M1019" i="7"/>
  <c r="N1019" i="7"/>
  <c r="O1019" i="7" s="1"/>
  <c r="L1020" i="7"/>
  <c r="M1020" i="7"/>
  <c r="N1020" i="7"/>
  <c r="O1020" i="7" s="1"/>
  <c r="L1021" i="7"/>
  <c r="M1021" i="7"/>
  <c r="N1021" i="7"/>
  <c r="O1021" i="7" s="1"/>
  <c r="L1022" i="7"/>
  <c r="M1022" i="7"/>
  <c r="N1022" i="7"/>
  <c r="O1022" i="7" s="1"/>
  <c r="L1023" i="7"/>
  <c r="M1023" i="7"/>
  <c r="N1023" i="7"/>
  <c r="O1023" i="7" s="1"/>
  <c r="L1024" i="7"/>
  <c r="M1024" i="7"/>
  <c r="N1024" i="7"/>
  <c r="O1024" i="7" s="1"/>
  <c r="L1025" i="7"/>
  <c r="M1025" i="7"/>
  <c r="N1025" i="7"/>
  <c r="O1025" i="7" s="1"/>
  <c r="L1026" i="7"/>
  <c r="M1026" i="7"/>
  <c r="N1026" i="7"/>
  <c r="O1026" i="7" s="1"/>
  <c r="L1027" i="7"/>
  <c r="M1027" i="7"/>
  <c r="N1027" i="7"/>
  <c r="O1027" i="7" s="1"/>
  <c r="L1028" i="7"/>
  <c r="M1028" i="7"/>
  <c r="N1028" i="7"/>
  <c r="O1028" i="7" s="1"/>
  <c r="L1029" i="7"/>
  <c r="M1029" i="7"/>
  <c r="N1029" i="7"/>
  <c r="O1029" i="7" s="1"/>
  <c r="L1030" i="7"/>
  <c r="M1030" i="7"/>
  <c r="N1030" i="7"/>
  <c r="O1030" i="7" s="1"/>
  <c r="L1031" i="7"/>
  <c r="M1031" i="7"/>
  <c r="N1031" i="7"/>
  <c r="O1031" i="7" s="1"/>
  <c r="L1032" i="7"/>
  <c r="M1032" i="7"/>
  <c r="N1032" i="7"/>
  <c r="O1032" i="7" s="1"/>
  <c r="L1033" i="7"/>
  <c r="M1033" i="7"/>
  <c r="N1033" i="7"/>
  <c r="O1033" i="7" s="1"/>
  <c r="L1034" i="7"/>
  <c r="M1034" i="7"/>
  <c r="N1034" i="7"/>
  <c r="O1034" i="7" s="1"/>
  <c r="L1035" i="7"/>
  <c r="M1035" i="7"/>
  <c r="N1035" i="7"/>
  <c r="O1035" i="7" s="1"/>
  <c r="L1036" i="7"/>
  <c r="M1036" i="7"/>
  <c r="N1036" i="7"/>
  <c r="O1036" i="7" s="1"/>
  <c r="L1037" i="7"/>
  <c r="M1037" i="7"/>
  <c r="N1037" i="7"/>
  <c r="O1037" i="7" s="1"/>
  <c r="L1038" i="7"/>
  <c r="M1038" i="7"/>
  <c r="N1038" i="7"/>
  <c r="O1038" i="7" s="1"/>
  <c r="L1039" i="7"/>
  <c r="M1039" i="7"/>
  <c r="N1039" i="7"/>
  <c r="O1039" i="7" s="1"/>
  <c r="L1040" i="7"/>
  <c r="M1040" i="7"/>
  <c r="N1040" i="7"/>
  <c r="O1040" i="7" s="1"/>
  <c r="L1041" i="7"/>
  <c r="M1041" i="7"/>
  <c r="N1041" i="7"/>
  <c r="O1041" i="7" s="1"/>
  <c r="L1042" i="7"/>
  <c r="M1042" i="7"/>
  <c r="N1042" i="7"/>
  <c r="O1042" i="7" s="1"/>
  <c r="L1043" i="7"/>
  <c r="M1043" i="7"/>
  <c r="N1043" i="7"/>
  <c r="O1043" i="7" s="1"/>
  <c r="L1044" i="7"/>
  <c r="M1044" i="7"/>
  <c r="N1044" i="7"/>
  <c r="O1044" i="7" s="1"/>
  <c r="L1045" i="7"/>
  <c r="M1045" i="7"/>
  <c r="N1045" i="7"/>
  <c r="O1045" i="7" s="1"/>
  <c r="L1046" i="7"/>
  <c r="M1046" i="7"/>
  <c r="N1046" i="7"/>
  <c r="O1046" i="7" s="1"/>
  <c r="L1047" i="7"/>
  <c r="M1047" i="7"/>
  <c r="N1047" i="7"/>
  <c r="O1047" i="7" s="1"/>
  <c r="L1048" i="7"/>
  <c r="M1048" i="7"/>
  <c r="N1048" i="7"/>
  <c r="O1048" i="7" s="1"/>
  <c r="L1049" i="7"/>
  <c r="M1049" i="7"/>
  <c r="N1049" i="7"/>
  <c r="O1049" i="7"/>
  <c r="L1050" i="7"/>
  <c r="M1050" i="7"/>
  <c r="N1050" i="7"/>
  <c r="O1050" i="7" s="1"/>
  <c r="L1051" i="7"/>
  <c r="M1051" i="7"/>
  <c r="N1051" i="7"/>
  <c r="O1051" i="7" s="1"/>
  <c r="L1052" i="7"/>
  <c r="M1052" i="7"/>
  <c r="N1052" i="7"/>
  <c r="O1052" i="7" s="1"/>
  <c r="L1053" i="7"/>
  <c r="M1053" i="7"/>
  <c r="N1053" i="7"/>
  <c r="O1053" i="7" s="1"/>
  <c r="L1054" i="7"/>
  <c r="M1054" i="7"/>
  <c r="N1054" i="7"/>
  <c r="O1054" i="7" s="1"/>
  <c r="L1055" i="7"/>
  <c r="M1055" i="7"/>
  <c r="N1055" i="7"/>
  <c r="O1055" i="7" s="1"/>
  <c r="L1056" i="7"/>
  <c r="M1056" i="7"/>
  <c r="N1056" i="7"/>
  <c r="O1056" i="7" s="1"/>
  <c r="L1057" i="7"/>
  <c r="M1057" i="7"/>
  <c r="N1057" i="7"/>
  <c r="O1057" i="7" s="1"/>
  <c r="L1058" i="7"/>
  <c r="M1058" i="7"/>
  <c r="N1058" i="7"/>
  <c r="O1058" i="7" s="1"/>
  <c r="L1059" i="7"/>
  <c r="M1059" i="7"/>
  <c r="N1059" i="7"/>
  <c r="O1059" i="7" s="1"/>
  <c r="L1060" i="7"/>
  <c r="M1060" i="7"/>
  <c r="N1060" i="7"/>
  <c r="O1060" i="7" s="1"/>
  <c r="L1061" i="7"/>
  <c r="M1061" i="7"/>
  <c r="N1061" i="7"/>
  <c r="O1061" i="7" s="1"/>
  <c r="L1062" i="7"/>
  <c r="M1062" i="7"/>
  <c r="N1062" i="7"/>
  <c r="O1062" i="7" s="1"/>
  <c r="L1063" i="7"/>
  <c r="M1063" i="7"/>
  <c r="N1063" i="7"/>
  <c r="O1063" i="7" s="1"/>
  <c r="L1064" i="7"/>
  <c r="M1064" i="7"/>
  <c r="N1064" i="7"/>
  <c r="O1064" i="7" s="1"/>
  <c r="L1065" i="7"/>
  <c r="M1065" i="7"/>
  <c r="N1065" i="7"/>
  <c r="O1065" i="7" s="1"/>
  <c r="L1066" i="7"/>
  <c r="M1066" i="7"/>
  <c r="N1066" i="7"/>
  <c r="O1066" i="7" s="1"/>
  <c r="L1067" i="7"/>
  <c r="M1067" i="7"/>
  <c r="N1067" i="7"/>
  <c r="O1067" i="7" s="1"/>
  <c r="L1068" i="7"/>
  <c r="M1068" i="7"/>
  <c r="N1068" i="7"/>
  <c r="O1068" i="7" s="1"/>
  <c r="L1069" i="7"/>
  <c r="M1069" i="7"/>
  <c r="N1069" i="7"/>
  <c r="O1069" i="7" s="1"/>
  <c r="L1070" i="7"/>
  <c r="M1070" i="7"/>
  <c r="N1070" i="7"/>
  <c r="O1070" i="7" s="1"/>
  <c r="L1071" i="7"/>
  <c r="M1071" i="7"/>
  <c r="N1071" i="7"/>
  <c r="O1071" i="7" s="1"/>
  <c r="L1072" i="7"/>
  <c r="M1072" i="7"/>
  <c r="N1072" i="7"/>
  <c r="O1072" i="7" s="1"/>
  <c r="L1073" i="7"/>
  <c r="M1073" i="7"/>
  <c r="N1073" i="7"/>
  <c r="O1073" i="7" s="1"/>
  <c r="L1074" i="7"/>
  <c r="M1074" i="7"/>
  <c r="N1074" i="7"/>
  <c r="O1074" i="7" s="1"/>
  <c r="L1075" i="7"/>
  <c r="M1075" i="7"/>
  <c r="N1075" i="7"/>
  <c r="O1075" i="7" s="1"/>
  <c r="L1076" i="7"/>
  <c r="M1076" i="7"/>
  <c r="N1076" i="7"/>
  <c r="O1076" i="7" s="1"/>
  <c r="L1077" i="7"/>
  <c r="M1077" i="7"/>
  <c r="N1077" i="7"/>
  <c r="O1077" i="7" s="1"/>
  <c r="L1078" i="7"/>
  <c r="M1078" i="7"/>
  <c r="N1078" i="7"/>
  <c r="O1078" i="7" s="1"/>
  <c r="L1079" i="7"/>
  <c r="M1079" i="7"/>
  <c r="N1079" i="7"/>
  <c r="O1079" i="7" s="1"/>
  <c r="L1080" i="7"/>
  <c r="M1080" i="7"/>
  <c r="N1080" i="7"/>
  <c r="O1080" i="7" s="1"/>
  <c r="L1081" i="7"/>
  <c r="M1081" i="7"/>
  <c r="N1081" i="7"/>
  <c r="O1081" i="7" s="1"/>
  <c r="L1082" i="7"/>
  <c r="M1082" i="7"/>
  <c r="N1082" i="7"/>
  <c r="O1082" i="7" s="1"/>
  <c r="L1083" i="7"/>
  <c r="M1083" i="7"/>
  <c r="N1083" i="7"/>
  <c r="O1083" i="7" s="1"/>
  <c r="L1084" i="7"/>
  <c r="M1084" i="7"/>
  <c r="N1084" i="7"/>
  <c r="O1084" i="7" s="1"/>
  <c r="L1085" i="7"/>
  <c r="M1085" i="7"/>
  <c r="N1085" i="7"/>
  <c r="O1085" i="7" s="1"/>
  <c r="L1086" i="7"/>
  <c r="M1086" i="7"/>
  <c r="N1086" i="7"/>
  <c r="O1086" i="7" s="1"/>
  <c r="L1087" i="7"/>
  <c r="M1087" i="7"/>
  <c r="N1087" i="7"/>
  <c r="O1087" i="7" s="1"/>
  <c r="L1088" i="7"/>
  <c r="M1088" i="7"/>
  <c r="N1088" i="7"/>
  <c r="O1088" i="7" s="1"/>
  <c r="L1089" i="7"/>
  <c r="M1089" i="7"/>
  <c r="N1089" i="7"/>
  <c r="O1089" i="7" s="1"/>
  <c r="L1090" i="7"/>
  <c r="M1090" i="7"/>
  <c r="N1090" i="7"/>
  <c r="O1090" i="7" s="1"/>
  <c r="L1091" i="7"/>
  <c r="M1091" i="7"/>
  <c r="N1091" i="7"/>
  <c r="O1091" i="7" s="1"/>
  <c r="L1092" i="7"/>
  <c r="M1092" i="7"/>
  <c r="N1092" i="7"/>
  <c r="O1092" i="7" s="1"/>
  <c r="L1093" i="7"/>
  <c r="M1093" i="7"/>
  <c r="N1093" i="7"/>
  <c r="O1093" i="7" s="1"/>
  <c r="L1094" i="7"/>
  <c r="M1094" i="7"/>
  <c r="N1094" i="7"/>
  <c r="O1094" i="7" s="1"/>
  <c r="L1095" i="7"/>
  <c r="M1095" i="7"/>
  <c r="N1095" i="7"/>
  <c r="O1095" i="7" s="1"/>
  <c r="L1096" i="7"/>
  <c r="M1096" i="7"/>
  <c r="N1096" i="7"/>
  <c r="O1096" i="7" s="1"/>
  <c r="L1097" i="7"/>
  <c r="M1097" i="7"/>
  <c r="N1097" i="7"/>
  <c r="O1097" i="7" s="1"/>
  <c r="L1098" i="7"/>
  <c r="M1098" i="7"/>
  <c r="N1098" i="7"/>
  <c r="O1098" i="7" s="1"/>
  <c r="L1099" i="7"/>
  <c r="M1099" i="7"/>
  <c r="N1099" i="7"/>
  <c r="O1099" i="7" s="1"/>
  <c r="L1100" i="7"/>
  <c r="M1100" i="7"/>
  <c r="N1100" i="7"/>
  <c r="O1100" i="7" s="1"/>
  <c r="L1101" i="7"/>
  <c r="M1101" i="7"/>
  <c r="N1101" i="7"/>
  <c r="O1101" i="7" s="1"/>
  <c r="L1102" i="7"/>
  <c r="M1102" i="7"/>
  <c r="N1102" i="7"/>
  <c r="O1102" i="7" s="1"/>
  <c r="L1103" i="7"/>
  <c r="M1103" i="7"/>
  <c r="N1103" i="7"/>
  <c r="O1103" i="7" s="1"/>
  <c r="L1104" i="7"/>
  <c r="M1104" i="7"/>
  <c r="N1104" i="7"/>
  <c r="O1104" i="7" s="1"/>
  <c r="L1105" i="7"/>
  <c r="M1105" i="7"/>
  <c r="N1105" i="7"/>
  <c r="O1105" i="7" s="1"/>
  <c r="L1106" i="7"/>
  <c r="M1106" i="7"/>
  <c r="N1106" i="7"/>
  <c r="O1106" i="7" s="1"/>
  <c r="L1107" i="7"/>
  <c r="M1107" i="7"/>
  <c r="N1107" i="7"/>
  <c r="O1107" i="7" s="1"/>
  <c r="L1108" i="7"/>
  <c r="M1108" i="7"/>
  <c r="N1108" i="7"/>
  <c r="O1108" i="7" s="1"/>
  <c r="L1109" i="7"/>
  <c r="M1109" i="7"/>
  <c r="N1109" i="7"/>
  <c r="O1109" i="7" s="1"/>
  <c r="L1110" i="7"/>
  <c r="M1110" i="7"/>
  <c r="N1110" i="7"/>
  <c r="O1110" i="7" s="1"/>
  <c r="L1111" i="7"/>
  <c r="M1111" i="7"/>
  <c r="N1111" i="7"/>
  <c r="O1111" i="7" s="1"/>
  <c r="L1112" i="7"/>
  <c r="M1112" i="7"/>
  <c r="N1112" i="7"/>
  <c r="O1112" i="7" s="1"/>
  <c r="L1113" i="7"/>
  <c r="M1113" i="7"/>
  <c r="N1113" i="7"/>
  <c r="O1113" i="7" s="1"/>
  <c r="L1114" i="7"/>
  <c r="M1114" i="7"/>
  <c r="N1114" i="7"/>
  <c r="O1114" i="7" s="1"/>
  <c r="L1115" i="7"/>
  <c r="M1115" i="7"/>
  <c r="N1115" i="7"/>
  <c r="O1115" i="7" s="1"/>
  <c r="L1116" i="7"/>
  <c r="M1116" i="7"/>
  <c r="N1116" i="7"/>
  <c r="O1116" i="7" s="1"/>
  <c r="L1117" i="7"/>
  <c r="M1117" i="7"/>
  <c r="N1117" i="7"/>
  <c r="O1117" i="7" s="1"/>
  <c r="L1118" i="7"/>
  <c r="M1118" i="7"/>
  <c r="N1118" i="7"/>
  <c r="O1118" i="7" s="1"/>
  <c r="L1119" i="7"/>
  <c r="M1119" i="7"/>
  <c r="N1119" i="7"/>
  <c r="O1119" i="7" s="1"/>
  <c r="L1120" i="7"/>
  <c r="M1120" i="7"/>
  <c r="N1120" i="7"/>
  <c r="O1120" i="7" s="1"/>
  <c r="L1121" i="7"/>
  <c r="M1121" i="7"/>
  <c r="N1121" i="7"/>
  <c r="O1121" i="7" s="1"/>
  <c r="L1122" i="7"/>
  <c r="M1122" i="7"/>
  <c r="N1122" i="7"/>
  <c r="O1122" i="7" s="1"/>
  <c r="L1123" i="7"/>
  <c r="M1123" i="7"/>
  <c r="N1123" i="7"/>
  <c r="O1123" i="7" s="1"/>
  <c r="L1124" i="7"/>
  <c r="M1124" i="7"/>
  <c r="N1124" i="7"/>
  <c r="O1124" i="7" s="1"/>
  <c r="L1125" i="7"/>
  <c r="M1125" i="7"/>
  <c r="N1125" i="7"/>
  <c r="O1125" i="7" s="1"/>
  <c r="L1126" i="7"/>
  <c r="M1126" i="7"/>
  <c r="N1126" i="7"/>
  <c r="O1126" i="7" s="1"/>
  <c r="L1127" i="7"/>
  <c r="M1127" i="7"/>
  <c r="N1127" i="7"/>
  <c r="O1127" i="7"/>
  <c r="L1128" i="7"/>
  <c r="M1128" i="7"/>
  <c r="N1128" i="7"/>
  <c r="O1128" i="7" s="1"/>
  <c r="L1129" i="7"/>
  <c r="M1129" i="7"/>
  <c r="N1129" i="7"/>
  <c r="O1129" i="7" s="1"/>
  <c r="L1130" i="7"/>
  <c r="M1130" i="7"/>
  <c r="N1130" i="7"/>
  <c r="O1130" i="7" s="1"/>
  <c r="L1131" i="7"/>
  <c r="M1131" i="7"/>
  <c r="N1131" i="7"/>
  <c r="O1131" i="7" s="1"/>
  <c r="L1132" i="7"/>
  <c r="M1132" i="7"/>
  <c r="N1132" i="7"/>
  <c r="O1132" i="7" s="1"/>
  <c r="L1133" i="7"/>
  <c r="M1133" i="7"/>
  <c r="N1133" i="7"/>
  <c r="O1133" i="7" s="1"/>
  <c r="L1134" i="7"/>
  <c r="M1134" i="7"/>
  <c r="N1134" i="7"/>
  <c r="O1134" i="7" s="1"/>
  <c r="L1135" i="7"/>
  <c r="M1135" i="7"/>
  <c r="N1135" i="7"/>
  <c r="O1135" i="7" s="1"/>
  <c r="L1136" i="7"/>
  <c r="M1136" i="7"/>
  <c r="N1136" i="7"/>
  <c r="O1136" i="7" s="1"/>
  <c r="L1137" i="7"/>
  <c r="M1137" i="7"/>
  <c r="N1137" i="7"/>
  <c r="O1137" i="7" s="1"/>
  <c r="L1138" i="7"/>
  <c r="M1138" i="7"/>
  <c r="N1138" i="7"/>
  <c r="O1138" i="7" s="1"/>
  <c r="L1139" i="7"/>
  <c r="M1139" i="7"/>
  <c r="N1139" i="7"/>
  <c r="O1139" i="7" s="1"/>
  <c r="L1140" i="7"/>
  <c r="M1140" i="7"/>
  <c r="N1140" i="7"/>
  <c r="O1140" i="7" s="1"/>
  <c r="L1141" i="7"/>
  <c r="M1141" i="7"/>
  <c r="N1141" i="7"/>
  <c r="O1141" i="7" s="1"/>
  <c r="L1142" i="7"/>
  <c r="M1142" i="7"/>
  <c r="N1142" i="7"/>
  <c r="O1142" i="7" s="1"/>
  <c r="L1143" i="7"/>
  <c r="M1143" i="7"/>
  <c r="N1143" i="7"/>
  <c r="O1143" i="7" s="1"/>
  <c r="L1144" i="7"/>
  <c r="M1144" i="7"/>
  <c r="N1144" i="7"/>
  <c r="O1144" i="7" s="1"/>
  <c r="L1145" i="7"/>
  <c r="M1145" i="7"/>
  <c r="N1145" i="7"/>
  <c r="O1145" i="7" s="1"/>
  <c r="L1146" i="7"/>
  <c r="M1146" i="7"/>
  <c r="N1146" i="7"/>
  <c r="O1146" i="7" s="1"/>
  <c r="L1147" i="7"/>
  <c r="M1147" i="7"/>
  <c r="N1147" i="7"/>
  <c r="O1147" i="7" s="1"/>
  <c r="L1148" i="7"/>
  <c r="M1148" i="7"/>
  <c r="N1148" i="7"/>
  <c r="O1148" i="7" s="1"/>
  <c r="L1149" i="7"/>
  <c r="M1149" i="7"/>
  <c r="N1149" i="7"/>
  <c r="O1149" i="7" s="1"/>
  <c r="L1150" i="7"/>
  <c r="M1150" i="7"/>
  <c r="N1150" i="7"/>
  <c r="O1150" i="7" s="1"/>
  <c r="L1151" i="7"/>
  <c r="M1151" i="7"/>
  <c r="N1151" i="7"/>
  <c r="O1151" i="7" s="1"/>
  <c r="L1152" i="7"/>
  <c r="M1152" i="7"/>
  <c r="N1152" i="7"/>
  <c r="O1152" i="7" s="1"/>
  <c r="L1153" i="7"/>
  <c r="M1153" i="7"/>
  <c r="N1153" i="7"/>
  <c r="O1153" i="7" s="1"/>
  <c r="L1154" i="7"/>
  <c r="M1154" i="7"/>
  <c r="N1154" i="7"/>
  <c r="O1154" i="7" s="1"/>
  <c r="L1155" i="7"/>
  <c r="M1155" i="7"/>
  <c r="N1155" i="7"/>
  <c r="O1155" i="7" s="1"/>
  <c r="L1156" i="7"/>
  <c r="M1156" i="7"/>
  <c r="N1156" i="7"/>
  <c r="O1156" i="7" s="1"/>
  <c r="L1157" i="7"/>
  <c r="M1157" i="7"/>
  <c r="N1157" i="7"/>
  <c r="O1157" i="7" s="1"/>
  <c r="L1158" i="7"/>
  <c r="M1158" i="7"/>
  <c r="N1158" i="7"/>
  <c r="O1158" i="7" s="1"/>
  <c r="L1159" i="7"/>
  <c r="M1159" i="7"/>
  <c r="N1159" i="7"/>
  <c r="O1159" i="7" s="1"/>
  <c r="L1160" i="7"/>
  <c r="M1160" i="7"/>
  <c r="N1160" i="7"/>
  <c r="O1160" i="7" s="1"/>
  <c r="L1161" i="7"/>
  <c r="M1161" i="7"/>
  <c r="N1161" i="7"/>
  <c r="O1161" i="7" s="1"/>
  <c r="L1162" i="7"/>
  <c r="M1162" i="7"/>
  <c r="N1162" i="7"/>
  <c r="O1162" i="7"/>
  <c r="L1163" i="7"/>
  <c r="M1163" i="7"/>
  <c r="N1163" i="7"/>
  <c r="O1163" i="7" s="1"/>
  <c r="L1164" i="7"/>
  <c r="M1164" i="7"/>
  <c r="N1164" i="7"/>
  <c r="O1164" i="7" s="1"/>
  <c r="L1165" i="7"/>
  <c r="M1165" i="7"/>
  <c r="N1165" i="7"/>
  <c r="O1165" i="7" s="1"/>
  <c r="L1166" i="7"/>
  <c r="M1166" i="7"/>
  <c r="N1166" i="7"/>
  <c r="O1166" i="7" s="1"/>
  <c r="L1167" i="7"/>
  <c r="M1167" i="7"/>
  <c r="N1167" i="7"/>
  <c r="O1167" i="7" s="1"/>
  <c r="L1168" i="7"/>
  <c r="M1168" i="7"/>
  <c r="N1168" i="7"/>
  <c r="O1168" i="7" s="1"/>
  <c r="L1169" i="7"/>
  <c r="M1169" i="7"/>
  <c r="N1169" i="7"/>
  <c r="O1169" i="7" s="1"/>
  <c r="L1170" i="7"/>
  <c r="M1170" i="7"/>
  <c r="N1170" i="7"/>
  <c r="O1170" i="7" s="1"/>
  <c r="L1171" i="7"/>
  <c r="M1171" i="7"/>
  <c r="N1171" i="7"/>
  <c r="O1171" i="7" s="1"/>
  <c r="L1172" i="7"/>
  <c r="M1172" i="7"/>
  <c r="N1172" i="7"/>
  <c r="O1172" i="7" s="1"/>
  <c r="L1173" i="7"/>
  <c r="M1173" i="7"/>
  <c r="N1173" i="7"/>
  <c r="O1173" i="7" s="1"/>
  <c r="L1174" i="7"/>
  <c r="M1174" i="7"/>
  <c r="N1174" i="7"/>
  <c r="O1174" i="7" s="1"/>
  <c r="L1175" i="7"/>
  <c r="M1175" i="7"/>
  <c r="N1175" i="7"/>
  <c r="O1175" i="7" s="1"/>
  <c r="L1176" i="7"/>
  <c r="M1176" i="7"/>
  <c r="N1176" i="7"/>
  <c r="O1176" i="7"/>
  <c r="L1177" i="7"/>
  <c r="M1177" i="7"/>
  <c r="N1177" i="7"/>
  <c r="O1177" i="7" s="1"/>
  <c r="L1178" i="7"/>
  <c r="M1178" i="7"/>
  <c r="N1178" i="7"/>
  <c r="O1178" i="7" s="1"/>
  <c r="L1179" i="7"/>
  <c r="M1179" i="7"/>
  <c r="N1179" i="7"/>
  <c r="O1179" i="7" s="1"/>
  <c r="L1180" i="7"/>
  <c r="M1180" i="7"/>
  <c r="N1180" i="7"/>
  <c r="O1180" i="7" s="1"/>
  <c r="L1181" i="7"/>
  <c r="M1181" i="7"/>
  <c r="N1181" i="7"/>
  <c r="O1181" i="7" s="1"/>
  <c r="L1182" i="7"/>
  <c r="M1182" i="7"/>
  <c r="N1182" i="7"/>
  <c r="O1182" i="7" s="1"/>
  <c r="L1183" i="7"/>
  <c r="M1183" i="7"/>
  <c r="N1183" i="7"/>
  <c r="O1183" i="7" s="1"/>
  <c r="L1184" i="7"/>
  <c r="M1184" i="7"/>
  <c r="N1184" i="7"/>
  <c r="O1184" i="7" s="1"/>
  <c r="L1185" i="7"/>
  <c r="M1185" i="7"/>
  <c r="N1185" i="7"/>
  <c r="O1185" i="7" s="1"/>
  <c r="L1186" i="7"/>
  <c r="M1186" i="7"/>
  <c r="N1186" i="7"/>
  <c r="O1186" i="7" s="1"/>
  <c r="L1187" i="7"/>
  <c r="M1187" i="7"/>
  <c r="N1187" i="7"/>
  <c r="O1187" i="7" s="1"/>
  <c r="L1188" i="7"/>
  <c r="M1188" i="7"/>
  <c r="N1188" i="7"/>
  <c r="O1188" i="7" s="1"/>
  <c r="L1189" i="7"/>
  <c r="M1189" i="7"/>
  <c r="N1189" i="7"/>
  <c r="O1189" i="7" s="1"/>
  <c r="L1190" i="7"/>
  <c r="M1190" i="7"/>
  <c r="N1190" i="7"/>
  <c r="O1190" i="7" s="1"/>
  <c r="L1191" i="7"/>
  <c r="M1191" i="7"/>
  <c r="N1191" i="7"/>
  <c r="O1191" i="7" s="1"/>
  <c r="L1192" i="7"/>
  <c r="M1192" i="7"/>
  <c r="N1192" i="7"/>
  <c r="O1192" i="7" s="1"/>
  <c r="L1193" i="7"/>
  <c r="M1193" i="7"/>
  <c r="N1193" i="7"/>
  <c r="O1193" i="7" s="1"/>
  <c r="L1194" i="7"/>
  <c r="M1194" i="7"/>
  <c r="N1194" i="7"/>
  <c r="O1194" i="7" s="1"/>
  <c r="L1195" i="7"/>
  <c r="M1195" i="7"/>
  <c r="N1195" i="7"/>
  <c r="O1195" i="7" s="1"/>
  <c r="L1196" i="7"/>
  <c r="M1196" i="7"/>
  <c r="N1196" i="7"/>
  <c r="O1196" i="7" s="1"/>
  <c r="L1197" i="7"/>
  <c r="M1197" i="7"/>
  <c r="N1197" i="7"/>
  <c r="O1197" i="7" s="1"/>
  <c r="L1198" i="7"/>
  <c r="M1198" i="7"/>
  <c r="N1198" i="7"/>
  <c r="O1198" i="7" s="1"/>
  <c r="L1199" i="7"/>
  <c r="M1199" i="7"/>
  <c r="N1199" i="7"/>
  <c r="O1199" i="7" s="1"/>
  <c r="L1200" i="7"/>
  <c r="M1200" i="7"/>
  <c r="N1200" i="7"/>
  <c r="O1200" i="7" s="1"/>
  <c r="L1201" i="7"/>
  <c r="M1201" i="7"/>
  <c r="N1201" i="7"/>
  <c r="O1201" i="7" s="1"/>
  <c r="L1202" i="7"/>
  <c r="M1202" i="7"/>
  <c r="N1202" i="7"/>
  <c r="O1202" i="7" s="1"/>
  <c r="L1203" i="7"/>
  <c r="M1203" i="7"/>
  <c r="N1203" i="7"/>
  <c r="O1203" i="7" s="1"/>
  <c r="L1204" i="7"/>
  <c r="M1204" i="7"/>
  <c r="N1204" i="7"/>
  <c r="O1204" i="7" s="1"/>
  <c r="L1205" i="7"/>
  <c r="M1205" i="7"/>
  <c r="N1205" i="7"/>
  <c r="O1205" i="7" s="1"/>
  <c r="L1206" i="7"/>
  <c r="M1206" i="7"/>
  <c r="N1206" i="7"/>
  <c r="O1206" i="7" s="1"/>
  <c r="L1207" i="7"/>
  <c r="M1207" i="7"/>
  <c r="N1207" i="7"/>
  <c r="O1207" i="7" s="1"/>
  <c r="L1208" i="7"/>
  <c r="M1208" i="7"/>
  <c r="N1208" i="7"/>
  <c r="O1208" i="7" s="1"/>
  <c r="L1209" i="7"/>
  <c r="M1209" i="7"/>
  <c r="N1209" i="7"/>
  <c r="O1209" i="7" s="1"/>
  <c r="L1210" i="7"/>
  <c r="M1210" i="7"/>
  <c r="N1210" i="7"/>
  <c r="O1210" i="7" s="1"/>
  <c r="L1211" i="7"/>
  <c r="M1211" i="7"/>
  <c r="N1211" i="7"/>
  <c r="O1211" i="7" s="1"/>
  <c r="L1212" i="7"/>
  <c r="M1212" i="7"/>
  <c r="N1212" i="7"/>
  <c r="O1212" i="7" s="1"/>
  <c r="L1213" i="7"/>
  <c r="M1213" i="7"/>
  <c r="N1213" i="7"/>
  <c r="O1213" i="7" s="1"/>
  <c r="L1214" i="7"/>
  <c r="M1214" i="7"/>
  <c r="N1214" i="7"/>
  <c r="O1214" i="7" s="1"/>
  <c r="L1215" i="7"/>
  <c r="M1215" i="7"/>
  <c r="N1215" i="7"/>
  <c r="O1215" i="7" s="1"/>
  <c r="L1216" i="7"/>
  <c r="M1216" i="7"/>
  <c r="N1216" i="7"/>
  <c r="O1216" i="7" s="1"/>
  <c r="L1217" i="7"/>
  <c r="M1217" i="7"/>
  <c r="N1217" i="7"/>
  <c r="O1217" i="7" s="1"/>
  <c r="L1218" i="7"/>
  <c r="M1218" i="7"/>
  <c r="N1218" i="7"/>
  <c r="O1218" i="7" s="1"/>
  <c r="L1219" i="7"/>
  <c r="M1219" i="7"/>
  <c r="N1219" i="7"/>
  <c r="O1219" i="7"/>
  <c r="L1220" i="7"/>
  <c r="M1220" i="7"/>
  <c r="N1220" i="7"/>
  <c r="O1220" i="7" s="1"/>
  <c r="L1221" i="7"/>
  <c r="M1221" i="7"/>
  <c r="N1221" i="7"/>
  <c r="O1221" i="7" s="1"/>
  <c r="L1222" i="7"/>
  <c r="M1222" i="7"/>
  <c r="N1222" i="7"/>
  <c r="O1222" i="7" s="1"/>
  <c r="L1223" i="7"/>
  <c r="M1223" i="7"/>
  <c r="N1223" i="7"/>
  <c r="O1223" i="7" s="1"/>
  <c r="L1224" i="7"/>
  <c r="M1224" i="7"/>
  <c r="N1224" i="7"/>
  <c r="O1224" i="7" s="1"/>
  <c r="L1225" i="7"/>
  <c r="M1225" i="7"/>
  <c r="N1225" i="7"/>
  <c r="O1225" i="7" s="1"/>
  <c r="L1226" i="7"/>
  <c r="M1226" i="7"/>
  <c r="N1226" i="7"/>
  <c r="O1226" i="7" s="1"/>
  <c r="L1227" i="7"/>
  <c r="M1227" i="7"/>
  <c r="N1227" i="7"/>
  <c r="O1227" i="7" s="1"/>
  <c r="L1228" i="7"/>
  <c r="M1228" i="7"/>
  <c r="N1228" i="7"/>
  <c r="O1228" i="7" s="1"/>
  <c r="L1229" i="7"/>
  <c r="M1229" i="7"/>
  <c r="N1229" i="7"/>
  <c r="O1229" i="7" s="1"/>
  <c r="L1230" i="7"/>
  <c r="M1230" i="7"/>
  <c r="N1230" i="7"/>
  <c r="O1230" i="7" s="1"/>
  <c r="L1231" i="7"/>
  <c r="M1231" i="7"/>
  <c r="N1231" i="7"/>
  <c r="O1231" i="7" s="1"/>
  <c r="L1232" i="7"/>
  <c r="M1232" i="7"/>
  <c r="N1232" i="7"/>
  <c r="O1232" i="7" s="1"/>
  <c r="L1233" i="7"/>
  <c r="M1233" i="7"/>
  <c r="N1233" i="7"/>
  <c r="O1233" i="7" s="1"/>
  <c r="L1234" i="7"/>
  <c r="M1234" i="7"/>
  <c r="N1234" i="7"/>
  <c r="O1234" i="7"/>
  <c r="L1235" i="7"/>
  <c r="M1235" i="7"/>
  <c r="N1235" i="7"/>
  <c r="O1235" i="7" s="1"/>
  <c r="L1236" i="7"/>
  <c r="M1236" i="7"/>
  <c r="N1236" i="7"/>
  <c r="O1236" i="7" s="1"/>
  <c r="L1237" i="7"/>
  <c r="M1237" i="7"/>
  <c r="N1237" i="7"/>
  <c r="O1237" i="7" s="1"/>
  <c r="L1238" i="7"/>
  <c r="M1238" i="7"/>
  <c r="N1238" i="7"/>
  <c r="O1238" i="7" s="1"/>
  <c r="L1239" i="7"/>
  <c r="M1239" i="7"/>
  <c r="N1239" i="7"/>
  <c r="O1239" i="7" s="1"/>
  <c r="L1240" i="7"/>
  <c r="M1240" i="7"/>
  <c r="N1240" i="7"/>
  <c r="O1240" i="7" s="1"/>
  <c r="L1241" i="7"/>
  <c r="M1241" i="7"/>
  <c r="N1241" i="7"/>
  <c r="O1241" i="7" s="1"/>
  <c r="L1242" i="7"/>
  <c r="M1242" i="7"/>
  <c r="N1242" i="7"/>
  <c r="O1242" i="7" s="1"/>
  <c r="L1243" i="7"/>
  <c r="M1243" i="7"/>
  <c r="N1243" i="7"/>
  <c r="O1243" i="7" s="1"/>
  <c r="L1244" i="7"/>
  <c r="M1244" i="7"/>
  <c r="N1244" i="7"/>
  <c r="O1244" i="7" s="1"/>
  <c r="L1245" i="7"/>
  <c r="M1245" i="7"/>
  <c r="N1245" i="7"/>
  <c r="O1245" i="7" s="1"/>
  <c r="L1246" i="7"/>
  <c r="M1246" i="7"/>
  <c r="N1246" i="7"/>
  <c r="O1246" i="7" s="1"/>
  <c r="L1247" i="7"/>
  <c r="M1247" i="7"/>
  <c r="N1247" i="7"/>
  <c r="O1247" i="7" s="1"/>
  <c r="L1248" i="7"/>
  <c r="M1248" i="7"/>
  <c r="N1248" i="7"/>
  <c r="O1248" i="7" s="1"/>
  <c r="L1249" i="7"/>
  <c r="M1249" i="7"/>
  <c r="N1249" i="7"/>
  <c r="O1249" i="7" s="1"/>
  <c r="L1250" i="7"/>
  <c r="M1250" i="7"/>
  <c r="N1250" i="7"/>
  <c r="O1250" i="7" s="1"/>
  <c r="L1251" i="7"/>
  <c r="M1251" i="7"/>
  <c r="N1251" i="7"/>
  <c r="O1251" i="7" s="1"/>
  <c r="L1252" i="7"/>
  <c r="M1252" i="7"/>
  <c r="N1252" i="7"/>
  <c r="O1252" i="7" s="1"/>
  <c r="L1253" i="7"/>
  <c r="M1253" i="7"/>
  <c r="N1253" i="7"/>
  <c r="O1253" i="7" s="1"/>
  <c r="L1254" i="7"/>
  <c r="M1254" i="7"/>
  <c r="N1254" i="7"/>
  <c r="O1254" i="7" s="1"/>
  <c r="L1255" i="7"/>
  <c r="M1255" i="7"/>
  <c r="N1255" i="7"/>
  <c r="O1255" i="7" s="1"/>
  <c r="L1256" i="7"/>
  <c r="M1256" i="7"/>
  <c r="N1256" i="7"/>
  <c r="O1256" i="7" s="1"/>
  <c r="L1257" i="7"/>
  <c r="M1257" i="7"/>
  <c r="N1257" i="7"/>
  <c r="O1257" i="7" s="1"/>
  <c r="L1258" i="7"/>
  <c r="M1258" i="7"/>
  <c r="N1258" i="7"/>
  <c r="O1258" i="7" s="1"/>
  <c r="L1259" i="7"/>
  <c r="M1259" i="7"/>
  <c r="N1259" i="7"/>
  <c r="O1259" i="7" s="1"/>
  <c r="L1260" i="7"/>
  <c r="M1260" i="7"/>
  <c r="N1260" i="7"/>
  <c r="O1260" i="7" s="1"/>
  <c r="L1261" i="7"/>
  <c r="M1261" i="7"/>
  <c r="N1261" i="7"/>
  <c r="O1261" i="7" s="1"/>
  <c r="L1262" i="7"/>
  <c r="M1262" i="7"/>
  <c r="N1262" i="7"/>
  <c r="O1262" i="7" s="1"/>
  <c r="L1263" i="7"/>
  <c r="M1263" i="7"/>
  <c r="N1263" i="7"/>
  <c r="O1263" i="7" s="1"/>
  <c r="L1264" i="7"/>
  <c r="M1264" i="7"/>
  <c r="N1264" i="7"/>
  <c r="O1264" i="7" s="1"/>
  <c r="L1265" i="7"/>
  <c r="M1265" i="7"/>
  <c r="N1265" i="7"/>
  <c r="O1265" i="7" s="1"/>
  <c r="L1266" i="7"/>
  <c r="M1266" i="7"/>
  <c r="N1266" i="7"/>
  <c r="O1266" i="7" s="1"/>
  <c r="L1267" i="7"/>
  <c r="M1267" i="7"/>
  <c r="N1267" i="7"/>
  <c r="O1267" i="7" s="1"/>
  <c r="L1268" i="7"/>
  <c r="M1268" i="7"/>
  <c r="N1268" i="7"/>
  <c r="O1268" i="7" s="1"/>
  <c r="L1269" i="7"/>
  <c r="M1269" i="7"/>
  <c r="N1269" i="7"/>
  <c r="O1269" i="7" s="1"/>
  <c r="L1270" i="7"/>
  <c r="M1270" i="7"/>
  <c r="N1270" i="7"/>
  <c r="O1270" i="7" s="1"/>
  <c r="L1271" i="7"/>
  <c r="M1271" i="7"/>
  <c r="N1271" i="7"/>
  <c r="O1271" i="7" s="1"/>
  <c r="L1272" i="7"/>
  <c r="M1272" i="7"/>
  <c r="N1272" i="7"/>
  <c r="O1272" i="7" s="1"/>
  <c r="L1273" i="7"/>
  <c r="M1273" i="7"/>
  <c r="N1273" i="7"/>
  <c r="O1273" i="7" s="1"/>
  <c r="L1274" i="7"/>
  <c r="M1274" i="7"/>
  <c r="N1274" i="7"/>
  <c r="O1274" i="7" s="1"/>
  <c r="L1275" i="7"/>
  <c r="M1275" i="7"/>
  <c r="N1275" i="7"/>
  <c r="O1275" i="7" s="1"/>
  <c r="L1276" i="7"/>
  <c r="M1276" i="7"/>
  <c r="N1276" i="7"/>
  <c r="O1276" i="7" s="1"/>
  <c r="L1277" i="7"/>
  <c r="M1277" i="7"/>
  <c r="N1277" i="7"/>
  <c r="O1277" i="7" s="1"/>
  <c r="L1278" i="7"/>
  <c r="M1278" i="7"/>
  <c r="N1278" i="7"/>
  <c r="O1278" i="7" s="1"/>
  <c r="L1279" i="7"/>
  <c r="M1279" i="7"/>
  <c r="N1279" i="7"/>
  <c r="O1279" i="7" s="1"/>
  <c r="L1280" i="7"/>
  <c r="M1280" i="7"/>
  <c r="N1280" i="7"/>
  <c r="O1280" i="7" s="1"/>
  <c r="L1281" i="7"/>
  <c r="M1281" i="7"/>
  <c r="N1281" i="7"/>
  <c r="O1281" i="7" s="1"/>
  <c r="L1282" i="7"/>
  <c r="M1282" i="7"/>
  <c r="N1282" i="7"/>
  <c r="O1282" i="7" s="1"/>
  <c r="L1283" i="7"/>
  <c r="M1283" i="7"/>
  <c r="N1283" i="7"/>
  <c r="O1283" i="7" s="1"/>
  <c r="L1284" i="7"/>
  <c r="M1284" i="7"/>
  <c r="N1284" i="7"/>
  <c r="O1284" i="7" s="1"/>
  <c r="L1285" i="7"/>
  <c r="M1285" i="7"/>
  <c r="N1285" i="7"/>
  <c r="O1285" i="7" s="1"/>
  <c r="L1286" i="7"/>
  <c r="M1286" i="7"/>
  <c r="N1286" i="7"/>
  <c r="O1286" i="7" s="1"/>
  <c r="L1287" i="7"/>
  <c r="M1287" i="7"/>
  <c r="N1287" i="7"/>
  <c r="O1287" i="7" s="1"/>
  <c r="L1288" i="7"/>
  <c r="M1288" i="7"/>
  <c r="N1288" i="7"/>
  <c r="O1288" i="7" s="1"/>
  <c r="L1289" i="7"/>
  <c r="M1289" i="7"/>
  <c r="N1289" i="7"/>
  <c r="O1289" i="7" s="1"/>
  <c r="L1290" i="7"/>
  <c r="M1290" i="7"/>
  <c r="N1290" i="7"/>
  <c r="O1290" i="7" s="1"/>
  <c r="L1291" i="7"/>
  <c r="M1291" i="7"/>
  <c r="N1291" i="7"/>
  <c r="O1291" i="7" s="1"/>
  <c r="L1292" i="7"/>
  <c r="M1292" i="7"/>
  <c r="N1292" i="7"/>
  <c r="O1292" i="7" s="1"/>
  <c r="L1293" i="7"/>
  <c r="M1293" i="7"/>
  <c r="N1293" i="7"/>
  <c r="O1293" i="7" s="1"/>
  <c r="L1294" i="7"/>
  <c r="M1294" i="7"/>
  <c r="N1294" i="7"/>
  <c r="O1294" i="7" s="1"/>
  <c r="L1295" i="7"/>
  <c r="M1295" i="7"/>
  <c r="N1295" i="7"/>
  <c r="O1295" i="7" s="1"/>
  <c r="L1296" i="7"/>
  <c r="M1296" i="7"/>
  <c r="N1296" i="7"/>
  <c r="O1296" i="7" s="1"/>
  <c r="L1297" i="7"/>
  <c r="M1297" i="7"/>
  <c r="N1297" i="7"/>
  <c r="O1297" i="7" s="1"/>
  <c r="L1298" i="7"/>
  <c r="M1298" i="7"/>
  <c r="N1298" i="7"/>
  <c r="O1298" i="7" s="1"/>
  <c r="L1299" i="7"/>
  <c r="M1299" i="7"/>
  <c r="N1299" i="7"/>
  <c r="O1299" i="7" s="1"/>
  <c r="L1300" i="7"/>
  <c r="M1300" i="7"/>
  <c r="N1300" i="7"/>
  <c r="O1300" i="7" s="1"/>
  <c r="L1301" i="7"/>
  <c r="M1301" i="7"/>
  <c r="N1301" i="7"/>
  <c r="O1301" i="7" s="1"/>
  <c r="L1302" i="7"/>
  <c r="M1302" i="7"/>
  <c r="N1302" i="7"/>
  <c r="O1302" i="7" s="1"/>
  <c r="L1303" i="7"/>
  <c r="M1303" i="7"/>
  <c r="N1303" i="7"/>
  <c r="O1303" i="7" s="1"/>
  <c r="L1304" i="7"/>
  <c r="M1304" i="7"/>
  <c r="N1304" i="7"/>
  <c r="O1304" i="7" s="1"/>
  <c r="L1305" i="7"/>
  <c r="M1305" i="7"/>
  <c r="N1305" i="7"/>
  <c r="O1305" i="7" s="1"/>
  <c r="L1306" i="7"/>
  <c r="M1306" i="7"/>
  <c r="N1306" i="7"/>
  <c r="O1306" i="7" s="1"/>
  <c r="L1307" i="7"/>
  <c r="M1307" i="7"/>
  <c r="N1307" i="7"/>
  <c r="O1307" i="7" s="1"/>
  <c r="L1308" i="7"/>
  <c r="M1308" i="7"/>
  <c r="N1308" i="7"/>
  <c r="O1308" i="7" s="1"/>
  <c r="L1309" i="7"/>
  <c r="M1309" i="7"/>
  <c r="N1309" i="7"/>
  <c r="O1309" i="7" s="1"/>
  <c r="L1310" i="7"/>
  <c r="M1310" i="7"/>
  <c r="N1310" i="7"/>
  <c r="O1310" i="7"/>
  <c r="L1311" i="7"/>
  <c r="M1311" i="7"/>
  <c r="N1311" i="7"/>
  <c r="O1311" i="7" s="1"/>
  <c r="L1312" i="7"/>
  <c r="M1312" i="7"/>
  <c r="N1312" i="7"/>
  <c r="O1312" i="7"/>
  <c r="L1313" i="7"/>
  <c r="M1313" i="7"/>
  <c r="N1313" i="7"/>
  <c r="O1313" i="7" s="1"/>
  <c r="L1314" i="7"/>
  <c r="M1314" i="7"/>
  <c r="N1314" i="7"/>
  <c r="O1314" i="7" s="1"/>
  <c r="L1315" i="7"/>
  <c r="M1315" i="7"/>
  <c r="N1315" i="7"/>
  <c r="O1315" i="7" s="1"/>
  <c r="L1316" i="7"/>
  <c r="M1316" i="7"/>
  <c r="N1316" i="7"/>
  <c r="O1316" i="7" s="1"/>
  <c r="L1317" i="7"/>
  <c r="M1317" i="7"/>
  <c r="N1317" i="7"/>
  <c r="O1317" i="7" s="1"/>
  <c r="L1318" i="7"/>
  <c r="M1318" i="7"/>
  <c r="N1318" i="7"/>
  <c r="O1318" i="7" s="1"/>
  <c r="L1319" i="7"/>
  <c r="M1319" i="7"/>
  <c r="N1319" i="7"/>
  <c r="O1319" i="7" s="1"/>
  <c r="L1320" i="7"/>
  <c r="M1320" i="7"/>
  <c r="N1320" i="7"/>
  <c r="O1320" i="7" s="1"/>
  <c r="L1321" i="7"/>
  <c r="M1321" i="7"/>
  <c r="N1321" i="7"/>
  <c r="O1321" i="7" s="1"/>
  <c r="L1322" i="7"/>
  <c r="M1322" i="7"/>
  <c r="N1322" i="7"/>
  <c r="O1322" i="7" s="1"/>
  <c r="L1323" i="7"/>
  <c r="M1323" i="7"/>
  <c r="N1323" i="7"/>
  <c r="O1323" i="7" s="1"/>
  <c r="L1324" i="7"/>
  <c r="M1324" i="7"/>
  <c r="N1324" i="7"/>
  <c r="O1324" i="7" s="1"/>
  <c r="L1325" i="7"/>
  <c r="M1325" i="7"/>
  <c r="N1325" i="7"/>
  <c r="O1325" i="7" s="1"/>
  <c r="L1326" i="7"/>
  <c r="M1326" i="7"/>
  <c r="N1326" i="7"/>
  <c r="O1326" i="7" s="1"/>
  <c r="L1327" i="7"/>
  <c r="M1327" i="7"/>
  <c r="N1327" i="7"/>
  <c r="O1327" i="7" s="1"/>
  <c r="L1328" i="7"/>
  <c r="M1328" i="7"/>
  <c r="N1328" i="7"/>
  <c r="O1328" i="7" s="1"/>
  <c r="L1329" i="7"/>
  <c r="M1329" i="7"/>
  <c r="N1329" i="7"/>
  <c r="O1329" i="7" s="1"/>
  <c r="L1330" i="7"/>
  <c r="M1330" i="7"/>
  <c r="N1330" i="7"/>
  <c r="O1330" i="7" s="1"/>
  <c r="L1331" i="7"/>
  <c r="M1331" i="7"/>
  <c r="N1331" i="7"/>
  <c r="O1331" i="7" s="1"/>
  <c r="L1332" i="7"/>
  <c r="M1332" i="7"/>
  <c r="N1332" i="7"/>
  <c r="O1332" i="7" s="1"/>
  <c r="L1333" i="7"/>
  <c r="M1333" i="7"/>
  <c r="N1333" i="7"/>
  <c r="O1333" i="7" s="1"/>
  <c r="L1334" i="7"/>
  <c r="M1334" i="7"/>
  <c r="N1334" i="7"/>
  <c r="O1334" i="7" s="1"/>
  <c r="L1335" i="7"/>
  <c r="M1335" i="7"/>
  <c r="N1335" i="7"/>
  <c r="O1335" i="7" s="1"/>
  <c r="L1336" i="7"/>
  <c r="M1336" i="7"/>
  <c r="N1336" i="7"/>
  <c r="O1336" i="7" s="1"/>
  <c r="L1337" i="7"/>
  <c r="M1337" i="7"/>
  <c r="N1337" i="7"/>
  <c r="O1337" i="7" s="1"/>
  <c r="L1338" i="7"/>
  <c r="M1338" i="7"/>
  <c r="N1338" i="7"/>
  <c r="O1338" i="7" s="1"/>
  <c r="L1339" i="7"/>
  <c r="M1339" i="7"/>
  <c r="N1339" i="7"/>
  <c r="O1339" i="7" s="1"/>
  <c r="L1340" i="7"/>
  <c r="M1340" i="7"/>
  <c r="N1340" i="7"/>
  <c r="O1340" i="7" s="1"/>
  <c r="L1341" i="7"/>
  <c r="M1341" i="7"/>
  <c r="N1341" i="7"/>
  <c r="O1341" i="7" s="1"/>
  <c r="L1342" i="7"/>
  <c r="M1342" i="7"/>
  <c r="N1342" i="7"/>
  <c r="O1342" i="7" s="1"/>
  <c r="L1343" i="7"/>
  <c r="M1343" i="7"/>
  <c r="N1343" i="7"/>
  <c r="O1343" i="7" s="1"/>
  <c r="L1344" i="7"/>
  <c r="M1344" i="7"/>
  <c r="N1344" i="7"/>
  <c r="O1344" i="7" s="1"/>
  <c r="L1345" i="7"/>
  <c r="M1345" i="7"/>
  <c r="N1345" i="7"/>
  <c r="O1345" i="7" s="1"/>
  <c r="L1346" i="7"/>
  <c r="M1346" i="7"/>
  <c r="N1346" i="7"/>
  <c r="O1346" i="7" s="1"/>
  <c r="L1347" i="7"/>
  <c r="M1347" i="7"/>
  <c r="N1347" i="7"/>
  <c r="O1347" i="7" s="1"/>
  <c r="L1348" i="7"/>
  <c r="M1348" i="7"/>
  <c r="N1348" i="7"/>
  <c r="O1348" i="7" s="1"/>
  <c r="L1349" i="7"/>
  <c r="M1349" i="7"/>
  <c r="N1349" i="7"/>
  <c r="O1349" i="7" s="1"/>
  <c r="L1350" i="7"/>
  <c r="M1350" i="7"/>
  <c r="N1350" i="7"/>
  <c r="O1350" i="7" s="1"/>
  <c r="L1351" i="7"/>
  <c r="M1351" i="7"/>
  <c r="N1351" i="7"/>
  <c r="O1351" i="7" s="1"/>
  <c r="L1352" i="7"/>
  <c r="M1352" i="7"/>
  <c r="N1352" i="7"/>
  <c r="O1352" i="7"/>
  <c r="L1353" i="7"/>
  <c r="M1353" i="7"/>
  <c r="N1353" i="7"/>
  <c r="O1353" i="7" s="1"/>
  <c r="L1354" i="7"/>
  <c r="M1354" i="7"/>
  <c r="N1354" i="7"/>
  <c r="O1354" i="7" s="1"/>
  <c r="L1355" i="7"/>
  <c r="M1355" i="7"/>
  <c r="N1355" i="7"/>
  <c r="O1355" i="7" s="1"/>
  <c r="L1356" i="7"/>
  <c r="M1356" i="7"/>
  <c r="N1356" i="7"/>
  <c r="O1356" i="7" s="1"/>
  <c r="L1357" i="7"/>
  <c r="M1357" i="7"/>
  <c r="N1357" i="7"/>
  <c r="O1357" i="7" s="1"/>
  <c r="L1358" i="7"/>
  <c r="M1358" i="7"/>
  <c r="N1358" i="7"/>
  <c r="O1358" i="7" s="1"/>
  <c r="L1359" i="7"/>
  <c r="M1359" i="7"/>
  <c r="N1359" i="7"/>
  <c r="O1359" i="7" s="1"/>
  <c r="L1360" i="7"/>
  <c r="M1360" i="7"/>
  <c r="N1360" i="7"/>
  <c r="O1360" i="7" s="1"/>
  <c r="L1361" i="7"/>
  <c r="M1361" i="7"/>
  <c r="N1361" i="7"/>
  <c r="O1361" i="7" s="1"/>
  <c r="L1362" i="7"/>
  <c r="M1362" i="7"/>
  <c r="N1362" i="7"/>
  <c r="O1362" i="7" s="1"/>
  <c r="L1363" i="7"/>
  <c r="M1363" i="7"/>
  <c r="N1363" i="7"/>
  <c r="O1363" i="7" s="1"/>
  <c r="L1364" i="7"/>
  <c r="M1364" i="7"/>
  <c r="N1364" i="7"/>
  <c r="O1364" i="7" s="1"/>
  <c r="L1365" i="7"/>
  <c r="M1365" i="7"/>
  <c r="N1365" i="7"/>
  <c r="O1365" i="7" s="1"/>
  <c r="L1366" i="7"/>
  <c r="M1366" i="7"/>
  <c r="N1366" i="7"/>
  <c r="O1366" i="7" s="1"/>
  <c r="L1367" i="7"/>
  <c r="M1367" i="7"/>
  <c r="N1367" i="7"/>
  <c r="O1367" i="7" s="1"/>
  <c r="L1368" i="7"/>
  <c r="M1368" i="7"/>
  <c r="N1368" i="7"/>
  <c r="O1368" i="7" s="1"/>
  <c r="L1369" i="7"/>
  <c r="M1369" i="7"/>
  <c r="N1369" i="7"/>
  <c r="O1369" i="7" s="1"/>
  <c r="L1370" i="7"/>
  <c r="M1370" i="7"/>
  <c r="N1370" i="7"/>
  <c r="O1370" i="7" s="1"/>
  <c r="L1371" i="7"/>
  <c r="M1371" i="7"/>
  <c r="N1371" i="7"/>
  <c r="O1371" i="7" s="1"/>
  <c r="L1372" i="7"/>
  <c r="M1372" i="7"/>
  <c r="N1372" i="7"/>
  <c r="O1372" i="7"/>
  <c r="L1373" i="7"/>
  <c r="M1373" i="7"/>
  <c r="N1373" i="7"/>
  <c r="O1373" i="7" s="1"/>
  <c r="L1374" i="7"/>
  <c r="M1374" i="7"/>
  <c r="N1374" i="7"/>
  <c r="O1374" i="7" s="1"/>
  <c r="L1375" i="7"/>
  <c r="M1375" i="7"/>
  <c r="N1375" i="7"/>
  <c r="O1375" i="7" s="1"/>
  <c r="L1376" i="7"/>
  <c r="M1376" i="7"/>
  <c r="N1376" i="7"/>
  <c r="O1376" i="7" s="1"/>
  <c r="L1377" i="7"/>
  <c r="M1377" i="7"/>
  <c r="N1377" i="7"/>
  <c r="O1377" i="7" s="1"/>
  <c r="L1378" i="7"/>
  <c r="M1378" i="7"/>
  <c r="N1378" i="7"/>
  <c r="O1378" i="7" s="1"/>
  <c r="L1379" i="7"/>
  <c r="M1379" i="7"/>
  <c r="N1379" i="7"/>
  <c r="O1379" i="7" s="1"/>
  <c r="L1380" i="7"/>
  <c r="M1380" i="7"/>
  <c r="N1380" i="7"/>
  <c r="O1380" i="7" s="1"/>
  <c r="L1381" i="7"/>
  <c r="M1381" i="7"/>
  <c r="N1381" i="7"/>
  <c r="O1381" i="7" s="1"/>
  <c r="L1382" i="7"/>
  <c r="M1382" i="7"/>
  <c r="N1382" i="7"/>
  <c r="O1382" i="7" s="1"/>
  <c r="L1383" i="7"/>
  <c r="M1383" i="7"/>
  <c r="N1383" i="7"/>
  <c r="O1383" i="7" s="1"/>
  <c r="L1384" i="7"/>
  <c r="M1384" i="7"/>
  <c r="N1384" i="7"/>
  <c r="O1384" i="7" s="1"/>
  <c r="L1385" i="7"/>
  <c r="M1385" i="7"/>
  <c r="N1385" i="7"/>
  <c r="O1385" i="7" s="1"/>
  <c r="L1386" i="7"/>
  <c r="M1386" i="7"/>
  <c r="N1386" i="7"/>
  <c r="O1386" i="7" s="1"/>
  <c r="L1387" i="7"/>
  <c r="M1387" i="7"/>
  <c r="N1387" i="7"/>
  <c r="O1387" i="7" s="1"/>
  <c r="L1388" i="7"/>
  <c r="M1388" i="7"/>
  <c r="N1388" i="7"/>
  <c r="O1388" i="7" s="1"/>
  <c r="L1389" i="7"/>
  <c r="M1389" i="7"/>
  <c r="N1389" i="7"/>
  <c r="O1389" i="7" s="1"/>
  <c r="L1390" i="7"/>
  <c r="M1390" i="7"/>
  <c r="N1390" i="7"/>
  <c r="O1390" i="7" s="1"/>
  <c r="L1391" i="7"/>
  <c r="M1391" i="7"/>
  <c r="N1391" i="7"/>
  <c r="O1391" i="7" s="1"/>
  <c r="L1392" i="7"/>
  <c r="M1392" i="7"/>
  <c r="N1392" i="7"/>
  <c r="O1392" i="7" s="1"/>
  <c r="L1393" i="7"/>
  <c r="M1393" i="7"/>
  <c r="N1393" i="7"/>
  <c r="O1393" i="7" s="1"/>
  <c r="L1394" i="7"/>
  <c r="M1394" i="7"/>
  <c r="N1394" i="7"/>
  <c r="O1394" i="7" s="1"/>
  <c r="L1395" i="7"/>
  <c r="M1395" i="7"/>
  <c r="N1395" i="7"/>
  <c r="O1395" i="7" s="1"/>
  <c r="L1396" i="7"/>
  <c r="M1396" i="7"/>
  <c r="N1396" i="7"/>
  <c r="O1396" i="7" s="1"/>
  <c r="L1397" i="7"/>
  <c r="M1397" i="7"/>
  <c r="N1397" i="7"/>
  <c r="O1397" i="7" s="1"/>
  <c r="L1398" i="7"/>
  <c r="M1398" i="7"/>
  <c r="N1398" i="7"/>
  <c r="O1398" i="7" s="1"/>
  <c r="L1399" i="7"/>
  <c r="M1399" i="7"/>
  <c r="N1399" i="7"/>
  <c r="O1399" i="7" s="1"/>
  <c r="L1400" i="7"/>
  <c r="M1400" i="7"/>
  <c r="N1400" i="7"/>
  <c r="O1400" i="7" s="1"/>
  <c r="L1401" i="7"/>
  <c r="M1401" i="7"/>
  <c r="N1401" i="7"/>
  <c r="O1401" i="7" s="1"/>
  <c r="L1402" i="7"/>
  <c r="M1402" i="7"/>
  <c r="N1402" i="7"/>
  <c r="O1402" i="7" s="1"/>
  <c r="L1403" i="7"/>
  <c r="M1403" i="7"/>
  <c r="N1403" i="7"/>
  <c r="O1403" i="7" s="1"/>
  <c r="L1404" i="7"/>
  <c r="M1404" i="7"/>
  <c r="N1404" i="7"/>
  <c r="O1404" i="7" s="1"/>
  <c r="L1405" i="7"/>
  <c r="M1405" i="7"/>
  <c r="N1405" i="7"/>
  <c r="O1405" i="7" s="1"/>
  <c r="L1406" i="7"/>
  <c r="M1406" i="7"/>
  <c r="N1406" i="7"/>
  <c r="O1406" i="7" s="1"/>
  <c r="L1407" i="7"/>
  <c r="M1407" i="7"/>
  <c r="N1407" i="7"/>
  <c r="O1407" i="7" s="1"/>
  <c r="L1408" i="7"/>
  <c r="M1408" i="7"/>
  <c r="N1408" i="7"/>
  <c r="O1408" i="7" s="1"/>
  <c r="L1409" i="7"/>
  <c r="M1409" i="7"/>
  <c r="N1409" i="7"/>
  <c r="O1409" i="7" s="1"/>
  <c r="L1410" i="7"/>
  <c r="M1410" i="7"/>
  <c r="N1410" i="7"/>
  <c r="O1410" i="7" s="1"/>
  <c r="L1411" i="7"/>
  <c r="M1411" i="7"/>
  <c r="N1411" i="7"/>
  <c r="O1411" i="7" s="1"/>
  <c r="L1412" i="7"/>
  <c r="M1412" i="7"/>
  <c r="N1412" i="7"/>
  <c r="O1412" i="7" s="1"/>
  <c r="L1413" i="7"/>
  <c r="M1413" i="7"/>
  <c r="N1413" i="7"/>
  <c r="O1413" i="7" s="1"/>
  <c r="L1414" i="7"/>
  <c r="M1414" i="7"/>
  <c r="N1414" i="7"/>
  <c r="O1414" i="7" s="1"/>
  <c r="L1415" i="7"/>
  <c r="M1415" i="7"/>
  <c r="N1415" i="7"/>
  <c r="O1415" i="7" s="1"/>
  <c r="L1416" i="7"/>
  <c r="M1416" i="7"/>
  <c r="N1416" i="7"/>
  <c r="O1416" i="7" s="1"/>
  <c r="L1417" i="7"/>
  <c r="M1417" i="7"/>
  <c r="N1417" i="7"/>
  <c r="O1417" i="7" s="1"/>
  <c r="L1418" i="7"/>
  <c r="M1418" i="7"/>
  <c r="N1418" i="7"/>
  <c r="O1418" i="7" s="1"/>
  <c r="L1419" i="7"/>
  <c r="M1419" i="7"/>
  <c r="N1419" i="7"/>
  <c r="O1419" i="7" s="1"/>
  <c r="L1420" i="7"/>
  <c r="M1420" i="7"/>
  <c r="N1420" i="7"/>
  <c r="O1420" i="7" s="1"/>
  <c r="L1421" i="7"/>
  <c r="M1421" i="7"/>
  <c r="N1421" i="7"/>
  <c r="O1421" i="7" s="1"/>
  <c r="L1422" i="7"/>
  <c r="M1422" i="7"/>
  <c r="N1422" i="7"/>
  <c r="O1422" i="7" s="1"/>
  <c r="L1423" i="7"/>
  <c r="M1423" i="7"/>
  <c r="N1423" i="7"/>
  <c r="O1423" i="7" s="1"/>
  <c r="L1424" i="7"/>
  <c r="M1424" i="7"/>
  <c r="N1424" i="7"/>
  <c r="O1424" i="7" s="1"/>
  <c r="L1425" i="7"/>
  <c r="M1425" i="7"/>
  <c r="N1425" i="7"/>
  <c r="O1425" i="7" s="1"/>
  <c r="L1426" i="7"/>
  <c r="M1426" i="7"/>
  <c r="N1426" i="7"/>
  <c r="O1426" i="7" s="1"/>
  <c r="L1427" i="7"/>
  <c r="M1427" i="7"/>
  <c r="N1427" i="7"/>
  <c r="O1427" i="7" s="1"/>
  <c r="L1428" i="7"/>
  <c r="M1428" i="7"/>
  <c r="N1428" i="7"/>
  <c r="O1428" i="7" s="1"/>
  <c r="L1429" i="7"/>
  <c r="M1429" i="7"/>
  <c r="N1429" i="7"/>
  <c r="O1429" i="7" s="1"/>
  <c r="L1430" i="7"/>
  <c r="M1430" i="7"/>
  <c r="N1430" i="7"/>
  <c r="O1430" i="7" s="1"/>
  <c r="L1431" i="7"/>
  <c r="M1431" i="7"/>
  <c r="N1431" i="7"/>
  <c r="O1431" i="7" s="1"/>
  <c r="L1432" i="7"/>
  <c r="M1432" i="7"/>
  <c r="N1432" i="7"/>
  <c r="O1432" i="7"/>
  <c r="L1433" i="7"/>
  <c r="M1433" i="7"/>
  <c r="N1433" i="7"/>
  <c r="O1433" i="7" s="1"/>
  <c r="L1434" i="7"/>
  <c r="M1434" i="7"/>
  <c r="N1434" i="7"/>
  <c r="O1434" i="7" s="1"/>
  <c r="L1435" i="7"/>
  <c r="M1435" i="7"/>
  <c r="N1435" i="7"/>
  <c r="O1435" i="7" s="1"/>
  <c r="L1436" i="7"/>
  <c r="M1436" i="7"/>
  <c r="N1436" i="7"/>
  <c r="O1436" i="7" s="1"/>
  <c r="L1437" i="7"/>
  <c r="M1437" i="7"/>
  <c r="N1437" i="7"/>
  <c r="O1437" i="7" s="1"/>
  <c r="L1438" i="7"/>
  <c r="M1438" i="7"/>
  <c r="N1438" i="7"/>
  <c r="O1438" i="7" s="1"/>
  <c r="L1439" i="7"/>
  <c r="M1439" i="7"/>
  <c r="N1439" i="7"/>
  <c r="O1439" i="7" s="1"/>
  <c r="L1440" i="7"/>
  <c r="M1440" i="7"/>
  <c r="N1440" i="7"/>
  <c r="O1440" i="7" s="1"/>
  <c r="L1441" i="7"/>
  <c r="M1441" i="7"/>
  <c r="N1441" i="7"/>
  <c r="O1441" i="7" s="1"/>
  <c r="L1442" i="7"/>
  <c r="M1442" i="7"/>
  <c r="N1442" i="7"/>
  <c r="O1442" i="7" s="1"/>
  <c r="L1443" i="7"/>
  <c r="M1443" i="7"/>
  <c r="N1443" i="7"/>
  <c r="O1443" i="7" s="1"/>
  <c r="L1444" i="7"/>
  <c r="M1444" i="7"/>
  <c r="N1444" i="7"/>
  <c r="O1444" i="7" s="1"/>
  <c r="L1445" i="7"/>
  <c r="M1445" i="7"/>
  <c r="N1445" i="7"/>
  <c r="O1445" i="7" s="1"/>
  <c r="L1446" i="7"/>
  <c r="M1446" i="7"/>
  <c r="N1446" i="7"/>
  <c r="O1446" i="7" s="1"/>
  <c r="L1447" i="7"/>
  <c r="M1447" i="7"/>
  <c r="N1447" i="7"/>
  <c r="O1447" i="7" s="1"/>
  <c r="L1448" i="7"/>
  <c r="M1448" i="7"/>
  <c r="N1448" i="7"/>
  <c r="O1448" i="7" s="1"/>
  <c r="L1449" i="7"/>
  <c r="M1449" i="7"/>
  <c r="N1449" i="7"/>
  <c r="O1449" i="7" s="1"/>
  <c r="L1450" i="7"/>
  <c r="M1450" i="7"/>
  <c r="N1450" i="7"/>
  <c r="O1450" i="7" s="1"/>
  <c r="L1451" i="7"/>
  <c r="M1451" i="7"/>
  <c r="N1451" i="7"/>
  <c r="O1451" i="7" s="1"/>
  <c r="L1452" i="7"/>
  <c r="M1452" i="7"/>
  <c r="N1452" i="7"/>
  <c r="O1452" i="7" s="1"/>
  <c r="L1453" i="7"/>
  <c r="M1453" i="7"/>
  <c r="N1453" i="7"/>
  <c r="O1453" i="7" s="1"/>
  <c r="L1454" i="7"/>
  <c r="M1454" i="7"/>
  <c r="N1454" i="7"/>
  <c r="O1454" i="7" s="1"/>
  <c r="L1455" i="7"/>
  <c r="M1455" i="7"/>
  <c r="N1455" i="7"/>
  <c r="O1455" i="7" s="1"/>
  <c r="L1456" i="7"/>
  <c r="M1456" i="7"/>
  <c r="N1456" i="7"/>
  <c r="O1456" i="7" s="1"/>
  <c r="L1457" i="7"/>
  <c r="M1457" i="7"/>
  <c r="N1457" i="7"/>
  <c r="O1457" i="7" s="1"/>
  <c r="L1458" i="7"/>
  <c r="M1458" i="7"/>
  <c r="N1458" i="7"/>
  <c r="O1458" i="7" s="1"/>
  <c r="L1459" i="7"/>
  <c r="M1459" i="7"/>
  <c r="N1459" i="7"/>
  <c r="O1459" i="7" s="1"/>
  <c r="L1460" i="7"/>
  <c r="M1460" i="7"/>
  <c r="N1460" i="7"/>
  <c r="O1460" i="7" s="1"/>
  <c r="L1461" i="7"/>
  <c r="M1461" i="7"/>
  <c r="N1461" i="7"/>
  <c r="O1461" i="7" s="1"/>
  <c r="L1462" i="7"/>
  <c r="M1462" i="7"/>
  <c r="N1462" i="7"/>
  <c r="O1462" i="7" s="1"/>
  <c r="L1463" i="7"/>
  <c r="M1463" i="7"/>
  <c r="N1463" i="7"/>
  <c r="O1463" i="7"/>
  <c r="L1464" i="7"/>
  <c r="M1464" i="7"/>
  <c r="N1464" i="7"/>
  <c r="O1464" i="7" s="1"/>
  <c r="L1465" i="7"/>
  <c r="M1465" i="7"/>
  <c r="N1465" i="7"/>
  <c r="O1465" i="7" s="1"/>
  <c r="L1466" i="7"/>
  <c r="M1466" i="7"/>
  <c r="N1466" i="7"/>
  <c r="O1466" i="7" s="1"/>
  <c r="L1467" i="7"/>
  <c r="M1467" i="7"/>
  <c r="N1467" i="7"/>
  <c r="O1467" i="7" s="1"/>
  <c r="L1468" i="7"/>
  <c r="M1468" i="7"/>
  <c r="N1468" i="7"/>
  <c r="O1468" i="7" s="1"/>
  <c r="L1469" i="7"/>
  <c r="M1469" i="7"/>
  <c r="N1469" i="7"/>
  <c r="O1469" i="7" s="1"/>
  <c r="L1470" i="7"/>
  <c r="M1470" i="7"/>
  <c r="N1470" i="7"/>
  <c r="O1470" i="7" s="1"/>
  <c r="L1471" i="7"/>
  <c r="M1471" i="7"/>
  <c r="N1471" i="7"/>
  <c r="O1471" i="7" s="1"/>
  <c r="L1472" i="7"/>
  <c r="M1472" i="7"/>
  <c r="N1472" i="7"/>
  <c r="O1472" i="7" s="1"/>
  <c r="L1473" i="7"/>
  <c r="M1473" i="7"/>
  <c r="N1473" i="7"/>
  <c r="O1473" i="7" s="1"/>
  <c r="L1474" i="7"/>
  <c r="M1474" i="7"/>
  <c r="N1474" i="7"/>
  <c r="O1474" i="7" s="1"/>
  <c r="L1475" i="7"/>
  <c r="M1475" i="7"/>
  <c r="N1475" i="7"/>
  <c r="O1475" i="7" s="1"/>
  <c r="L1476" i="7"/>
  <c r="M1476" i="7"/>
  <c r="N1476" i="7"/>
  <c r="O1476" i="7" s="1"/>
  <c r="L1477" i="7"/>
  <c r="M1477" i="7"/>
  <c r="N1477" i="7"/>
  <c r="O1477" i="7" s="1"/>
  <c r="L1478" i="7"/>
  <c r="M1478" i="7"/>
  <c r="N1478" i="7"/>
  <c r="O1478" i="7" s="1"/>
  <c r="L1479" i="7"/>
  <c r="M1479" i="7"/>
  <c r="N1479" i="7"/>
  <c r="O1479" i="7" s="1"/>
  <c r="L1480" i="7"/>
  <c r="M1480" i="7"/>
  <c r="N1480" i="7"/>
  <c r="O1480" i="7" s="1"/>
  <c r="L1481" i="7"/>
  <c r="M1481" i="7"/>
  <c r="N1481" i="7"/>
  <c r="O1481" i="7" s="1"/>
  <c r="L1482" i="7"/>
  <c r="M1482" i="7"/>
  <c r="N1482" i="7"/>
  <c r="O1482" i="7" s="1"/>
  <c r="L1483" i="7"/>
  <c r="M1483" i="7"/>
  <c r="N1483" i="7"/>
  <c r="O1483" i="7" s="1"/>
  <c r="L1484" i="7"/>
  <c r="M1484" i="7"/>
  <c r="N1484" i="7"/>
  <c r="O1484" i="7" s="1"/>
  <c r="L1485" i="7"/>
  <c r="M1485" i="7"/>
  <c r="N1485" i="7"/>
  <c r="O1485" i="7" s="1"/>
  <c r="L1486" i="7"/>
  <c r="M1486" i="7"/>
  <c r="N1486" i="7"/>
  <c r="O1486" i="7" s="1"/>
  <c r="L1487" i="7"/>
  <c r="M1487" i="7"/>
  <c r="N1487" i="7"/>
  <c r="O1487" i="7" s="1"/>
  <c r="L1488" i="7"/>
  <c r="M1488" i="7"/>
  <c r="N1488" i="7"/>
  <c r="O1488" i="7" s="1"/>
  <c r="L1489" i="7"/>
  <c r="M1489" i="7"/>
  <c r="N1489" i="7"/>
  <c r="O1489" i="7" s="1"/>
  <c r="L1490" i="7"/>
  <c r="M1490" i="7"/>
  <c r="N1490" i="7"/>
  <c r="O1490" i="7" s="1"/>
  <c r="L1491" i="7"/>
  <c r="M1491" i="7"/>
  <c r="N1491" i="7"/>
  <c r="O1491" i="7" s="1"/>
  <c r="L1492" i="7"/>
  <c r="M1492" i="7"/>
  <c r="N1492" i="7"/>
  <c r="O1492" i="7" s="1"/>
  <c r="L1493" i="7"/>
  <c r="M1493" i="7"/>
  <c r="N1493" i="7"/>
  <c r="O1493" i="7" s="1"/>
  <c r="L1494" i="7"/>
  <c r="M1494" i="7"/>
  <c r="N1494" i="7"/>
  <c r="O1494" i="7" s="1"/>
  <c r="L1495" i="7"/>
  <c r="M1495" i="7"/>
  <c r="N1495" i="7"/>
  <c r="O1495" i="7" s="1"/>
  <c r="L1496" i="7"/>
  <c r="M1496" i="7"/>
  <c r="N1496" i="7"/>
  <c r="O1496" i="7" s="1"/>
  <c r="L1497" i="7"/>
  <c r="M1497" i="7"/>
  <c r="N1497" i="7"/>
  <c r="O1497" i="7" s="1"/>
  <c r="L1498" i="7"/>
  <c r="M1498" i="7"/>
  <c r="N1498" i="7"/>
  <c r="O1498" i="7" s="1"/>
  <c r="L1499" i="7"/>
  <c r="M1499" i="7"/>
  <c r="N1499" i="7"/>
  <c r="O1499" i="7" s="1"/>
  <c r="L1500" i="7"/>
  <c r="M1500" i="7"/>
  <c r="N1500" i="7"/>
  <c r="O1500" i="7" s="1"/>
  <c r="L1501" i="7"/>
  <c r="M1501" i="7"/>
  <c r="N1501" i="7"/>
  <c r="O1501" i="7" s="1"/>
  <c r="L1502" i="7"/>
  <c r="M1502" i="7"/>
  <c r="N1502" i="7"/>
  <c r="O1502" i="7" s="1"/>
  <c r="L1503" i="7"/>
  <c r="M1503" i="7"/>
  <c r="N1503" i="7"/>
  <c r="O1503" i="7" s="1"/>
  <c r="L1504" i="7"/>
  <c r="M1504" i="7"/>
  <c r="N1504" i="7"/>
  <c r="O1504" i="7" s="1"/>
  <c r="L1505" i="7"/>
  <c r="M1505" i="7"/>
  <c r="N1505" i="7"/>
  <c r="O1505" i="7" s="1"/>
  <c r="L1506" i="7"/>
  <c r="M1506" i="7"/>
  <c r="N1506" i="7"/>
  <c r="O1506" i="7" s="1"/>
  <c r="L1507" i="7"/>
  <c r="M1507" i="7"/>
  <c r="N1507" i="7"/>
  <c r="O1507" i="7" s="1"/>
  <c r="L1508" i="7"/>
  <c r="M1508" i="7"/>
  <c r="N1508" i="7"/>
  <c r="O1508" i="7" s="1"/>
  <c r="L1509" i="7"/>
  <c r="M1509" i="7"/>
  <c r="N1509" i="7"/>
  <c r="O1509" i="7" s="1"/>
  <c r="L1510" i="7"/>
  <c r="M1510" i="7"/>
  <c r="N1510" i="7"/>
  <c r="O1510" i="7" s="1"/>
  <c r="L1511" i="7"/>
  <c r="M1511" i="7"/>
  <c r="N1511" i="7"/>
  <c r="O1511" i="7" s="1"/>
  <c r="L1512" i="7"/>
  <c r="M1512" i="7"/>
  <c r="N1512" i="7"/>
  <c r="O1512" i="7" s="1"/>
  <c r="L1513" i="7"/>
  <c r="M1513" i="7"/>
  <c r="N1513" i="7"/>
  <c r="O1513" i="7" s="1"/>
  <c r="L1514" i="7"/>
  <c r="M1514" i="7"/>
  <c r="N1514" i="7"/>
  <c r="O1514" i="7" s="1"/>
  <c r="L1515" i="7"/>
  <c r="M1515" i="7"/>
  <c r="N1515" i="7"/>
  <c r="O1515" i="7" s="1"/>
  <c r="L1516" i="7"/>
  <c r="M1516" i="7"/>
  <c r="N1516" i="7"/>
  <c r="O1516" i="7" s="1"/>
  <c r="L1517" i="7"/>
  <c r="M1517" i="7"/>
  <c r="N1517" i="7"/>
  <c r="O1517" i="7" s="1"/>
  <c r="L1518" i="7"/>
  <c r="M1518" i="7"/>
  <c r="N1518" i="7"/>
  <c r="O1518" i="7" s="1"/>
  <c r="L1519" i="7"/>
  <c r="M1519" i="7"/>
  <c r="N1519" i="7"/>
  <c r="O1519" i="7" s="1"/>
  <c r="L1520" i="7"/>
  <c r="M1520" i="7"/>
  <c r="N1520" i="7"/>
  <c r="O1520" i="7" s="1"/>
  <c r="L1521" i="7"/>
  <c r="M1521" i="7"/>
  <c r="N1521" i="7"/>
  <c r="O1521" i="7" s="1"/>
  <c r="L1522" i="7"/>
  <c r="M1522" i="7"/>
  <c r="N1522" i="7"/>
  <c r="O1522" i="7" s="1"/>
  <c r="L1523" i="7"/>
  <c r="M1523" i="7"/>
  <c r="N1523" i="7"/>
  <c r="O1523" i="7"/>
  <c r="L1524" i="7"/>
  <c r="M1524" i="7"/>
  <c r="N1524" i="7"/>
  <c r="O1524" i="7" s="1"/>
  <c r="L1525" i="7"/>
  <c r="M1525" i="7"/>
  <c r="N1525" i="7"/>
  <c r="O1525" i="7" s="1"/>
  <c r="L1526" i="7"/>
  <c r="M1526" i="7"/>
  <c r="N1526" i="7"/>
  <c r="O1526" i="7" s="1"/>
  <c r="L1527" i="7"/>
  <c r="M1527" i="7"/>
  <c r="N1527" i="7"/>
  <c r="O1527" i="7" s="1"/>
  <c r="L1528" i="7"/>
  <c r="M1528" i="7"/>
  <c r="N1528" i="7"/>
  <c r="O1528" i="7" s="1"/>
  <c r="L1529" i="7"/>
  <c r="M1529" i="7"/>
  <c r="N1529" i="7"/>
  <c r="O1529" i="7" s="1"/>
  <c r="L1530" i="7"/>
  <c r="M1530" i="7"/>
  <c r="N1530" i="7"/>
  <c r="O1530" i="7" s="1"/>
  <c r="L1531" i="7"/>
  <c r="M1531" i="7"/>
  <c r="N1531" i="7"/>
  <c r="O1531" i="7" s="1"/>
  <c r="L1532" i="7"/>
  <c r="M1532" i="7"/>
  <c r="N1532" i="7"/>
  <c r="O1532" i="7" s="1"/>
  <c r="L1533" i="7"/>
  <c r="M1533" i="7"/>
  <c r="N1533" i="7"/>
  <c r="O1533" i="7" s="1"/>
  <c r="L1534" i="7"/>
  <c r="M1534" i="7"/>
  <c r="N1534" i="7"/>
  <c r="O1534" i="7" s="1"/>
  <c r="L1535" i="7"/>
  <c r="M1535" i="7"/>
  <c r="N1535" i="7"/>
  <c r="O1535" i="7" s="1"/>
  <c r="L1536" i="7"/>
  <c r="M1536" i="7"/>
  <c r="N1536" i="7"/>
  <c r="O1536" i="7" s="1"/>
  <c r="L1537" i="7"/>
  <c r="M1537" i="7"/>
  <c r="N1537" i="7"/>
  <c r="O1537" i="7" s="1"/>
  <c r="L1538" i="7"/>
  <c r="M1538" i="7"/>
  <c r="N1538" i="7"/>
  <c r="O1538" i="7" s="1"/>
  <c r="L1539" i="7"/>
  <c r="M1539" i="7"/>
  <c r="N1539" i="7"/>
  <c r="O1539" i="7" s="1"/>
  <c r="L1540" i="7"/>
  <c r="M1540" i="7"/>
  <c r="N1540" i="7"/>
  <c r="O1540" i="7" s="1"/>
  <c r="L1541" i="7"/>
  <c r="M1541" i="7"/>
  <c r="N1541" i="7"/>
  <c r="O1541" i="7"/>
  <c r="L1542" i="7"/>
  <c r="M1542" i="7"/>
  <c r="N1542" i="7"/>
  <c r="O1542" i="7" s="1"/>
  <c r="L1543" i="7"/>
  <c r="M1543" i="7"/>
  <c r="N1543" i="7"/>
  <c r="O1543" i="7" s="1"/>
  <c r="L1544" i="7"/>
  <c r="M1544" i="7"/>
  <c r="N1544" i="7"/>
  <c r="O1544" i="7" s="1"/>
  <c r="L1545" i="7"/>
  <c r="M1545" i="7"/>
  <c r="N1545" i="7"/>
  <c r="O1545" i="7" s="1"/>
  <c r="L1546" i="7"/>
  <c r="M1546" i="7"/>
  <c r="N1546" i="7"/>
  <c r="O1546" i="7" s="1"/>
  <c r="L1547" i="7"/>
  <c r="M1547" i="7"/>
  <c r="N1547" i="7"/>
  <c r="O1547" i="7" s="1"/>
  <c r="L1548" i="7"/>
  <c r="M1548" i="7"/>
  <c r="N1548" i="7"/>
  <c r="O1548" i="7" s="1"/>
  <c r="L1549" i="7"/>
  <c r="M1549" i="7"/>
  <c r="N1549" i="7"/>
  <c r="O1549" i="7" s="1"/>
  <c r="L1550" i="7"/>
  <c r="M1550" i="7"/>
  <c r="N1550" i="7"/>
  <c r="O1550" i="7" s="1"/>
  <c r="L1551" i="7"/>
  <c r="M1551" i="7"/>
  <c r="N1551" i="7"/>
  <c r="O1551" i="7" s="1"/>
  <c r="L1552" i="7"/>
  <c r="M1552" i="7"/>
  <c r="N1552" i="7"/>
  <c r="O1552" i="7" s="1"/>
  <c r="L1553" i="7"/>
  <c r="M1553" i="7"/>
  <c r="N1553" i="7"/>
  <c r="O1553" i="7" s="1"/>
  <c r="L1554" i="7"/>
  <c r="M1554" i="7"/>
  <c r="N1554" i="7"/>
  <c r="O1554" i="7" s="1"/>
  <c r="L1555" i="7"/>
  <c r="M1555" i="7"/>
  <c r="N1555" i="7"/>
  <c r="O1555" i="7" s="1"/>
  <c r="L1556" i="7"/>
  <c r="M1556" i="7"/>
  <c r="N1556" i="7"/>
  <c r="O1556" i="7" s="1"/>
  <c r="L1557" i="7"/>
  <c r="M1557" i="7"/>
  <c r="N1557" i="7"/>
  <c r="O1557" i="7" s="1"/>
  <c r="L1558" i="7"/>
  <c r="M1558" i="7"/>
  <c r="N1558" i="7"/>
  <c r="O1558" i="7" s="1"/>
  <c r="L1559" i="7"/>
  <c r="M1559" i="7"/>
  <c r="N1559" i="7"/>
  <c r="O1559" i="7" s="1"/>
  <c r="L1560" i="7"/>
  <c r="M1560" i="7"/>
  <c r="N1560" i="7"/>
  <c r="O1560" i="7" s="1"/>
  <c r="L1561" i="7"/>
  <c r="M1561" i="7"/>
  <c r="N1561" i="7"/>
  <c r="O1561" i="7" s="1"/>
  <c r="L1562" i="7"/>
  <c r="M1562" i="7"/>
  <c r="N1562" i="7"/>
  <c r="O1562" i="7" s="1"/>
  <c r="L1563" i="7"/>
  <c r="M1563" i="7"/>
  <c r="N1563" i="7"/>
  <c r="O1563" i="7" s="1"/>
  <c r="L1564" i="7"/>
  <c r="M1564" i="7"/>
  <c r="N1564" i="7"/>
  <c r="O1564" i="7" s="1"/>
  <c r="L1565" i="7"/>
  <c r="M1565" i="7"/>
  <c r="N1565" i="7"/>
  <c r="O1565" i="7" s="1"/>
  <c r="L1566" i="7"/>
  <c r="M1566" i="7"/>
  <c r="N1566" i="7"/>
  <c r="O1566" i="7" s="1"/>
  <c r="L1567" i="7"/>
  <c r="M1567" i="7"/>
  <c r="N1567" i="7"/>
  <c r="O1567" i="7" s="1"/>
  <c r="L1568" i="7"/>
  <c r="M1568" i="7"/>
  <c r="N1568" i="7"/>
  <c r="O1568" i="7" s="1"/>
  <c r="L1569" i="7"/>
  <c r="M1569" i="7"/>
  <c r="N1569" i="7"/>
  <c r="O1569" i="7" s="1"/>
  <c r="L1570" i="7"/>
  <c r="M1570" i="7"/>
  <c r="N1570" i="7"/>
  <c r="O1570" i="7" s="1"/>
  <c r="L1571" i="7"/>
  <c r="M1571" i="7"/>
  <c r="N1571" i="7"/>
  <c r="O1571" i="7" s="1"/>
  <c r="L1572" i="7"/>
  <c r="M1572" i="7"/>
  <c r="N1572" i="7"/>
  <c r="O1572" i="7" s="1"/>
  <c r="L1573" i="7"/>
  <c r="M1573" i="7"/>
  <c r="N1573" i="7"/>
  <c r="O1573" i="7"/>
  <c r="L1574" i="7"/>
  <c r="M1574" i="7"/>
  <c r="N1574" i="7"/>
  <c r="O1574" i="7" s="1"/>
  <c r="L1575" i="7"/>
  <c r="M1575" i="7"/>
  <c r="N1575" i="7"/>
  <c r="O1575" i="7" s="1"/>
  <c r="L1576" i="7"/>
  <c r="M1576" i="7"/>
  <c r="N1576" i="7"/>
  <c r="O1576" i="7" s="1"/>
  <c r="L1577" i="7"/>
  <c r="M1577" i="7"/>
  <c r="N1577" i="7"/>
  <c r="O1577" i="7"/>
  <c r="L1578" i="7"/>
  <c r="M1578" i="7"/>
  <c r="N1578" i="7"/>
  <c r="O1578" i="7"/>
  <c r="L1579" i="7"/>
  <c r="M1579" i="7"/>
  <c r="N1579" i="7"/>
  <c r="O1579" i="7" s="1"/>
  <c r="L1580" i="7"/>
  <c r="M1580" i="7"/>
  <c r="N1580" i="7"/>
  <c r="O1580" i="7" s="1"/>
  <c r="L1581" i="7"/>
  <c r="M1581" i="7"/>
  <c r="N1581" i="7"/>
  <c r="O1581" i="7" s="1"/>
  <c r="L1582" i="7"/>
  <c r="M1582" i="7"/>
  <c r="N1582" i="7"/>
  <c r="O1582" i="7" s="1"/>
  <c r="L1583" i="7"/>
  <c r="M1583" i="7"/>
  <c r="N1583" i="7"/>
  <c r="O1583" i="7" s="1"/>
  <c r="L1584" i="7"/>
  <c r="M1584" i="7"/>
  <c r="N1584" i="7"/>
  <c r="O1584" i="7" s="1"/>
  <c r="L1585" i="7"/>
  <c r="M1585" i="7"/>
  <c r="N1585" i="7"/>
  <c r="O1585" i="7" s="1"/>
  <c r="L1586" i="7"/>
  <c r="M1586" i="7"/>
  <c r="N1586" i="7"/>
  <c r="O1586" i="7" s="1"/>
  <c r="L1587" i="7"/>
  <c r="M1587" i="7"/>
  <c r="N1587" i="7"/>
  <c r="O1587" i="7" s="1"/>
  <c r="L1588" i="7"/>
  <c r="M1588" i="7"/>
  <c r="N1588" i="7"/>
  <c r="O1588" i="7" s="1"/>
  <c r="L1589" i="7"/>
  <c r="M1589" i="7"/>
  <c r="N1589" i="7"/>
  <c r="O1589" i="7" s="1"/>
  <c r="L1590" i="7"/>
  <c r="M1590" i="7"/>
  <c r="N1590" i="7"/>
  <c r="O1590" i="7" s="1"/>
  <c r="L1591" i="7"/>
  <c r="M1591" i="7"/>
  <c r="N1591" i="7"/>
  <c r="O1591" i="7" s="1"/>
  <c r="L1592" i="7"/>
  <c r="M1592" i="7"/>
  <c r="N1592" i="7"/>
  <c r="O1592" i="7" s="1"/>
  <c r="L1593" i="7"/>
  <c r="M1593" i="7"/>
  <c r="N1593" i="7"/>
  <c r="O1593" i="7" s="1"/>
  <c r="L1594" i="7"/>
  <c r="M1594" i="7"/>
  <c r="N1594" i="7"/>
  <c r="O1594" i="7" s="1"/>
  <c r="L1595" i="7"/>
  <c r="M1595" i="7"/>
  <c r="N1595" i="7"/>
  <c r="O1595" i="7" s="1"/>
  <c r="L1596" i="7"/>
  <c r="M1596" i="7"/>
  <c r="N1596" i="7"/>
  <c r="O1596" i="7" s="1"/>
  <c r="L1597" i="7"/>
  <c r="M1597" i="7"/>
  <c r="N1597" i="7"/>
  <c r="O1597" i="7" s="1"/>
  <c r="L1598" i="7"/>
  <c r="M1598" i="7"/>
  <c r="N1598" i="7"/>
  <c r="O1598" i="7" s="1"/>
  <c r="L1599" i="7"/>
  <c r="M1599" i="7"/>
  <c r="N1599" i="7"/>
  <c r="O1599" i="7" s="1"/>
  <c r="L1600" i="7"/>
  <c r="M1600" i="7"/>
  <c r="N1600" i="7"/>
  <c r="O1600" i="7" s="1"/>
  <c r="L1601" i="7"/>
  <c r="M1601" i="7"/>
  <c r="N1601" i="7"/>
  <c r="O1601" i="7" s="1"/>
  <c r="L1602" i="7"/>
  <c r="M1602" i="7"/>
  <c r="N1602" i="7"/>
  <c r="O1602" i="7" s="1"/>
  <c r="L1603" i="7"/>
  <c r="M1603" i="7"/>
  <c r="N1603" i="7"/>
  <c r="O1603" i="7" s="1"/>
  <c r="L1604" i="7"/>
  <c r="M1604" i="7"/>
  <c r="N1604" i="7"/>
  <c r="O1604" i="7" s="1"/>
  <c r="L1605" i="7"/>
  <c r="M1605" i="7"/>
  <c r="N1605" i="7"/>
  <c r="O1605" i="7" s="1"/>
  <c r="L1606" i="7"/>
  <c r="M1606" i="7"/>
  <c r="N1606" i="7"/>
  <c r="O1606" i="7" s="1"/>
  <c r="L1607" i="7"/>
  <c r="M1607" i="7"/>
  <c r="N1607" i="7"/>
  <c r="O1607" i="7" s="1"/>
  <c r="L1608" i="7"/>
  <c r="M1608" i="7"/>
  <c r="N1608" i="7"/>
  <c r="O1608" i="7" s="1"/>
  <c r="L1609" i="7"/>
  <c r="M1609" i="7"/>
  <c r="N1609" i="7"/>
  <c r="O1609" i="7" s="1"/>
  <c r="L1610" i="7"/>
  <c r="M1610" i="7"/>
  <c r="N1610" i="7"/>
  <c r="O1610" i="7" s="1"/>
  <c r="L1611" i="7"/>
  <c r="M1611" i="7"/>
  <c r="N1611" i="7"/>
  <c r="O1611" i="7" s="1"/>
  <c r="L1612" i="7"/>
  <c r="M1612" i="7"/>
  <c r="N1612" i="7"/>
  <c r="O1612" i="7" s="1"/>
  <c r="L1613" i="7"/>
  <c r="M1613" i="7"/>
  <c r="N1613" i="7"/>
  <c r="O1613" i="7" s="1"/>
  <c r="L1614" i="7"/>
  <c r="M1614" i="7"/>
  <c r="N1614" i="7"/>
  <c r="O1614" i="7" s="1"/>
  <c r="L1615" i="7"/>
  <c r="M1615" i="7"/>
  <c r="N1615" i="7"/>
  <c r="O1615" i="7" s="1"/>
  <c r="L1616" i="7"/>
  <c r="M1616" i="7"/>
  <c r="N1616" i="7"/>
  <c r="O1616" i="7" s="1"/>
  <c r="L1617" i="7"/>
  <c r="M1617" i="7"/>
  <c r="N1617" i="7"/>
  <c r="O1617" i="7" s="1"/>
  <c r="L1618" i="7"/>
  <c r="M1618" i="7"/>
  <c r="N1618" i="7"/>
  <c r="O1618" i="7" s="1"/>
  <c r="L1619" i="7"/>
  <c r="M1619" i="7"/>
  <c r="N1619" i="7"/>
  <c r="O1619" i="7" s="1"/>
  <c r="L1620" i="7"/>
  <c r="M1620" i="7"/>
  <c r="N1620" i="7"/>
  <c r="O1620" i="7" s="1"/>
  <c r="L1621" i="7"/>
  <c r="M1621" i="7"/>
  <c r="N1621" i="7"/>
  <c r="O1621" i="7" s="1"/>
  <c r="L1622" i="7"/>
  <c r="M1622" i="7"/>
  <c r="N1622" i="7"/>
  <c r="O1622" i="7" s="1"/>
  <c r="L1623" i="7"/>
  <c r="M1623" i="7"/>
  <c r="N1623" i="7"/>
  <c r="O1623" i="7" s="1"/>
  <c r="L1624" i="7"/>
  <c r="M1624" i="7"/>
  <c r="N1624" i="7"/>
  <c r="O1624" i="7" s="1"/>
  <c r="L1625" i="7"/>
  <c r="M1625" i="7"/>
  <c r="N1625" i="7"/>
  <c r="O1625" i="7" s="1"/>
  <c r="L1626" i="7"/>
  <c r="M1626" i="7"/>
  <c r="N1626" i="7"/>
  <c r="O1626" i="7" s="1"/>
  <c r="L1627" i="7"/>
  <c r="M1627" i="7"/>
  <c r="N1627" i="7"/>
  <c r="O1627" i="7"/>
  <c r="L1628" i="7"/>
  <c r="M1628" i="7"/>
  <c r="N1628" i="7"/>
  <c r="O1628" i="7" s="1"/>
  <c r="L1629" i="7"/>
  <c r="M1629" i="7"/>
  <c r="N1629" i="7"/>
  <c r="O1629" i="7" s="1"/>
  <c r="L1630" i="7"/>
  <c r="M1630" i="7"/>
  <c r="N1630" i="7"/>
  <c r="O1630" i="7" s="1"/>
  <c r="L1631" i="7"/>
  <c r="M1631" i="7"/>
  <c r="N1631" i="7"/>
  <c r="O1631" i="7" s="1"/>
  <c r="L1632" i="7"/>
  <c r="M1632" i="7"/>
  <c r="N1632" i="7"/>
  <c r="O1632" i="7" s="1"/>
  <c r="L1633" i="7"/>
  <c r="M1633" i="7"/>
  <c r="N1633" i="7"/>
  <c r="O1633" i="7" s="1"/>
  <c r="L1634" i="7"/>
  <c r="M1634" i="7"/>
  <c r="N1634" i="7"/>
  <c r="O1634" i="7" s="1"/>
  <c r="L1635" i="7"/>
  <c r="M1635" i="7"/>
  <c r="N1635" i="7"/>
  <c r="O1635" i="7" s="1"/>
  <c r="L1636" i="7"/>
  <c r="M1636" i="7"/>
  <c r="N1636" i="7"/>
  <c r="O1636" i="7" s="1"/>
  <c r="L1637" i="7"/>
  <c r="M1637" i="7"/>
  <c r="N1637" i="7"/>
  <c r="O1637" i="7" s="1"/>
  <c r="L1638" i="7"/>
  <c r="M1638" i="7"/>
  <c r="N1638" i="7"/>
  <c r="O1638" i="7" s="1"/>
  <c r="L1639" i="7"/>
  <c r="M1639" i="7"/>
  <c r="N1639" i="7"/>
  <c r="O1639" i="7" s="1"/>
  <c r="L1640" i="7"/>
  <c r="M1640" i="7"/>
  <c r="N1640" i="7"/>
  <c r="O1640" i="7" s="1"/>
  <c r="L1641" i="7"/>
  <c r="M1641" i="7"/>
  <c r="N1641" i="7"/>
  <c r="O1641" i="7" s="1"/>
  <c r="L1642" i="7"/>
  <c r="M1642" i="7"/>
  <c r="N1642" i="7"/>
  <c r="O1642" i="7" s="1"/>
  <c r="L1643" i="7"/>
  <c r="M1643" i="7"/>
  <c r="N1643" i="7"/>
  <c r="O1643" i="7" s="1"/>
  <c r="L1644" i="7"/>
  <c r="M1644" i="7"/>
  <c r="N1644" i="7"/>
  <c r="O1644" i="7" s="1"/>
  <c r="L1645" i="7"/>
  <c r="M1645" i="7"/>
  <c r="N1645" i="7"/>
  <c r="O1645" i="7" s="1"/>
  <c r="L1646" i="7"/>
  <c r="M1646" i="7"/>
  <c r="N1646" i="7"/>
  <c r="O1646" i="7" s="1"/>
  <c r="L1647" i="7"/>
  <c r="M1647" i="7"/>
  <c r="N1647" i="7"/>
  <c r="O1647" i="7" s="1"/>
  <c r="L1648" i="7"/>
  <c r="M1648" i="7"/>
  <c r="N1648" i="7"/>
  <c r="O1648" i="7" s="1"/>
  <c r="L1649" i="7"/>
  <c r="M1649" i="7"/>
  <c r="N1649" i="7"/>
  <c r="O1649" i="7" s="1"/>
  <c r="L1650" i="7"/>
  <c r="M1650" i="7"/>
  <c r="N1650" i="7"/>
  <c r="O1650" i="7" s="1"/>
  <c r="L1651" i="7"/>
  <c r="M1651" i="7"/>
  <c r="N1651" i="7"/>
  <c r="O1651" i="7" s="1"/>
  <c r="L1652" i="7"/>
  <c r="M1652" i="7"/>
  <c r="N1652" i="7"/>
  <c r="O1652" i="7" s="1"/>
  <c r="L1653" i="7"/>
  <c r="M1653" i="7"/>
  <c r="N1653" i="7"/>
  <c r="O1653" i="7" s="1"/>
  <c r="L1654" i="7"/>
  <c r="M1654" i="7"/>
  <c r="N1654" i="7"/>
  <c r="O1654" i="7" s="1"/>
  <c r="L1655" i="7"/>
  <c r="M1655" i="7"/>
  <c r="N1655" i="7"/>
  <c r="O1655" i="7" s="1"/>
  <c r="L1656" i="7"/>
  <c r="M1656" i="7"/>
  <c r="N1656" i="7"/>
  <c r="O1656" i="7" s="1"/>
  <c r="L1657" i="7"/>
  <c r="M1657" i="7"/>
  <c r="N1657" i="7"/>
  <c r="O1657" i="7" s="1"/>
  <c r="L1658" i="7"/>
  <c r="M1658" i="7"/>
  <c r="N1658" i="7"/>
  <c r="O1658" i="7" s="1"/>
  <c r="L1659" i="7"/>
  <c r="M1659" i="7"/>
  <c r="N1659" i="7"/>
  <c r="O1659" i="7" s="1"/>
  <c r="L1660" i="7"/>
  <c r="M1660" i="7"/>
  <c r="N1660" i="7"/>
  <c r="O1660" i="7"/>
  <c r="L1661" i="7"/>
  <c r="M1661" i="7"/>
  <c r="N1661" i="7"/>
  <c r="O1661" i="7" s="1"/>
  <c r="L1662" i="7"/>
  <c r="M1662" i="7"/>
  <c r="N1662" i="7"/>
  <c r="O1662" i="7" s="1"/>
  <c r="L1663" i="7"/>
  <c r="M1663" i="7"/>
  <c r="N1663" i="7"/>
  <c r="O1663" i="7" s="1"/>
  <c r="L1664" i="7"/>
  <c r="M1664" i="7"/>
  <c r="N1664" i="7"/>
  <c r="O1664" i="7" s="1"/>
  <c r="L1665" i="7"/>
  <c r="M1665" i="7"/>
  <c r="N1665" i="7"/>
  <c r="O1665" i="7" s="1"/>
  <c r="L1666" i="7"/>
  <c r="M1666" i="7"/>
  <c r="N1666" i="7"/>
  <c r="O1666" i="7" s="1"/>
  <c r="L1667" i="7"/>
  <c r="M1667" i="7"/>
  <c r="N1667" i="7"/>
  <c r="O1667" i="7" s="1"/>
  <c r="L1668" i="7"/>
  <c r="M1668" i="7"/>
  <c r="N1668" i="7"/>
  <c r="O1668" i="7" s="1"/>
  <c r="L1669" i="7"/>
  <c r="M1669" i="7"/>
  <c r="N1669" i="7"/>
  <c r="O1669" i="7" s="1"/>
  <c r="L1670" i="7"/>
  <c r="M1670" i="7"/>
  <c r="N1670" i="7"/>
  <c r="O1670" i="7" s="1"/>
  <c r="L1671" i="7"/>
  <c r="M1671" i="7"/>
  <c r="N1671" i="7"/>
  <c r="O1671" i="7" s="1"/>
  <c r="L1672" i="7"/>
  <c r="M1672" i="7"/>
  <c r="N1672" i="7"/>
  <c r="O1672" i="7" s="1"/>
  <c r="L1673" i="7"/>
  <c r="M1673" i="7"/>
  <c r="N1673" i="7"/>
  <c r="O1673" i="7" s="1"/>
  <c r="L1674" i="7"/>
  <c r="M1674" i="7"/>
  <c r="N1674" i="7"/>
  <c r="O1674" i="7" s="1"/>
  <c r="L1675" i="7"/>
  <c r="M1675" i="7"/>
  <c r="N1675" i="7"/>
  <c r="O1675" i="7" s="1"/>
  <c r="L1676" i="7"/>
  <c r="M1676" i="7"/>
  <c r="N1676" i="7"/>
  <c r="O1676" i="7" s="1"/>
  <c r="L1677" i="7"/>
  <c r="M1677" i="7"/>
  <c r="N1677" i="7"/>
  <c r="O1677" i="7" s="1"/>
  <c r="L1678" i="7"/>
  <c r="M1678" i="7"/>
  <c r="N1678" i="7"/>
  <c r="O1678" i="7" s="1"/>
  <c r="L1679" i="7"/>
  <c r="M1679" i="7"/>
  <c r="N1679" i="7"/>
  <c r="O1679" i="7" s="1"/>
  <c r="L1680" i="7"/>
  <c r="M1680" i="7"/>
  <c r="N1680" i="7"/>
  <c r="O1680" i="7" s="1"/>
  <c r="L1681" i="7"/>
  <c r="M1681" i="7"/>
  <c r="N1681" i="7"/>
  <c r="O1681" i="7" s="1"/>
  <c r="L1682" i="7"/>
  <c r="M1682" i="7"/>
  <c r="N1682" i="7"/>
  <c r="O1682" i="7" s="1"/>
  <c r="L1683" i="7"/>
  <c r="M1683" i="7"/>
  <c r="N1683" i="7"/>
  <c r="O1683" i="7" s="1"/>
  <c r="L1684" i="7"/>
  <c r="M1684" i="7"/>
  <c r="N1684" i="7"/>
  <c r="O1684" i="7" s="1"/>
  <c r="L1685" i="7"/>
  <c r="M1685" i="7"/>
  <c r="N1685" i="7"/>
  <c r="O1685" i="7" s="1"/>
  <c r="L1686" i="7"/>
  <c r="M1686" i="7"/>
  <c r="N1686" i="7"/>
  <c r="O1686" i="7" s="1"/>
  <c r="L1687" i="7"/>
  <c r="M1687" i="7"/>
  <c r="N1687" i="7"/>
  <c r="O1687" i="7" s="1"/>
  <c r="L1688" i="7"/>
  <c r="M1688" i="7"/>
  <c r="N1688" i="7"/>
  <c r="O1688" i="7" s="1"/>
  <c r="L1689" i="7"/>
  <c r="M1689" i="7"/>
  <c r="N1689" i="7"/>
  <c r="O1689" i="7" s="1"/>
  <c r="L1690" i="7"/>
  <c r="M1690" i="7"/>
  <c r="N1690" i="7"/>
  <c r="O1690" i="7" s="1"/>
  <c r="L1691" i="7"/>
  <c r="M1691" i="7"/>
  <c r="N1691" i="7"/>
  <c r="O1691" i="7" s="1"/>
  <c r="L1692" i="7"/>
  <c r="M1692" i="7"/>
  <c r="N1692" i="7"/>
  <c r="O1692" i="7" s="1"/>
  <c r="L1693" i="7"/>
  <c r="M1693" i="7"/>
  <c r="N1693" i="7"/>
  <c r="O1693" i="7" s="1"/>
  <c r="L1694" i="7"/>
  <c r="M1694" i="7"/>
  <c r="N1694" i="7"/>
  <c r="O1694" i="7" s="1"/>
  <c r="L1695" i="7"/>
  <c r="M1695" i="7"/>
  <c r="N1695" i="7"/>
  <c r="O1695" i="7" s="1"/>
  <c r="L1696" i="7"/>
  <c r="M1696" i="7"/>
  <c r="N1696" i="7"/>
  <c r="O1696" i="7" s="1"/>
  <c r="L1697" i="7"/>
  <c r="M1697" i="7"/>
  <c r="N1697" i="7"/>
  <c r="O1697" i="7" s="1"/>
  <c r="L1698" i="7"/>
  <c r="M1698" i="7"/>
  <c r="N1698" i="7"/>
  <c r="O1698" i="7" s="1"/>
  <c r="L1699" i="7"/>
  <c r="M1699" i="7"/>
  <c r="N1699" i="7"/>
  <c r="O1699" i="7" s="1"/>
  <c r="L1700" i="7"/>
  <c r="M1700" i="7"/>
  <c r="N1700" i="7"/>
  <c r="O1700" i="7" s="1"/>
  <c r="L1701" i="7"/>
  <c r="M1701" i="7"/>
  <c r="N1701" i="7"/>
  <c r="O1701" i="7" s="1"/>
  <c r="L1702" i="7"/>
  <c r="M1702" i="7"/>
  <c r="N1702" i="7"/>
  <c r="O1702" i="7" s="1"/>
  <c r="L1703" i="7"/>
  <c r="M1703" i="7"/>
  <c r="N1703" i="7"/>
  <c r="O1703" i="7" s="1"/>
  <c r="L1704" i="7"/>
  <c r="M1704" i="7"/>
  <c r="N1704" i="7"/>
  <c r="O1704" i="7" s="1"/>
  <c r="L1705" i="7"/>
  <c r="M1705" i="7"/>
  <c r="N1705" i="7"/>
  <c r="O1705" i="7" s="1"/>
  <c r="L1706" i="7"/>
  <c r="M1706" i="7"/>
  <c r="N1706" i="7"/>
  <c r="O1706" i="7" s="1"/>
  <c r="L1707" i="7"/>
  <c r="M1707" i="7"/>
  <c r="N1707" i="7"/>
  <c r="O1707" i="7" s="1"/>
  <c r="L1708" i="7"/>
  <c r="M1708" i="7"/>
  <c r="N1708" i="7"/>
  <c r="O1708" i="7" s="1"/>
  <c r="L1709" i="7"/>
  <c r="M1709" i="7"/>
  <c r="N1709" i="7"/>
  <c r="O1709" i="7" s="1"/>
  <c r="L1710" i="7"/>
  <c r="M1710" i="7"/>
  <c r="N1710" i="7"/>
  <c r="O1710" i="7" s="1"/>
  <c r="L1711" i="7"/>
  <c r="M1711" i="7"/>
  <c r="N1711" i="7"/>
  <c r="O1711" i="7" s="1"/>
  <c r="L1712" i="7"/>
  <c r="M1712" i="7"/>
  <c r="N1712" i="7"/>
  <c r="O1712" i="7" s="1"/>
  <c r="L1713" i="7"/>
  <c r="M1713" i="7"/>
  <c r="N1713" i="7"/>
  <c r="O1713" i="7" s="1"/>
  <c r="L1714" i="7"/>
  <c r="M1714" i="7"/>
  <c r="N1714" i="7"/>
  <c r="O1714" i="7" s="1"/>
  <c r="L1715" i="7"/>
  <c r="M1715" i="7"/>
  <c r="N1715" i="7"/>
  <c r="O1715" i="7" s="1"/>
  <c r="L1716" i="7"/>
  <c r="M1716" i="7"/>
  <c r="N1716" i="7"/>
  <c r="O1716" i="7" s="1"/>
  <c r="L1717" i="7"/>
  <c r="M1717" i="7"/>
  <c r="N1717" i="7"/>
  <c r="O1717" i="7" s="1"/>
  <c r="L1718" i="7"/>
  <c r="M1718" i="7"/>
  <c r="N1718" i="7"/>
  <c r="O1718" i="7" s="1"/>
  <c r="L1719" i="7"/>
  <c r="M1719" i="7"/>
  <c r="N1719" i="7"/>
  <c r="O1719" i="7" s="1"/>
  <c r="L1720" i="7"/>
  <c r="M1720" i="7"/>
  <c r="N1720" i="7"/>
  <c r="O1720" i="7" s="1"/>
  <c r="L1721" i="7"/>
  <c r="M1721" i="7"/>
  <c r="N1721" i="7"/>
  <c r="O1721" i="7" s="1"/>
  <c r="L1722" i="7"/>
  <c r="M1722" i="7"/>
  <c r="N1722" i="7"/>
  <c r="O1722" i="7" s="1"/>
  <c r="L1723" i="7"/>
  <c r="M1723" i="7"/>
  <c r="N1723" i="7"/>
  <c r="O1723" i="7" s="1"/>
  <c r="L1724" i="7"/>
  <c r="M1724" i="7"/>
  <c r="N1724" i="7"/>
  <c r="O1724" i="7" s="1"/>
  <c r="L1725" i="7"/>
  <c r="M1725" i="7"/>
  <c r="N1725" i="7"/>
  <c r="O1725" i="7" s="1"/>
  <c r="L1726" i="7"/>
  <c r="M1726" i="7"/>
  <c r="N1726" i="7"/>
  <c r="O1726" i="7" s="1"/>
  <c r="L1727" i="7"/>
  <c r="M1727" i="7"/>
  <c r="N1727" i="7"/>
  <c r="O1727" i="7" s="1"/>
  <c r="L1728" i="7"/>
  <c r="M1728" i="7"/>
  <c r="N1728" i="7"/>
  <c r="O1728" i="7" s="1"/>
  <c r="L1729" i="7"/>
  <c r="M1729" i="7"/>
  <c r="N1729" i="7"/>
  <c r="O1729" i="7" s="1"/>
  <c r="L1730" i="7"/>
  <c r="M1730" i="7"/>
  <c r="N1730" i="7"/>
  <c r="O1730" i="7" s="1"/>
  <c r="L1731" i="7"/>
  <c r="M1731" i="7"/>
  <c r="N1731" i="7"/>
  <c r="O1731" i="7" s="1"/>
  <c r="L1732" i="7"/>
  <c r="M1732" i="7"/>
  <c r="N1732" i="7"/>
  <c r="O1732" i="7" s="1"/>
  <c r="L1733" i="7"/>
  <c r="M1733" i="7"/>
  <c r="N1733" i="7"/>
  <c r="O1733" i="7" s="1"/>
  <c r="L1734" i="7"/>
  <c r="M1734" i="7"/>
  <c r="N1734" i="7"/>
  <c r="O1734" i="7" s="1"/>
  <c r="L1735" i="7"/>
  <c r="M1735" i="7"/>
  <c r="N1735" i="7"/>
  <c r="O1735" i="7" s="1"/>
  <c r="L1736" i="7"/>
  <c r="M1736" i="7"/>
  <c r="N1736" i="7"/>
  <c r="O1736" i="7" s="1"/>
  <c r="L1737" i="7"/>
  <c r="M1737" i="7"/>
  <c r="N1737" i="7"/>
  <c r="O1737" i="7" s="1"/>
  <c r="L1738" i="7"/>
  <c r="M1738" i="7"/>
  <c r="N1738" i="7"/>
  <c r="O1738" i="7" s="1"/>
  <c r="L1739" i="7"/>
  <c r="M1739" i="7"/>
  <c r="N1739" i="7"/>
  <c r="O1739" i="7" s="1"/>
  <c r="L1740" i="7"/>
  <c r="M1740" i="7"/>
  <c r="N1740" i="7"/>
  <c r="O1740" i="7" s="1"/>
  <c r="L1741" i="7"/>
  <c r="M1741" i="7"/>
  <c r="N1741" i="7"/>
  <c r="O1741" i="7" s="1"/>
  <c r="L1742" i="7"/>
  <c r="M1742" i="7"/>
  <c r="N1742" i="7"/>
  <c r="O1742" i="7" s="1"/>
  <c r="L1743" i="7"/>
  <c r="M1743" i="7"/>
  <c r="N1743" i="7"/>
  <c r="O1743" i="7" s="1"/>
  <c r="L1744" i="7"/>
  <c r="M1744" i="7"/>
  <c r="N1744" i="7"/>
  <c r="O1744" i="7" s="1"/>
  <c r="L1745" i="7"/>
  <c r="M1745" i="7"/>
  <c r="N1745" i="7"/>
  <c r="O1745" i="7" s="1"/>
  <c r="L1746" i="7"/>
  <c r="M1746" i="7"/>
  <c r="N1746" i="7"/>
  <c r="O1746" i="7" s="1"/>
  <c r="L1747" i="7"/>
  <c r="M1747" i="7"/>
  <c r="N1747" i="7"/>
  <c r="O1747" i="7" s="1"/>
  <c r="L1748" i="7"/>
  <c r="M1748" i="7"/>
  <c r="N1748" i="7"/>
  <c r="O1748" i="7" s="1"/>
  <c r="L1749" i="7"/>
  <c r="M1749" i="7"/>
  <c r="N1749" i="7"/>
  <c r="O1749" i="7" s="1"/>
  <c r="L1750" i="7"/>
  <c r="M1750" i="7"/>
  <c r="N1750" i="7"/>
  <c r="O1750" i="7" s="1"/>
  <c r="L1751" i="7"/>
  <c r="M1751" i="7"/>
  <c r="N1751" i="7"/>
  <c r="O1751" i="7" s="1"/>
  <c r="L1752" i="7"/>
  <c r="M1752" i="7"/>
  <c r="N1752" i="7"/>
  <c r="O1752" i="7" s="1"/>
  <c r="L1753" i="7"/>
  <c r="M1753" i="7"/>
  <c r="N1753" i="7"/>
  <c r="O1753" i="7" s="1"/>
  <c r="L1754" i="7"/>
  <c r="M1754" i="7"/>
  <c r="N1754" i="7"/>
  <c r="O1754" i="7" s="1"/>
  <c r="L1755" i="7"/>
  <c r="M1755" i="7"/>
  <c r="N1755" i="7"/>
  <c r="O1755" i="7" s="1"/>
  <c r="L1756" i="7"/>
  <c r="M1756" i="7"/>
  <c r="N1756" i="7"/>
  <c r="O1756" i="7" s="1"/>
  <c r="L1757" i="7"/>
  <c r="M1757" i="7"/>
  <c r="N1757" i="7"/>
  <c r="O1757" i="7" s="1"/>
  <c r="L1758" i="7"/>
  <c r="M1758" i="7"/>
  <c r="N1758" i="7"/>
  <c r="O1758" i="7" s="1"/>
  <c r="L1759" i="7"/>
  <c r="M1759" i="7"/>
  <c r="N1759" i="7"/>
  <c r="O1759" i="7" s="1"/>
  <c r="L1760" i="7"/>
  <c r="M1760" i="7"/>
  <c r="N1760" i="7"/>
  <c r="O1760" i="7" s="1"/>
  <c r="L1761" i="7"/>
  <c r="M1761" i="7"/>
  <c r="N1761" i="7"/>
  <c r="O1761" i="7" s="1"/>
  <c r="L1762" i="7"/>
  <c r="M1762" i="7"/>
  <c r="N1762" i="7"/>
  <c r="O1762" i="7" s="1"/>
  <c r="L1763" i="7"/>
  <c r="M1763" i="7"/>
  <c r="N1763" i="7"/>
  <c r="O1763" i="7" s="1"/>
  <c r="L1764" i="7"/>
  <c r="M1764" i="7"/>
  <c r="N1764" i="7"/>
  <c r="O1764" i="7" s="1"/>
  <c r="L1765" i="7"/>
  <c r="M1765" i="7"/>
  <c r="N1765" i="7"/>
  <c r="O1765" i="7" s="1"/>
  <c r="L1766" i="7"/>
  <c r="M1766" i="7"/>
  <c r="N1766" i="7"/>
  <c r="O1766" i="7" s="1"/>
  <c r="L1767" i="7"/>
  <c r="M1767" i="7"/>
  <c r="N1767" i="7"/>
  <c r="O1767" i="7" s="1"/>
  <c r="L1768" i="7"/>
  <c r="M1768" i="7"/>
  <c r="N1768" i="7"/>
  <c r="O1768" i="7" s="1"/>
  <c r="L1769" i="7"/>
  <c r="M1769" i="7"/>
  <c r="N1769" i="7"/>
  <c r="O1769" i="7" s="1"/>
  <c r="L1770" i="7"/>
  <c r="M1770" i="7"/>
  <c r="N1770" i="7"/>
  <c r="O1770" i="7" s="1"/>
  <c r="L1771" i="7"/>
  <c r="M1771" i="7"/>
  <c r="N1771" i="7"/>
  <c r="O1771" i="7" s="1"/>
  <c r="L1772" i="7"/>
  <c r="M1772" i="7"/>
  <c r="N1772" i="7"/>
  <c r="O1772" i="7" s="1"/>
  <c r="L1773" i="7"/>
  <c r="M1773" i="7"/>
  <c r="N1773" i="7"/>
  <c r="O1773" i="7" s="1"/>
  <c r="L1774" i="7"/>
  <c r="M1774" i="7"/>
  <c r="N1774" i="7"/>
  <c r="O1774" i="7" s="1"/>
  <c r="L1775" i="7"/>
  <c r="M1775" i="7"/>
  <c r="N1775" i="7"/>
  <c r="O1775" i="7" s="1"/>
  <c r="L1776" i="7"/>
  <c r="M1776" i="7"/>
  <c r="N1776" i="7"/>
  <c r="O1776" i="7" s="1"/>
  <c r="L1777" i="7"/>
  <c r="M1777" i="7"/>
  <c r="N1777" i="7"/>
  <c r="O1777" i="7" s="1"/>
  <c r="L1778" i="7"/>
  <c r="M1778" i="7"/>
  <c r="N1778" i="7"/>
  <c r="O1778" i="7" s="1"/>
  <c r="L1779" i="7"/>
  <c r="M1779" i="7"/>
  <c r="N1779" i="7"/>
  <c r="O1779" i="7" s="1"/>
  <c r="L1780" i="7"/>
  <c r="M1780" i="7"/>
  <c r="N1780" i="7"/>
  <c r="O1780" i="7" s="1"/>
  <c r="L1781" i="7"/>
  <c r="M1781" i="7"/>
  <c r="N1781" i="7"/>
  <c r="O1781" i="7" s="1"/>
  <c r="L1782" i="7"/>
  <c r="M1782" i="7"/>
  <c r="N1782" i="7"/>
  <c r="O1782" i="7" s="1"/>
  <c r="L1783" i="7"/>
  <c r="M1783" i="7"/>
  <c r="N1783" i="7"/>
  <c r="O1783" i="7" s="1"/>
  <c r="L1784" i="7"/>
  <c r="M1784" i="7"/>
  <c r="N1784" i="7"/>
  <c r="O1784" i="7" s="1"/>
  <c r="L1785" i="7"/>
  <c r="M1785" i="7"/>
  <c r="N1785" i="7"/>
  <c r="O1785" i="7" s="1"/>
  <c r="L1786" i="7"/>
  <c r="M1786" i="7"/>
  <c r="N1786" i="7"/>
  <c r="O1786" i="7" s="1"/>
  <c r="L1787" i="7"/>
  <c r="M1787" i="7"/>
  <c r="N1787" i="7"/>
  <c r="O1787" i="7" s="1"/>
  <c r="L1788" i="7"/>
  <c r="M1788" i="7"/>
  <c r="N1788" i="7"/>
  <c r="O1788" i="7" s="1"/>
  <c r="L1789" i="7"/>
  <c r="M1789" i="7"/>
  <c r="N1789" i="7"/>
  <c r="O1789" i="7" s="1"/>
  <c r="L1790" i="7"/>
  <c r="M1790" i="7"/>
  <c r="N1790" i="7"/>
  <c r="O1790" i="7" s="1"/>
  <c r="L1791" i="7"/>
  <c r="M1791" i="7"/>
  <c r="N1791" i="7"/>
  <c r="O1791" i="7" s="1"/>
  <c r="L1792" i="7"/>
  <c r="M1792" i="7"/>
  <c r="N1792" i="7"/>
  <c r="O1792" i="7" s="1"/>
  <c r="L1793" i="7"/>
  <c r="M1793" i="7"/>
  <c r="N1793" i="7"/>
  <c r="O1793" i="7" s="1"/>
  <c r="L1794" i="7"/>
  <c r="M1794" i="7"/>
  <c r="N1794" i="7"/>
  <c r="O1794" i="7" s="1"/>
  <c r="L1795" i="7"/>
  <c r="M1795" i="7"/>
  <c r="N1795" i="7"/>
  <c r="O1795" i="7" s="1"/>
  <c r="L1796" i="7"/>
  <c r="M1796" i="7"/>
  <c r="N1796" i="7"/>
  <c r="O1796" i="7" s="1"/>
  <c r="L1797" i="7"/>
  <c r="M1797" i="7"/>
  <c r="N1797" i="7"/>
  <c r="O1797" i="7" s="1"/>
  <c r="L1798" i="7"/>
  <c r="M1798" i="7"/>
  <c r="N1798" i="7"/>
  <c r="O1798" i="7" s="1"/>
  <c r="L1799" i="7"/>
  <c r="M1799" i="7"/>
  <c r="N1799" i="7"/>
  <c r="O1799" i="7" s="1"/>
  <c r="L1800" i="7"/>
  <c r="M1800" i="7"/>
  <c r="N1800" i="7"/>
  <c r="O1800" i="7" s="1"/>
  <c r="L1801" i="7"/>
  <c r="M1801" i="7"/>
  <c r="N1801" i="7"/>
  <c r="O1801" i="7" s="1"/>
  <c r="L1802" i="7"/>
  <c r="M1802" i="7"/>
  <c r="N1802" i="7"/>
  <c r="O1802" i="7" s="1"/>
  <c r="L1803" i="7"/>
  <c r="M1803" i="7"/>
  <c r="N1803" i="7"/>
  <c r="O1803" i="7" s="1"/>
  <c r="L1804" i="7"/>
  <c r="M1804" i="7"/>
  <c r="N1804" i="7"/>
  <c r="O1804" i="7" s="1"/>
  <c r="L1805" i="7"/>
  <c r="M1805" i="7"/>
  <c r="N1805" i="7"/>
  <c r="O1805" i="7" s="1"/>
  <c r="L1806" i="7"/>
  <c r="M1806" i="7"/>
  <c r="N1806" i="7"/>
  <c r="O1806" i="7" s="1"/>
  <c r="L1807" i="7"/>
  <c r="M1807" i="7"/>
  <c r="N1807" i="7"/>
  <c r="O1807" i="7" s="1"/>
  <c r="L1808" i="7"/>
  <c r="M1808" i="7"/>
  <c r="N1808" i="7"/>
  <c r="O1808" i="7" s="1"/>
  <c r="L1809" i="7"/>
  <c r="M1809" i="7"/>
  <c r="N1809" i="7"/>
  <c r="O1809" i="7" s="1"/>
  <c r="L1810" i="7"/>
  <c r="M1810" i="7"/>
  <c r="N1810" i="7"/>
  <c r="O1810" i="7" s="1"/>
  <c r="L1811" i="7"/>
  <c r="M1811" i="7"/>
  <c r="N1811" i="7"/>
  <c r="O1811" i="7" s="1"/>
  <c r="L1812" i="7"/>
  <c r="M1812" i="7"/>
  <c r="N1812" i="7"/>
  <c r="O1812" i="7" s="1"/>
  <c r="L1813" i="7"/>
  <c r="M1813" i="7"/>
  <c r="N1813" i="7"/>
  <c r="O1813" i="7" s="1"/>
  <c r="L1814" i="7"/>
  <c r="M1814" i="7"/>
  <c r="N1814" i="7"/>
  <c r="O1814" i="7" s="1"/>
  <c r="L1815" i="7"/>
  <c r="M1815" i="7"/>
  <c r="N1815" i="7"/>
  <c r="O1815" i="7" s="1"/>
  <c r="L1816" i="7"/>
  <c r="M1816" i="7"/>
  <c r="N1816" i="7"/>
  <c r="O1816" i="7" s="1"/>
  <c r="L1817" i="7"/>
  <c r="M1817" i="7"/>
  <c r="N1817" i="7"/>
  <c r="O1817" i="7" s="1"/>
  <c r="L1818" i="7"/>
  <c r="M1818" i="7"/>
  <c r="N1818" i="7"/>
  <c r="O1818" i="7" s="1"/>
  <c r="L1819" i="7"/>
  <c r="M1819" i="7"/>
  <c r="N1819" i="7"/>
  <c r="O1819" i="7" s="1"/>
  <c r="L1820" i="7"/>
  <c r="M1820" i="7"/>
  <c r="N1820" i="7"/>
  <c r="O1820" i="7" s="1"/>
  <c r="L1821" i="7"/>
  <c r="M1821" i="7"/>
  <c r="N1821" i="7"/>
  <c r="O1821" i="7" s="1"/>
  <c r="L1822" i="7"/>
  <c r="M1822" i="7"/>
  <c r="N1822" i="7"/>
  <c r="O1822" i="7" s="1"/>
  <c r="L1823" i="7"/>
  <c r="M1823" i="7"/>
  <c r="N1823" i="7"/>
  <c r="O1823" i="7" s="1"/>
  <c r="L1824" i="7"/>
  <c r="M1824" i="7"/>
  <c r="N1824" i="7"/>
  <c r="O1824" i="7"/>
  <c r="L1825" i="7"/>
  <c r="M1825" i="7"/>
  <c r="N1825" i="7"/>
  <c r="O1825" i="7" s="1"/>
  <c r="L1826" i="7"/>
  <c r="M1826" i="7"/>
  <c r="N1826" i="7"/>
  <c r="O1826" i="7" s="1"/>
  <c r="L1827" i="7"/>
  <c r="M1827" i="7"/>
  <c r="N1827" i="7"/>
  <c r="O1827" i="7" s="1"/>
  <c r="L1828" i="7"/>
  <c r="M1828" i="7"/>
  <c r="N1828" i="7"/>
  <c r="O1828" i="7" s="1"/>
  <c r="L1829" i="7"/>
  <c r="M1829" i="7"/>
  <c r="N1829" i="7"/>
  <c r="O1829" i="7" s="1"/>
  <c r="L1830" i="7"/>
  <c r="M1830" i="7"/>
  <c r="N1830" i="7"/>
  <c r="O1830" i="7"/>
  <c r="L1831" i="7"/>
  <c r="M1831" i="7"/>
  <c r="N1831" i="7"/>
  <c r="O1831" i="7" s="1"/>
  <c r="L1832" i="7"/>
  <c r="M1832" i="7"/>
  <c r="N1832" i="7"/>
  <c r="O1832" i="7" s="1"/>
  <c r="L1833" i="7"/>
  <c r="M1833" i="7"/>
  <c r="N1833" i="7"/>
  <c r="O1833" i="7" s="1"/>
  <c r="L1834" i="7"/>
  <c r="M1834" i="7"/>
  <c r="N1834" i="7"/>
  <c r="O1834" i="7" s="1"/>
  <c r="L1835" i="7"/>
  <c r="M1835" i="7"/>
  <c r="N1835" i="7"/>
  <c r="O1835" i="7" s="1"/>
  <c r="L1836" i="7"/>
  <c r="M1836" i="7"/>
  <c r="N1836" i="7"/>
  <c r="O1836" i="7" s="1"/>
  <c r="L1837" i="7"/>
  <c r="M1837" i="7"/>
  <c r="N1837" i="7"/>
  <c r="O1837" i="7" s="1"/>
  <c r="L1838" i="7"/>
  <c r="M1838" i="7"/>
  <c r="N1838" i="7"/>
  <c r="O1838" i="7" s="1"/>
  <c r="L1839" i="7"/>
  <c r="M1839" i="7"/>
  <c r="N1839" i="7"/>
  <c r="O1839" i="7" s="1"/>
  <c r="L1840" i="7"/>
  <c r="M1840" i="7"/>
  <c r="N1840" i="7"/>
  <c r="O1840" i="7" s="1"/>
  <c r="L1841" i="7"/>
  <c r="M1841" i="7"/>
  <c r="N1841" i="7"/>
  <c r="O1841" i="7" s="1"/>
  <c r="L1842" i="7"/>
  <c r="M1842" i="7"/>
  <c r="N1842" i="7"/>
  <c r="O1842" i="7" s="1"/>
  <c r="L1843" i="7"/>
  <c r="M1843" i="7"/>
  <c r="N1843" i="7"/>
  <c r="O1843" i="7" s="1"/>
  <c r="L1844" i="7"/>
  <c r="M1844" i="7"/>
  <c r="N1844" i="7"/>
  <c r="O1844" i="7" s="1"/>
  <c r="L1845" i="7"/>
  <c r="M1845" i="7"/>
  <c r="N1845" i="7"/>
  <c r="O1845" i="7" s="1"/>
  <c r="L1846" i="7"/>
  <c r="M1846" i="7"/>
  <c r="N1846" i="7"/>
  <c r="O1846" i="7" s="1"/>
  <c r="L1847" i="7"/>
  <c r="M1847" i="7"/>
  <c r="N1847" i="7"/>
  <c r="O1847" i="7" s="1"/>
  <c r="L1848" i="7"/>
  <c r="M1848" i="7"/>
  <c r="N1848" i="7"/>
  <c r="O1848" i="7" s="1"/>
  <c r="L1849" i="7"/>
  <c r="M1849" i="7"/>
  <c r="N1849" i="7"/>
  <c r="O1849" i="7" s="1"/>
  <c r="L1850" i="7"/>
  <c r="M1850" i="7"/>
  <c r="N1850" i="7"/>
  <c r="O1850" i="7" s="1"/>
  <c r="L1851" i="7"/>
  <c r="M1851" i="7"/>
  <c r="N1851" i="7"/>
  <c r="O1851" i="7" s="1"/>
  <c r="L1852" i="7"/>
  <c r="M1852" i="7"/>
  <c r="N1852" i="7"/>
  <c r="O1852" i="7" s="1"/>
  <c r="L1853" i="7"/>
  <c r="M1853" i="7"/>
  <c r="N1853" i="7"/>
  <c r="O1853" i="7" s="1"/>
  <c r="L1854" i="7"/>
  <c r="M1854" i="7"/>
  <c r="N1854" i="7"/>
  <c r="O1854" i="7" s="1"/>
  <c r="L1855" i="7"/>
  <c r="M1855" i="7"/>
  <c r="N1855" i="7"/>
  <c r="O1855" i="7" s="1"/>
  <c r="L1856" i="7"/>
  <c r="M1856" i="7"/>
  <c r="N1856" i="7"/>
  <c r="O1856" i="7" s="1"/>
  <c r="L1857" i="7"/>
  <c r="M1857" i="7"/>
  <c r="N1857" i="7"/>
  <c r="O1857" i="7" s="1"/>
  <c r="L1858" i="7"/>
  <c r="M1858" i="7"/>
  <c r="N1858" i="7"/>
  <c r="O1858" i="7" s="1"/>
  <c r="L1859" i="7"/>
  <c r="M1859" i="7"/>
  <c r="N1859" i="7"/>
  <c r="O1859" i="7" s="1"/>
  <c r="L1860" i="7"/>
  <c r="M1860" i="7"/>
  <c r="N1860" i="7"/>
  <c r="O1860" i="7" s="1"/>
  <c r="L1861" i="7"/>
  <c r="M1861" i="7"/>
  <c r="N1861" i="7"/>
  <c r="O1861" i="7" s="1"/>
  <c r="L1862" i="7"/>
  <c r="M1862" i="7"/>
  <c r="N1862" i="7"/>
  <c r="O1862" i="7" s="1"/>
  <c r="L1863" i="7"/>
  <c r="M1863" i="7"/>
  <c r="N1863" i="7"/>
  <c r="O1863" i="7" s="1"/>
  <c r="L1864" i="7"/>
  <c r="M1864" i="7"/>
  <c r="N1864" i="7"/>
  <c r="O1864" i="7" s="1"/>
  <c r="L1865" i="7"/>
  <c r="M1865" i="7"/>
  <c r="N1865" i="7"/>
  <c r="O1865" i="7" s="1"/>
  <c r="L1866" i="7"/>
  <c r="M1866" i="7"/>
  <c r="N1866" i="7"/>
  <c r="O1866" i="7" s="1"/>
  <c r="L1867" i="7"/>
  <c r="M1867" i="7"/>
  <c r="N1867" i="7"/>
  <c r="O1867" i="7" s="1"/>
  <c r="L1868" i="7"/>
  <c r="M1868" i="7"/>
  <c r="N1868" i="7"/>
  <c r="O1868" i="7" s="1"/>
  <c r="L1869" i="7"/>
  <c r="M1869" i="7"/>
  <c r="N1869" i="7"/>
  <c r="O1869" i="7" s="1"/>
  <c r="L1870" i="7"/>
  <c r="M1870" i="7"/>
  <c r="N1870" i="7"/>
  <c r="O1870" i="7" s="1"/>
  <c r="L1871" i="7"/>
  <c r="M1871" i="7"/>
  <c r="N1871" i="7"/>
  <c r="O1871" i="7" s="1"/>
  <c r="L1872" i="7"/>
  <c r="M1872" i="7"/>
  <c r="N1872" i="7"/>
  <c r="O1872" i="7" s="1"/>
  <c r="L1873" i="7"/>
  <c r="M1873" i="7"/>
  <c r="N1873" i="7"/>
  <c r="O1873" i="7" s="1"/>
  <c r="L1874" i="7"/>
  <c r="M1874" i="7"/>
  <c r="N1874" i="7"/>
  <c r="O1874" i="7" s="1"/>
  <c r="L1875" i="7"/>
  <c r="M1875" i="7"/>
  <c r="N1875" i="7"/>
  <c r="O1875" i="7" s="1"/>
  <c r="L1876" i="7"/>
  <c r="M1876" i="7"/>
  <c r="N1876" i="7"/>
  <c r="O1876" i="7" s="1"/>
  <c r="L1877" i="7"/>
  <c r="M1877" i="7"/>
  <c r="N1877" i="7"/>
  <c r="O1877" i="7" s="1"/>
  <c r="L1878" i="7"/>
  <c r="M1878" i="7"/>
  <c r="N1878" i="7"/>
  <c r="O1878" i="7" s="1"/>
  <c r="L1879" i="7"/>
  <c r="M1879" i="7"/>
  <c r="N1879" i="7"/>
  <c r="O1879" i="7" s="1"/>
  <c r="L1880" i="7"/>
  <c r="M1880" i="7"/>
  <c r="N1880" i="7"/>
  <c r="O1880" i="7" s="1"/>
  <c r="L1881" i="7"/>
  <c r="M1881" i="7"/>
  <c r="N1881" i="7"/>
  <c r="O1881" i="7" s="1"/>
  <c r="L1882" i="7"/>
  <c r="M1882" i="7"/>
  <c r="N1882" i="7"/>
  <c r="O1882" i="7" s="1"/>
  <c r="L1883" i="7"/>
  <c r="M1883" i="7"/>
  <c r="N1883" i="7"/>
  <c r="O1883" i="7" s="1"/>
  <c r="L1884" i="7"/>
  <c r="M1884" i="7"/>
  <c r="N1884" i="7"/>
  <c r="O1884" i="7" s="1"/>
  <c r="L1885" i="7"/>
  <c r="M1885" i="7"/>
  <c r="N1885" i="7"/>
  <c r="O1885" i="7" s="1"/>
  <c r="L1886" i="7"/>
  <c r="M1886" i="7"/>
  <c r="N1886" i="7"/>
  <c r="O1886" i="7" s="1"/>
  <c r="L1887" i="7"/>
  <c r="M1887" i="7"/>
  <c r="N1887" i="7"/>
  <c r="O1887" i="7" s="1"/>
  <c r="L1888" i="7"/>
  <c r="M1888" i="7"/>
  <c r="N1888" i="7"/>
  <c r="O1888" i="7" s="1"/>
  <c r="L1889" i="7"/>
  <c r="M1889" i="7"/>
  <c r="N1889" i="7"/>
  <c r="O1889" i="7" s="1"/>
  <c r="L1890" i="7"/>
  <c r="M1890" i="7"/>
  <c r="N1890" i="7"/>
  <c r="O1890" i="7" s="1"/>
  <c r="L1891" i="7"/>
  <c r="M1891" i="7"/>
  <c r="N1891" i="7"/>
  <c r="O1891" i="7" s="1"/>
  <c r="L1892" i="7"/>
  <c r="M1892" i="7"/>
  <c r="N1892" i="7"/>
  <c r="O1892" i="7" s="1"/>
  <c r="L1893" i="7"/>
  <c r="M1893" i="7"/>
  <c r="N1893" i="7"/>
  <c r="O1893" i="7" s="1"/>
  <c r="L1894" i="7"/>
  <c r="M1894" i="7"/>
  <c r="N1894" i="7"/>
  <c r="O1894" i="7"/>
  <c r="L1895" i="7"/>
  <c r="M1895" i="7"/>
  <c r="N1895" i="7"/>
  <c r="O1895" i="7" s="1"/>
  <c r="L1896" i="7"/>
  <c r="M1896" i="7"/>
  <c r="N1896" i="7"/>
  <c r="O1896" i="7" s="1"/>
  <c r="L1897" i="7"/>
  <c r="M1897" i="7"/>
  <c r="N1897" i="7"/>
  <c r="O1897" i="7" s="1"/>
  <c r="L1898" i="7"/>
  <c r="M1898" i="7"/>
  <c r="N1898" i="7"/>
  <c r="O1898" i="7" s="1"/>
  <c r="L1899" i="7"/>
  <c r="M1899" i="7"/>
  <c r="N1899" i="7"/>
  <c r="O1899" i="7" s="1"/>
  <c r="L1900" i="7"/>
  <c r="M1900" i="7"/>
  <c r="N1900" i="7"/>
  <c r="O1900" i="7" s="1"/>
  <c r="L1901" i="7"/>
  <c r="M1901" i="7"/>
  <c r="N1901" i="7"/>
  <c r="O1901" i="7" s="1"/>
  <c r="L1902" i="7"/>
  <c r="M1902" i="7"/>
  <c r="N1902" i="7"/>
  <c r="O1902" i="7" s="1"/>
  <c r="L1903" i="7"/>
  <c r="M1903" i="7"/>
  <c r="N1903" i="7"/>
  <c r="O1903" i="7" s="1"/>
  <c r="L1904" i="7"/>
  <c r="M1904" i="7"/>
  <c r="N1904" i="7"/>
  <c r="O1904" i="7" s="1"/>
  <c r="L1905" i="7"/>
  <c r="M1905" i="7"/>
  <c r="N1905" i="7"/>
  <c r="O1905" i="7" s="1"/>
  <c r="L1906" i="7"/>
  <c r="M1906" i="7"/>
  <c r="N1906" i="7"/>
  <c r="O1906" i="7" s="1"/>
  <c r="L1907" i="7"/>
  <c r="M1907" i="7"/>
  <c r="N1907" i="7"/>
  <c r="O1907" i="7" s="1"/>
  <c r="L1908" i="7"/>
  <c r="M1908" i="7"/>
  <c r="N1908" i="7"/>
  <c r="O1908" i="7" s="1"/>
  <c r="L1909" i="7"/>
  <c r="M1909" i="7"/>
  <c r="N1909" i="7"/>
  <c r="O1909" i="7" s="1"/>
  <c r="L1910" i="7"/>
  <c r="M1910" i="7"/>
  <c r="N1910" i="7"/>
  <c r="O1910" i="7" s="1"/>
  <c r="L1911" i="7"/>
  <c r="M1911" i="7"/>
  <c r="N1911" i="7"/>
  <c r="O1911" i="7"/>
  <c r="L1912" i="7"/>
  <c r="M1912" i="7"/>
  <c r="N1912" i="7"/>
  <c r="O1912" i="7" s="1"/>
  <c r="L1913" i="7"/>
  <c r="M1913" i="7"/>
  <c r="N1913" i="7"/>
  <c r="O1913" i="7" s="1"/>
  <c r="L1914" i="7"/>
  <c r="M1914" i="7"/>
  <c r="N1914" i="7"/>
  <c r="O1914" i="7" s="1"/>
  <c r="L1915" i="7"/>
  <c r="M1915" i="7"/>
  <c r="N1915" i="7"/>
  <c r="O1915" i="7" s="1"/>
  <c r="L1916" i="7"/>
  <c r="M1916" i="7"/>
  <c r="N1916" i="7"/>
  <c r="O1916" i="7" s="1"/>
  <c r="L1917" i="7"/>
  <c r="M1917" i="7"/>
  <c r="N1917" i="7"/>
  <c r="O1917" i="7" s="1"/>
  <c r="L1918" i="7"/>
  <c r="M1918" i="7"/>
  <c r="N1918" i="7"/>
  <c r="O1918" i="7" s="1"/>
  <c r="L1919" i="7"/>
  <c r="M1919" i="7"/>
  <c r="N1919" i="7"/>
  <c r="O1919" i="7" s="1"/>
  <c r="L1920" i="7"/>
  <c r="M1920" i="7"/>
  <c r="N1920" i="7"/>
  <c r="O1920" i="7" s="1"/>
  <c r="L1921" i="7"/>
  <c r="M1921" i="7"/>
  <c r="N1921" i="7"/>
  <c r="O1921" i="7" s="1"/>
  <c r="L1922" i="7"/>
  <c r="M1922" i="7"/>
  <c r="N1922" i="7"/>
  <c r="O1922" i="7" s="1"/>
  <c r="L1923" i="7"/>
  <c r="M1923" i="7"/>
  <c r="N1923" i="7"/>
  <c r="O1923" i="7" s="1"/>
  <c r="L1924" i="7"/>
  <c r="M1924" i="7"/>
  <c r="N1924" i="7"/>
  <c r="O1924" i="7" s="1"/>
  <c r="L1925" i="7"/>
  <c r="M1925" i="7"/>
  <c r="N1925" i="7"/>
  <c r="O1925" i="7" s="1"/>
  <c r="L1926" i="7"/>
  <c r="M1926" i="7"/>
  <c r="N1926" i="7"/>
  <c r="O1926" i="7" s="1"/>
  <c r="L1927" i="7"/>
  <c r="M1927" i="7"/>
  <c r="N1927" i="7"/>
  <c r="O1927" i="7" s="1"/>
  <c r="L1928" i="7"/>
  <c r="M1928" i="7"/>
  <c r="N1928" i="7"/>
  <c r="O1928" i="7" s="1"/>
  <c r="L1929" i="7"/>
  <c r="M1929" i="7"/>
  <c r="N1929" i="7"/>
  <c r="O1929" i="7" s="1"/>
  <c r="L1930" i="7"/>
  <c r="M1930" i="7"/>
  <c r="N1930" i="7"/>
  <c r="O1930" i="7" s="1"/>
  <c r="L1931" i="7"/>
  <c r="M1931" i="7"/>
  <c r="N1931" i="7"/>
  <c r="O1931" i="7" s="1"/>
  <c r="L1932" i="7"/>
  <c r="M1932" i="7"/>
  <c r="N1932" i="7"/>
  <c r="O1932" i="7" s="1"/>
  <c r="L1933" i="7"/>
  <c r="M1933" i="7"/>
  <c r="N1933" i="7"/>
  <c r="O1933" i="7" s="1"/>
  <c r="L1934" i="7"/>
  <c r="M1934" i="7"/>
  <c r="N1934" i="7"/>
  <c r="O1934" i="7" s="1"/>
  <c r="L1935" i="7"/>
  <c r="M1935" i="7"/>
  <c r="N1935" i="7"/>
  <c r="O1935" i="7" s="1"/>
  <c r="L1936" i="7"/>
  <c r="M1936" i="7"/>
  <c r="N1936" i="7"/>
  <c r="O1936" i="7" s="1"/>
  <c r="L1937" i="7"/>
  <c r="M1937" i="7"/>
  <c r="N1937" i="7"/>
  <c r="O1937" i="7" s="1"/>
  <c r="L1938" i="7"/>
  <c r="M1938" i="7"/>
  <c r="N1938" i="7"/>
  <c r="O1938" i="7"/>
  <c r="L1939" i="7"/>
  <c r="M1939" i="7"/>
  <c r="N1939" i="7"/>
  <c r="O1939" i="7" s="1"/>
  <c r="L1940" i="7"/>
  <c r="M1940" i="7"/>
  <c r="N1940" i="7"/>
  <c r="O1940" i="7" s="1"/>
  <c r="L1941" i="7"/>
  <c r="M1941" i="7"/>
  <c r="N1941" i="7"/>
  <c r="O1941" i="7" s="1"/>
  <c r="L1942" i="7"/>
  <c r="M1942" i="7"/>
  <c r="N1942" i="7"/>
  <c r="O1942" i="7" s="1"/>
  <c r="L1943" i="7"/>
  <c r="M1943" i="7"/>
  <c r="N1943" i="7"/>
  <c r="O1943" i="7" s="1"/>
  <c r="L1944" i="7"/>
  <c r="M1944" i="7"/>
  <c r="N1944" i="7"/>
  <c r="O1944" i="7" s="1"/>
  <c r="L1945" i="7"/>
  <c r="M1945" i="7"/>
  <c r="N1945" i="7"/>
  <c r="O1945" i="7" s="1"/>
  <c r="L1946" i="7"/>
  <c r="M1946" i="7"/>
  <c r="N1946" i="7"/>
  <c r="O1946" i="7" s="1"/>
  <c r="L1947" i="7"/>
  <c r="M1947" i="7"/>
  <c r="N1947" i="7"/>
  <c r="O1947" i="7" s="1"/>
  <c r="L1948" i="7"/>
  <c r="M1948" i="7"/>
  <c r="N1948" i="7"/>
  <c r="O1948" i="7" s="1"/>
  <c r="L1949" i="7"/>
  <c r="M1949" i="7"/>
  <c r="N1949" i="7"/>
  <c r="O1949" i="7" s="1"/>
  <c r="L1950" i="7"/>
  <c r="M1950" i="7"/>
  <c r="N1950" i="7"/>
  <c r="O1950" i="7" s="1"/>
  <c r="L1951" i="7"/>
  <c r="M1951" i="7"/>
  <c r="N1951" i="7"/>
  <c r="O1951" i="7" s="1"/>
  <c r="L1952" i="7"/>
  <c r="M1952" i="7"/>
  <c r="N1952" i="7"/>
  <c r="O1952" i="7" s="1"/>
  <c r="L1953" i="7"/>
  <c r="M1953" i="7"/>
  <c r="N1953" i="7"/>
  <c r="O1953" i="7" s="1"/>
  <c r="L1954" i="7"/>
  <c r="M1954" i="7"/>
  <c r="N1954" i="7"/>
  <c r="O1954" i="7" s="1"/>
  <c r="L1955" i="7"/>
  <c r="M1955" i="7"/>
  <c r="N1955" i="7"/>
  <c r="O1955" i="7" s="1"/>
  <c r="L1956" i="7"/>
  <c r="M1956" i="7"/>
  <c r="N1956" i="7"/>
  <c r="O1956" i="7" s="1"/>
  <c r="L1957" i="7"/>
  <c r="M1957" i="7"/>
  <c r="N1957" i="7"/>
  <c r="O1957" i="7" s="1"/>
  <c r="L1958" i="7"/>
  <c r="M1958" i="7"/>
  <c r="N1958" i="7"/>
  <c r="O1958" i="7" s="1"/>
  <c r="L1959" i="7"/>
  <c r="M1959" i="7"/>
  <c r="N1959" i="7"/>
  <c r="O1959" i="7" s="1"/>
  <c r="L1960" i="7"/>
  <c r="M1960" i="7"/>
  <c r="N1960" i="7"/>
  <c r="O1960" i="7" s="1"/>
  <c r="L1961" i="7"/>
  <c r="M1961" i="7"/>
  <c r="N1961" i="7"/>
  <c r="O1961" i="7" s="1"/>
  <c r="L1962" i="7"/>
  <c r="M1962" i="7"/>
  <c r="N1962" i="7"/>
  <c r="O1962" i="7" s="1"/>
  <c r="L1963" i="7"/>
  <c r="M1963" i="7"/>
  <c r="N1963" i="7"/>
  <c r="O1963" i="7" s="1"/>
  <c r="L1964" i="7"/>
  <c r="M1964" i="7"/>
  <c r="N1964" i="7"/>
  <c r="O1964" i="7" s="1"/>
  <c r="L1965" i="7"/>
  <c r="M1965" i="7"/>
  <c r="N1965" i="7"/>
  <c r="O1965" i="7" s="1"/>
  <c r="L1966" i="7"/>
  <c r="M1966" i="7"/>
  <c r="N1966" i="7"/>
  <c r="O1966" i="7" s="1"/>
  <c r="L1967" i="7"/>
  <c r="M1967" i="7"/>
  <c r="N1967" i="7"/>
  <c r="O1967" i="7" s="1"/>
  <c r="L1968" i="7"/>
  <c r="M1968" i="7"/>
  <c r="N1968" i="7"/>
  <c r="O1968" i="7" s="1"/>
  <c r="L1969" i="7"/>
  <c r="M1969" i="7"/>
  <c r="N1969" i="7"/>
  <c r="O1969" i="7" s="1"/>
  <c r="L1970" i="7"/>
  <c r="M1970" i="7"/>
  <c r="N1970" i="7"/>
  <c r="O1970" i="7" s="1"/>
  <c r="L1971" i="7"/>
  <c r="M1971" i="7"/>
  <c r="N1971" i="7"/>
  <c r="O1971" i="7" s="1"/>
  <c r="L1972" i="7"/>
  <c r="M1972" i="7"/>
  <c r="N1972" i="7"/>
  <c r="O1972" i="7" s="1"/>
  <c r="L1973" i="7"/>
  <c r="M1973" i="7"/>
  <c r="N1973" i="7"/>
  <c r="O1973" i="7" s="1"/>
  <c r="L1974" i="7"/>
  <c r="M1974" i="7"/>
  <c r="N1974" i="7"/>
  <c r="O1974" i="7" s="1"/>
  <c r="L1975" i="7"/>
  <c r="M1975" i="7"/>
  <c r="N1975" i="7"/>
  <c r="O1975" i="7" s="1"/>
  <c r="L1976" i="7"/>
  <c r="M1976" i="7"/>
  <c r="N1976" i="7"/>
  <c r="O1976" i="7" s="1"/>
  <c r="L1977" i="7"/>
  <c r="M1977" i="7"/>
  <c r="N1977" i="7"/>
  <c r="O1977" i="7" s="1"/>
  <c r="L1978" i="7"/>
  <c r="M1978" i="7"/>
  <c r="N1978" i="7"/>
  <c r="O1978" i="7" s="1"/>
  <c r="L1979" i="7"/>
  <c r="M1979" i="7"/>
  <c r="N1979" i="7"/>
  <c r="O1979" i="7" s="1"/>
  <c r="L1980" i="7"/>
  <c r="M1980" i="7"/>
  <c r="N1980" i="7"/>
  <c r="O1980" i="7" s="1"/>
  <c r="L1981" i="7"/>
  <c r="M1981" i="7"/>
  <c r="N1981" i="7"/>
  <c r="O1981" i="7" s="1"/>
  <c r="L1982" i="7"/>
  <c r="M1982" i="7"/>
  <c r="N1982" i="7"/>
  <c r="O1982" i="7" s="1"/>
  <c r="L1983" i="7"/>
  <c r="M1983" i="7"/>
  <c r="N1983" i="7"/>
  <c r="O1983" i="7" s="1"/>
  <c r="L1984" i="7"/>
  <c r="M1984" i="7"/>
  <c r="N1984" i="7"/>
  <c r="O1984" i="7" s="1"/>
  <c r="L1985" i="7"/>
  <c r="M1985" i="7"/>
  <c r="N1985" i="7"/>
  <c r="O1985" i="7" s="1"/>
  <c r="L1986" i="7"/>
  <c r="M1986" i="7"/>
  <c r="N1986" i="7"/>
  <c r="O1986" i="7" s="1"/>
  <c r="L1987" i="7"/>
  <c r="M1987" i="7"/>
  <c r="N1987" i="7"/>
  <c r="O1987" i="7" s="1"/>
  <c r="L1988" i="7"/>
  <c r="M1988" i="7"/>
  <c r="N1988" i="7"/>
  <c r="O1988" i="7" s="1"/>
  <c r="L1989" i="7"/>
  <c r="M1989" i="7"/>
  <c r="N1989" i="7"/>
  <c r="O1989" i="7" s="1"/>
  <c r="L1990" i="7"/>
  <c r="M1990" i="7"/>
  <c r="N1990" i="7"/>
  <c r="O1990" i="7"/>
  <c r="L1991" i="7"/>
  <c r="M1991" i="7"/>
  <c r="N1991" i="7"/>
  <c r="O1991" i="7" s="1"/>
  <c r="L1992" i="7"/>
  <c r="M1992" i="7"/>
  <c r="N1992" i="7"/>
  <c r="O1992" i="7"/>
  <c r="L1993" i="7"/>
  <c r="M1993" i="7"/>
  <c r="N1993" i="7"/>
  <c r="O1993" i="7" s="1"/>
  <c r="L1994" i="7"/>
  <c r="M1994" i="7"/>
  <c r="N1994" i="7"/>
  <c r="O1994" i="7" s="1"/>
  <c r="L1995" i="7"/>
  <c r="M1995" i="7"/>
  <c r="N1995" i="7"/>
  <c r="O1995" i="7" s="1"/>
  <c r="L1996" i="7"/>
  <c r="M1996" i="7"/>
  <c r="N1996" i="7"/>
  <c r="O1996" i="7" s="1"/>
  <c r="L1997" i="7"/>
  <c r="M1997" i="7"/>
  <c r="N1997" i="7"/>
  <c r="O1997" i="7" s="1"/>
  <c r="L1998" i="7"/>
  <c r="M1998" i="7"/>
  <c r="N1998" i="7"/>
  <c r="O1998" i="7" s="1"/>
  <c r="L1999" i="7"/>
  <c r="M1999" i="7"/>
  <c r="N1999" i="7"/>
  <c r="O1999" i="7" s="1"/>
  <c r="L2000" i="7"/>
  <c r="M2000" i="7"/>
  <c r="N2000" i="7"/>
  <c r="O2000" i="7" s="1"/>
  <c r="L2001" i="7"/>
  <c r="M2001" i="7"/>
  <c r="N2001" i="7"/>
  <c r="O2001" i="7" s="1"/>
  <c r="D3" i="4"/>
  <c r="D4" i="4"/>
  <c r="D5" i="4"/>
  <c r="D6" i="4"/>
  <c r="D7" i="4"/>
  <c r="D8" i="4"/>
  <c r="D9" i="4"/>
  <c r="D10" i="4"/>
  <c r="D11" i="4"/>
  <c r="D12" i="4"/>
  <c r="D13" i="4"/>
  <c r="D14" i="4"/>
  <c r="D15" i="4"/>
  <c r="D16" i="4"/>
  <c r="D2" i="4"/>
  <c r="A16" i="4"/>
  <c r="A3" i="4"/>
  <c r="A4" i="4"/>
  <c r="A5" i="4"/>
  <c r="A6" i="4"/>
  <c r="A7" i="4"/>
  <c r="A8" i="4"/>
  <c r="A9" i="4"/>
  <c r="A10" i="4"/>
  <c r="A11" i="4"/>
  <c r="A12" i="4"/>
  <c r="A13" i="4"/>
  <c r="A14" i="4"/>
  <c r="A15" i="4"/>
  <c r="A2" i="4"/>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2" i="3"/>
  <c r="Q950" i="7"/>
  <c r="R950" i="7" s="1"/>
  <c r="Q1201" i="7"/>
  <c r="R1201" i="7" s="1"/>
  <c r="Q1891" i="7"/>
  <c r="R1891" i="7" s="1"/>
  <c r="Q1483" i="7"/>
  <c r="R1483" i="7" s="1"/>
  <c r="Q561" i="7"/>
  <c r="R561" i="7" s="1"/>
  <c r="Q1930" i="7"/>
  <c r="R1930" i="7" s="1"/>
  <c r="Q949" i="7"/>
  <c r="R949" i="7" s="1"/>
  <c r="Q680" i="7"/>
  <c r="R680" i="7" s="1"/>
  <c r="Q1878" i="7"/>
  <c r="R1878" i="7" s="1"/>
  <c r="Q1571" i="7"/>
  <c r="R1571" i="7" s="1"/>
  <c r="Q27" i="7"/>
  <c r="R27" i="7" s="1"/>
  <c r="Q1455" i="7"/>
  <c r="R1455" i="7" s="1"/>
  <c r="Q1649" i="7"/>
  <c r="R1649" i="7" s="1"/>
  <c r="Q1907" i="7"/>
  <c r="R1907" i="7" s="1"/>
  <c r="Q1022" i="7"/>
  <c r="R1022" i="7" s="1"/>
  <c r="Q1006" i="7"/>
  <c r="R1006" i="7" s="1"/>
  <c r="Q956" i="7"/>
  <c r="R956" i="7" s="1"/>
  <c r="Q1288" i="7"/>
  <c r="R1288" i="7" s="1"/>
  <c r="Q1973" i="7"/>
  <c r="R1973" i="7" s="1"/>
  <c r="Q644" i="7"/>
  <c r="R644" i="7" s="1"/>
  <c r="Q673" i="7"/>
  <c r="R673" i="7" s="1"/>
  <c r="Q1837" i="7"/>
  <c r="R1837" i="7" s="1"/>
  <c r="Q1348" i="7"/>
  <c r="R1348" i="7" s="1"/>
  <c r="Q95" i="7"/>
  <c r="R95" i="7" s="1"/>
  <c r="Q256" i="7"/>
  <c r="R256" i="7" s="1"/>
  <c r="Q611" i="7"/>
  <c r="R611" i="7" s="1"/>
  <c r="Q457" i="7"/>
  <c r="R457" i="7" s="1"/>
  <c r="Q367" i="7"/>
  <c r="R367" i="7" s="1"/>
  <c r="Q1641" i="7"/>
  <c r="R1641" i="7" s="1"/>
  <c r="Q1427" i="7"/>
  <c r="R1427" i="7" s="1"/>
  <c r="Q1167" i="7"/>
  <c r="R1167" i="7" s="1"/>
  <c r="Q776" i="7"/>
  <c r="R776" i="7" s="1"/>
  <c r="Q1307" i="7"/>
  <c r="R1307" i="7" s="1"/>
  <c r="Q1346" i="7"/>
  <c r="R1346" i="7" s="1"/>
  <c r="Q734" i="7"/>
  <c r="R734" i="7" s="1"/>
  <c r="Q1593" i="7"/>
  <c r="R1593" i="7" s="1"/>
  <c r="Q317" i="7"/>
  <c r="R317" i="7" s="1"/>
  <c r="Q1314" i="7"/>
  <c r="R1314" i="7" s="1"/>
  <c r="Q1879" i="7"/>
  <c r="R1879" i="7" s="1"/>
  <c r="Q1961" i="7"/>
  <c r="R1961" i="7" s="1"/>
  <c r="Q1862" i="7"/>
  <c r="R1862" i="7" s="1"/>
  <c r="Q1549" i="7"/>
  <c r="R1549" i="7" s="1"/>
  <c r="Q1729" i="7"/>
  <c r="R1729" i="7" s="1"/>
  <c r="Q1846" i="7"/>
  <c r="R1846" i="7" s="1"/>
  <c r="Q1365" i="7"/>
  <c r="R1365" i="7" s="1"/>
  <c r="Q1689" i="7"/>
  <c r="R1689" i="7" s="1"/>
  <c r="Q1633" i="7"/>
  <c r="R1633" i="7" s="1"/>
  <c r="Q1752" i="7"/>
  <c r="R1752" i="7" s="1"/>
  <c r="Q1948" i="7"/>
  <c r="R1948" i="7" s="1"/>
  <c r="Q1963" i="7"/>
  <c r="R1963" i="7" s="1"/>
  <c r="Q314" i="7"/>
  <c r="R314" i="7" s="1"/>
  <c r="Q931" i="7"/>
  <c r="R931" i="7" s="1"/>
  <c r="Q934" i="7"/>
  <c r="R934" i="7" s="1"/>
  <c r="Q1780" i="7"/>
  <c r="R1780" i="7" s="1"/>
  <c r="Q1717" i="7"/>
  <c r="R1717" i="7" s="1"/>
  <c r="Q1776" i="7"/>
  <c r="R1776" i="7" s="1"/>
  <c r="Q477" i="7"/>
  <c r="R477" i="7" s="1"/>
  <c r="Q1400" i="7"/>
  <c r="R1400" i="7" s="1"/>
  <c r="Q56" i="7"/>
  <c r="R56" i="7" s="1"/>
  <c r="Q137" i="7"/>
  <c r="R137" i="7" s="1"/>
  <c r="Q1267" i="7"/>
  <c r="R1267" i="7" s="1"/>
  <c r="Q1844" i="7"/>
  <c r="R1844" i="7" s="1"/>
  <c r="Q1767" i="7"/>
  <c r="R1767" i="7" s="1"/>
  <c r="Q143" i="7"/>
  <c r="R143" i="7" s="1"/>
  <c r="Q275" i="7"/>
  <c r="R275" i="7" s="1"/>
  <c r="Q1499" i="7"/>
  <c r="R1499" i="7" s="1"/>
  <c r="Q1753" i="7"/>
  <c r="R1753" i="7" s="1"/>
  <c r="Q1676" i="7"/>
  <c r="R1676" i="7" s="1"/>
  <c r="Q1254" i="7"/>
  <c r="R1254" i="7" s="1"/>
  <c r="Q1249" i="7"/>
  <c r="R1249" i="7" s="1"/>
  <c r="Q1635" i="7"/>
  <c r="R1635" i="7" s="1"/>
  <c r="Q1426" i="7"/>
  <c r="R1426" i="7" s="1"/>
  <c r="T1426" i="7" s="1" a="1"/>
  <c r="T1426" i="7" s="1"/>
  <c r="Q1489" i="7"/>
  <c r="R1489" i="7" s="1"/>
  <c r="Q1524" i="7"/>
  <c r="R1524" i="7" s="1"/>
  <c r="Q1904" i="7"/>
  <c r="R1904" i="7" s="1"/>
  <c r="Q1840" i="7"/>
  <c r="R1840" i="7" s="1"/>
  <c r="Q739" i="7"/>
  <c r="R739" i="7" s="1"/>
  <c r="Q1711" i="7"/>
  <c r="R1711" i="7" s="1"/>
  <c r="Q1978" i="7"/>
  <c r="R1978" i="7" s="1"/>
  <c r="Q1323" i="7"/>
  <c r="R1323" i="7" s="1"/>
  <c r="Q9" i="7"/>
  <c r="R9" i="7" s="1"/>
  <c r="Q1734" i="7"/>
  <c r="R1734" i="7" s="1"/>
  <c r="Q1291" i="7"/>
  <c r="R1291" i="7" s="1"/>
  <c r="Q529" i="7"/>
  <c r="R529" i="7" s="1"/>
  <c r="Q434" i="7"/>
  <c r="R434" i="7" s="1"/>
  <c r="Q1053" i="7"/>
  <c r="R1053" i="7" s="1"/>
  <c r="Q1937" i="7"/>
  <c r="R1937" i="7" s="1"/>
  <c r="Q1912" i="7"/>
  <c r="R1912" i="7" s="1"/>
  <c r="Q1120" i="7"/>
  <c r="R1120" i="7" s="1"/>
  <c r="Q1331" i="7"/>
  <c r="R1331" i="7" s="1"/>
  <c r="Q28" i="7"/>
  <c r="R28" i="7" s="1"/>
  <c r="Q1487" i="7"/>
  <c r="R1487" i="7" s="1"/>
  <c r="Q1343" i="7"/>
  <c r="R1343" i="7" s="1"/>
  <c r="Q979" i="7"/>
  <c r="R979" i="7" s="1"/>
  <c r="Q1509" i="7"/>
  <c r="R1509" i="7" s="1"/>
  <c r="Q1701" i="7"/>
  <c r="R1701" i="7" s="1"/>
  <c r="T1701" i="7" s="1" a="1"/>
  <c r="T1701" i="7" s="1"/>
  <c r="Q1651" i="7"/>
  <c r="R1651" i="7" s="1"/>
  <c r="Q1607" i="7"/>
  <c r="R1607" i="7" s="1"/>
  <c r="Q1056" i="7"/>
  <c r="R1056" i="7" s="1"/>
  <c r="Q1045" i="7"/>
  <c r="R1045" i="7" s="1"/>
  <c r="Q967" i="7"/>
  <c r="R967" i="7" s="1"/>
  <c r="Q624" i="7"/>
  <c r="R624" i="7" s="1"/>
  <c r="Q1992" i="7"/>
  <c r="R1992" i="7" s="1"/>
  <c r="Q369" i="7"/>
  <c r="R369" i="7" s="1"/>
  <c r="Q1726" i="7"/>
  <c r="R1726" i="7" s="1"/>
  <c r="Q1853" i="7"/>
  <c r="R1853" i="7" s="1"/>
  <c r="Q1502" i="7"/>
  <c r="R1502" i="7" s="1"/>
  <c r="Q1669" i="7"/>
  <c r="R1669" i="7" s="1"/>
  <c r="Q534" i="7"/>
  <c r="R534" i="7" s="1"/>
  <c r="Q1836" i="7"/>
  <c r="R1836" i="7" s="1"/>
  <c r="Q1710" i="7"/>
  <c r="R1710" i="7" s="1"/>
  <c r="Q485" i="7"/>
  <c r="R485" i="7" s="1"/>
  <c r="Q801" i="7"/>
  <c r="R801" i="7" s="1"/>
  <c r="Q1534" i="7"/>
  <c r="R1534" i="7" s="1"/>
  <c r="Q1605" i="7"/>
  <c r="R1605" i="7" s="1"/>
  <c r="Q1377" i="7"/>
  <c r="R1377" i="7" s="1"/>
  <c r="Q1703" i="7"/>
  <c r="R1703" i="7" s="1"/>
  <c r="Q1728" i="7"/>
  <c r="R1728" i="7" s="1"/>
  <c r="Q1178" i="7"/>
  <c r="R1178" i="7" s="1"/>
  <c r="Q1789" i="7"/>
  <c r="R1789" i="7" s="1"/>
  <c r="T1789" i="7" s="1" a="1"/>
  <c r="T1789" i="7" s="1"/>
  <c r="Q1337" i="7"/>
  <c r="R1337" i="7" s="1"/>
  <c r="Q1531" i="7"/>
  <c r="R1531" i="7" s="1"/>
  <c r="Q1872" i="7"/>
  <c r="R1872" i="7" s="1"/>
  <c r="Q1721" i="7"/>
  <c r="R1721" i="7" s="1"/>
  <c r="Q1521" i="7"/>
  <c r="R1521" i="7" s="1"/>
  <c r="Q1876" i="7"/>
  <c r="R1876" i="7" s="1"/>
  <c r="Q1687" i="7"/>
  <c r="R1687" i="7" s="1"/>
  <c r="Q1683" i="7"/>
  <c r="R1683" i="7" s="1"/>
  <c r="Q1818" i="7"/>
  <c r="R1818" i="7" s="1"/>
  <c r="Q1397" i="7"/>
  <c r="R1397" i="7" s="1"/>
  <c r="Q1227" i="7"/>
  <c r="R1227" i="7" s="1"/>
  <c r="Q1835" i="7"/>
  <c r="R1835" i="7" s="1"/>
  <c r="Q1923" i="7"/>
  <c r="R1923" i="7" s="1"/>
  <c r="Q848" i="7"/>
  <c r="R848" i="7" s="1"/>
  <c r="Q1678" i="7"/>
  <c r="R1678" i="7" s="1"/>
  <c r="Q1834" i="7"/>
  <c r="R1834" i="7" s="1"/>
  <c r="Q1990" i="7"/>
  <c r="R1990" i="7" s="1"/>
  <c r="Q1160" i="7"/>
  <c r="R1160" i="7" s="1"/>
  <c r="Q868" i="7"/>
  <c r="R868" i="7" s="1"/>
  <c r="Q1708" i="7"/>
  <c r="R1708" i="7" s="1"/>
  <c r="Q1371" i="7"/>
  <c r="R1371" i="7" s="1"/>
  <c r="Q1715" i="7"/>
  <c r="R1715" i="7" s="1"/>
  <c r="Q1883" i="7"/>
  <c r="R1883" i="7" s="1"/>
  <c r="Q157" i="7"/>
  <c r="R157" i="7" s="1"/>
  <c r="Q1823" i="7"/>
  <c r="R1823" i="7" s="1"/>
  <c r="Q1979" i="7"/>
  <c r="R1979" i="7" s="1"/>
  <c r="Q1877" i="7"/>
  <c r="R1877" i="7" s="1"/>
  <c r="Q1385" i="7"/>
  <c r="R1385" i="7" s="1"/>
  <c r="Q1093" i="7"/>
  <c r="R1093" i="7" s="1"/>
  <c r="Q780" i="7"/>
  <c r="R780" i="7" s="1"/>
  <c r="T780" i="7" s="1" a="1"/>
  <c r="T780" i="7" s="1"/>
  <c r="Q1762" i="7"/>
  <c r="R1762" i="7" s="1"/>
  <c r="Q1828" i="7"/>
  <c r="R1828" i="7" s="1"/>
  <c r="Q259" i="7"/>
  <c r="R259" i="7" s="1"/>
  <c r="Q1705" i="7"/>
  <c r="R1705" i="7" s="1"/>
  <c r="Q1955" i="7"/>
  <c r="R1955" i="7" s="1"/>
  <c r="Q867" i="7"/>
  <c r="R867" i="7" s="1"/>
  <c r="Q1528" i="7"/>
  <c r="R1528" i="7" s="1"/>
  <c r="Q1079" i="7"/>
  <c r="R1079" i="7" s="1"/>
  <c r="Q1282" i="7"/>
  <c r="R1282" i="7" s="1"/>
  <c r="Q1289" i="7"/>
  <c r="R1289" i="7" s="1"/>
  <c r="Q1949" i="7"/>
  <c r="R1949" i="7" s="1"/>
  <c r="Q864" i="7"/>
  <c r="R864" i="7" s="1"/>
  <c r="Q1908" i="7"/>
  <c r="R1908" i="7" s="1"/>
  <c r="Q1962" i="7"/>
  <c r="R1962" i="7" s="1"/>
  <c r="Q1931" i="7"/>
  <c r="R1931" i="7" s="1"/>
  <c r="Q440" i="7"/>
  <c r="R440" i="7" s="1"/>
  <c r="Q1690" i="7"/>
  <c r="R1690" i="7" s="1"/>
  <c r="Q1274" i="7"/>
  <c r="R1274" i="7" s="1"/>
  <c r="Q1913" i="7"/>
  <c r="R1913" i="7" s="1"/>
  <c r="Q1469" i="7"/>
  <c r="R1469" i="7" s="1"/>
  <c r="Q929" i="7"/>
  <c r="R929" i="7" s="1"/>
  <c r="Q1927" i="7"/>
  <c r="R1927" i="7" s="1"/>
  <c r="Q184" i="7"/>
  <c r="R184" i="7" s="1"/>
  <c r="Q1647" i="7"/>
  <c r="R1647" i="7" s="1"/>
  <c r="Q1561" i="7"/>
  <c r="R1561" i="7" s="1"/>
  <c r="Q315" i="7"/>
  <c r="R315" i="7" s="1"/>
  <c r="Q599" i="7"/>
  <c r="R599" i="7" s="1"/>
  <c r="Q348" i="7"/>
  <c r="R348" i="7" s="1"/>
  <c r="Q147" i="7"/>
  <c r="R147" i="7" s="1"/>
  <c r="Q1791" i="7"/>
  <c r="R1791" i="7" s="1"/>
  <c r="Q75" i="7"/>
  <c r="R75" i="7" s="1"/>
  <c r="Q870" i="7"/>
  <c r="R870" i="7" s="1"/>
  <c r="Q1619" i="7"/>
  <c r="R1619" i="7" s="1"/>
  <c r="Q1484" i="7"/>
  <c r="R1484" i="7" s="1"/>
  <c r="Q791" i="7"/>
  <c r="R791" i="7" s="1"/>
  <c r="Q272" i="7"/>
  <c r="R272" i="7" s="1"/>
  <c r="Q1207" i="7"/>
  <c r="R1207" i="7" s="1"/>
  <c r="Q1954" i="7"/>
  <c r="R1954" i="7" s="1"/>
  <c r="Q1574" i="7"/>
  <c r="R1574" i="7" s="1"/>
  <c r="Q490" i="7"/>
  <c r="R490" i="7" s="1"/>
  <c r="Q1581" i="7"/>
  <c r="R1581" i="7" s="1"/>
  <c r="Q1906" i="7"/>
  <c r="R1906" i="7" s="1"/>
  <c r="Q324" i="7"/>
  <c r="R324" i="7" s="1"/>
  <c r="Q547" i="7"/>
  <c r="R547" i="7" s="1"/>
  <c r="Q1699" i="7"/>
  <c r="R1699" i="7" s="1"/>
  <c r="Q1991" i="7"/>
  <c r="R1991" i="7" s="1"/>
  <c r="Q1175" i="7"/>
  <c r="R1175" i="7" s="1"/>
  <c r="Q214" i="7"/>
  <c r="R214" i="7" s="1"/>
  <c r="Q1627" i="7"/>
  <c r="R1627" i="7" s="1"/>
  <c r="Q235" i="7"/>
  <c r="R235" i="7" s="1"/>
  <c r="Q1897" i="7"/>
  <c r="R1897" i="7" s="1"/>
  <c r="Q352" i="7"/>
  <c r="R352" i="7" s="1"/>
  <c r="Q1445" i="7"/>
  <c r="R1445" i="7" s="1"/>
  <c r="Q167" i="7"/>
  <c r="R167" i="7" s="1"/>
  <c r="Q1466" i="7"/>
  <c r="R1466" i="7" s="1"/>
  <c r="Q1826" i="7"/>
  <c r="R1826" i="7" s="1"/>
  <c r="Q1764" i="7"/>
  <c r="R1764" i="7" s="1"/>
  <c r="Q1975" i="7"/>
  <c r="R1975" i="7" s="1"/>
  <c r="Q1968" i="7"/>
  <c r="R1968" i="7" s="1"/>
  <c r="Q387" i="7"/>
  <c r="R387" i="7" s="1"/>
  <c r="Q1032" i="7"/>
  <c r="R1032" i="7" s="1"/>
  <c r="Q1562" i="7"/>
  <c r="R1562" i="7" s="1"/>
  <c r="Q250" i="7"/>
  <c r="R250" i="7" s="1"/>
  <c r="Q1795" i="7"/>
  <c r="R1795" i="7" s="1"/>
  <c r="Q1671" i="7"/>
  <c r="R1671" i="7" s="1"/>
  <c r="Q1736" i="7"/>
  <c r="R1736" i="7" s="1"/>
  <c r="Q1361" i="7"/>
  <c r="R1361" i="7" s="1"/>
  <c r="Q373" i="7"/>
  <c r="R373" i="7" s="1"/>
  <c r="Q918" i="7"/>
  <c r="R918" i="7" s="1"/>
  <c r="Q1301" i="7"/>
  <c r="R1301" i="7" s="1"/>
  <c r="Q1997" i="7"/>
  <c r="R1997" i="7" s="1"/>
  <c r="Q409" i="7"/>
  <c r="R409" i="7" s="1"/>
  <c r="Q112" i="7"/>
  <c r="R112" i="7" s="1"/>
  <c r="Q577" i="7"/>
  <c r="R577" i="7" s="1"/>
  <c r="Q1988" i="7"/>
  <c r="R1988" i="7" s="1"/>
  <c r="Q239" i="7"/>
  <c r="R239" i="7" s="1"/>
  <c r="Q1786" i="7"/>
  <c r="R1786" i="7" s="1"/>
  <c r="Q717" i="7"/>
  <c r="R717" i="7" s="1"/>
  <c r="Q1148" i="7"/>
  <c r="R1148" i="7" s="1"/>
  <c r="Q76" i="7"/>
  <c r="R76" i="7" s="1"/>
  <c r="Q1792" i="7"/>
  <c r="R1792" i="7" s="1"/>
  <c r="Q841" i="7"/>
  <c r="R841" i="7" s="1"/>
  <c r="Q1888" i="7"/>
  <c r="R1888" i="7" s="1"/>
  <c r="Q1047" i="7"/>
  <c r="R1047" i="7" s="1"/>
  <c r="Q761" i="7"/>
  <c r="R761" i="7" s="1"/>
  <c r="Q202" i="7"/>
  <c r="R202" i="7" s="1"/>
  <c r="Q1989" i="7"/>
  <c r="R1989" i="7" s="1"/>
  <c r="Q265" i="7"/>
  <c r="R265" i="7" s="1"/>
  <c r="Q960" i="7"/>
  <c r="R960" i="7" s="1"/>
  <c r="Q1858" i="7"/>
  <c r="R1858" i="7" s="1"/>
  <c r="Q1691" i="7"/>
  <c r="R1691" i="7" s="1"/>
  <c r="Q380" i="7"/>
  <c r="R380" i="7" s="1"/>
  <c r="Q926" i="7"/>
  <c r="R926" i="7" s="1"/>
  <c r="Q1542" i="7"/>
  <c r="R1542" i="7" s="1"/>
  <c r="Q222" i="7"/>
  <c r="R222" i="7" s="1"/>
  <c r="Q1693" i="7"/>
  <c r="R1693" i="7" s="1"/>
  <c r="Q1248" i="7"/>
  <c r="R1248" i="7" s="1"/>
  <c r="Q47" i="7"/>
  <c r="R47" i="7" s="1"/>
  <c r="Q1476" i="7"/>
  <c r="R1476" i="7" s="1"/>
  <c r="Q1431" i="7"/>
  <c r="R1431" i="7" s="1"/>
  <c r="Q719" i="7"/>
  <c r="R719" i="7" s="1"/>
  <c r="Q1601" i="7"/>
  <c r="R1601" i="7" s="1"/>
  <c r="Q1421" i="7"/>
  <c r="R1421" i="7" s="1"/>
  <c r="Q1532" i="7"/>
  <c r="R1532" i="7" s="1"/>
  <c r="Q540" i="7"/>
  <c r="R540" i="7" s="1"/>
  <c r="Q1243" i="7"/>
  <c r="R1243" i="7" s="1"/>
  <c r="Q609" i="7"/>
  <c r="R609" i="7" s="1"/>
  <c r="Q1741" i="7"/>
  <c r="R1741" i="7" s="1"/>
  <c r="Q1999" i="7"/>
  <c r="R1999" i="7" s="1"/>
  <c r="Q1871" i="7"/>
  <c r="R1871" i="7" s="1"/>
  <c r="Q1952" i="7"/>
  <c r="R1952" i="7" s="1"/>
  <c r="Q1596" i="7"/>
  <c r="R1596" i="7" s="1"/>
  <c r="Q1817" i="7"/>
  <c r="R1817" i="7" s="1"/>
  <c r="Q1859" i="7"/>
  <c r="R1859" i="7" s="1"/>
  <c r="Q574" i="7"/>
  <c r="R574" i="7" s="1"/>
  <c r="Q778" i="7"/>
  <c r="R778" i="7" s="1"/>
  <c r="Q1819" i="7"/>
  <c r="R1819" i="7" s="1"/>
  <c r="Q1313" i="7"/>
  <c r="R1313" i="7" s="1"/>
  <c r="Q1805" i="7"/>
  <c r="R1805" i="7" s="1"/>
  <c r="Q1485" i="7"/>
  <c r="R1485" i="7" s="1"/>
  <c r="Q1987" i="7"/>
  <c r="R1987" i="7" s="1"/>
  <c r="Q441" i="7"/>
  <c r="R441" i="7" s="1"/>
  <c r="Q559" i="7"/>
  <c r="R559" i="7" s="1"/>
  <c r="Q1396" i="7"/>
  <c r="R1396" i="7" s="1"/>
  <c r="Q1965" i="7"/>
  <c r="R1965" i="7" s="1"/>
  <c r="Q384" i="7"/>
  <c r="R384" i="7" s="1"/>
  <c r="Q1945" i="7"/>
  <c r="R1945" i="7" s="1"/>
  <c r="Q1939" i="7"/>
  <c r="R1939" i="7" s="1"/>
  <c r="Q1720" i="7"/>
  <c r="R1720" i="7" s="1"/>
  <c r="Q376" i="7"/>
  <c r="R376" i="7" s="1"/>
  <c r="Q192" i="7"/>
  <c r="R192" i="7" s="1"/>
  <c r="Q1500" i="7"/>
  <c r="R1500" i="7" s="1"/>
  <c r="Q233" i="7"/>
  <c r="R233" i="7" s="1"/>
  <c r="Q1812" i="7"/>
  <c r="R1812" i="7" s="1"/>
  <c r="Q1865" i="7"/>
  <c r="R1865" i="7" s="1"/>
  <c r="Q1503" i="7"/>
  <c r="R1503" i="7" s="1"/>
  <c r="Q1117" i="7"/>
  <c r="R1117" i="7" s="1"/>
  <c r="Q1769" i="7"/>
  <c r="R1769" i="7" s="1"/>
  <c r="Q1339" i="7"/>
  <c r="R1339" i="7" s="1"/>
  <c r="Q1664" i="7"/>
  <c r="R1664" i="7" s="1"/>
  <c r="Q596" i="7"/>
  <c r="R596" i="7" s="1"/>
  <c r="Q1338" i="7"/>
  <c r="R1338" i="7" s="1"/>
  <c r="Q216" i="7"/>
  <c r="R216" i="7" s="1"/>
  <c r="Q44" i="7"/>
  <c r="R44" i="7" s="1"/>
  <c r="Q1681" i="7"/>
  <c r="R1681" i="7" s="1"/>
  <c r="T1681" i="7" s="1" a="1"/>
  <c r="T1681" i="7" s="1"/>
  <c r="Q1501" i="7"/>
  <c r="R1501" i="7" s="1"/>
  <c r="Q1523" i="7"/>
  <c r="R1523" i="7" s="1"/>
  <c r="Q1597" i="7"/>
  <c r="R1597" i="7" s="1"/>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C508" i="3"/>
  <c r="C509" i="3"/>
  <c r="C510" i="3"/>
  <c r="C511" i="3"/>
  <c r="C512" i="3"/>
  <c r="C513" i="3"/>
  <c r="C514" i="3"/>
  <c r="C515" i="3"/>
  <c r="C516" i="3"/>
  <c r="C517" i="3"/>
  <c r="C518" i="3"/>
  <c r="C519" i="3"/>
  <c r="C520" i="3"/>
  <c r="C521" i="3"/>
  <c r="C522" i="3"/>
  <c r="C523" i="3"/>
  <c r="C524" i="3"/>
  <c r="C525" i="3"/>
  <c r="C526" i="3"/>
  <c r="C527" i="3"/>
  <c r="C528" i="3"/>
  <c r="C529" i="3"/>
  <c r="C530" i="3"/>
  <c r="C531" i="3"/>
  <c r="C532" i="3"/>
  <c r="C533" i="3"/>
  <c r="C534" i="3"/>
  <c r="C535" i="3"/>
  <c r="C536" i="3"/>
  <c r="C537" i="3"/>
  <c r="C538" i="3"/>
  <c r="C539" i="3"/>
  <c r="C540" i="3"/>
  <c r="C541" i="3"/>
  <c r="C542" i="3"/>
  <c r="C543" i="3"/>
  <c r="C544" i="3"/>
  <c r="C545" i="3"/>
  <c r="C546" i="3"/>
  <c r="C547" i="3"/>
  <c r="C548" i="3"/>
  <c r="C549" i="3"/>
  <c r="C550" i="3"/>
  <c r="C551" i="3"/>
  <c r="C552" i="3"/>
  <c r="C553" i="3"/>
  <c r="C554" i="3"/>
  <c r="C555" i="3"/>
  <c r="C556" i="3"/>
  <c r="C557" i="3"/>
  <c r="C558" i="3"/>
  <c r="C559" i="3"/>
  <c r="C560" i="3"/>
  <c r="C561" i="3"/>
  <c r="C562" i="3"/>
  <c r="C563" i="3"/>
  <c r="C564" i="3"/>
  <c r="C565" i="3"/>
  <c r="C566" i="3"/>
  <c r="C567" i="3"/>
  <c r="C568" i="3"/>
  <c r="C569" i="3"/>
  <c r="C570" i="3"/>
  <c r="C571" i="3"/>
  <c r="C572" i="3"/>
  <c r="C573" i="3"/>
  <c r="C574" i="3"/>
  <c r="C575" i="3"/>
  <c r="C576" i="3"/>
  <c r="C577" i="3"/>
  <c r="C578" i="3"/>
  <c r="C579" i="3"/>
  <c r="C580" i="3"/>
  <c r="C581" i="3"/>
  <c r="C582" i="3"/>
  <c r="C583" i="3"/>
  <c r="C584" i="3"/>
  <c r="C585" i="3"/>
  <c r="C586" i="3"/>
  <c r="C587" i="3"/>
  <c r="C588" i="3"/>
  <c r="C589" i="3"/>
  <c r="C590" i="3"/>
  <c r="C591" i="3"/>
  <c r="C592" i="3"/>
  <c r="C593" i="3"/>
  <c r="C594" i="3"/>
  <c r="C595" i="3"/>
  <c r="C596" i="3"/>
  <c r="C597" i="3"/>
  <c r="C598" i="3"/>
  <c r="C599" i="3"/>
  <c r="C600" i="3"/>
  <c r="C601" i="3"/>
  <c r="C602" i="3"/>
  <c r="C603" i="3"/>
  <c r="C604" i="3"/>
  <c r="C605" i="3"/>
  <c r="C606" i="3"/>
  <c r="C607" i="3"/>
  <c r="C608" i="3"/>
  <c r="C609" i="3"/>
  <c r="C610" i="3"/>
  <c r="C611" i="3"/>
  <c r="C612" i="3"/>
  <c r="C613" i="3"/>
  <c r="C614" i="3"/>
  <c r="C615" i="3"/>
  <c r="C616" i="3"/>
  <c r="C617" i="3"/>
  <c r="C618" i="3"/>
  <c r="C619" i="3"/>
  <c r="C620" i="3"/>
  <c r="C621" i="3"/>
  <c r="C622" i="3"/>
  <c r="C623" i="3"/>
  <c r="C624" i="3"/>
  <c r="C625" i="3"/>
  <c r="C626" i="3"/>
  <c r="C627" i="3"/>
  <c r="C628" i="3"/>
  <c r="C629" i="3"/>
  <c r="C630" i="3"/>
  <c r="C631" i="3"/>
  <c r="C632" i="3"/>
  <c r="C633" i="3"/>
  <c r="C634" i="3"/>
  <c r="C635" i="3"/>
  <c r="C636" i="3"/>
  <c r="C637" i="3"/>
  <c r="C638" i="3"/>
  <c r="C639" i="3"/>
  <c r="C640" i="3"/>
  <c r="C641" i="3"/>
  <c r="C642" i="3"/>
  <c r="C643" i="3"/>
  <c r="C644" i="3"/>
  <c r="C645" i="3"/>
  <c r="C646" i="3"/>
  <c r="C647" i="3"/>
  <c r="C648" i="3"/>
  <c r="C649" i="3"/>
  <c r="C650" i="3"/>
  <c r="C651" i="3"/>
  <c r="C652" i="3"/>
  <c r="C653" i="3"/>
  <c r="C654" i="3"/>
  <c r="C655" i="3"/>
  <c r="C656" i="3"/>
  <c r="C657" i="3"/>
  <c r="C658" i="3"/>
  <c r="C659" i="3"/>
  <c r="C660" i="3"/>
  <c r="C661" i="3"/>
  <c r="C662" i="3"/>
  <c r="C663" i="3"/>
  <c r="C664" i="3"/>
  <c r="C665" i="3"/>
  <c r="C666" i="3"/>
  <c r="C667" i="3"/>
  <c r="C668" i="3"/>
  <c r="C669" i="3"/>
  <c r="C670" i="3"/>
  <c r="C671" i="3"/>
  <c r="C672" i="3"/>
  <c r="C673" i="3"/>
  <c r="C674" i="3"/>
  <c r="C675" i="3"/>
  <c r="C676" i="3"/>
  <c r="C677" i="3"/>
  <c r="C678" i="3"/>
  <c r="C679" i="3"/>
  <c r="C680" i="3"/>
  <c r="C681" i="3"/>
  <c r="C682" i="3"/>
  <c r="C683" i="3"/>
  <c r="C684" i="3"/>
  <c r="C685" i="3"/>
  <c r="C686" i="3"/>
  <c r="C687" i="3"/>
  <c r="C688" i="3"/>
  <c r="C689" i="3"/>
  <c r="C690" i="3"/>
  <c r="C691" i="3"/>
  <c r="C692" i="3"/>
  <c r="C693" i="3"/>
  <c r="C694" i="3"/>
  <c r="C695" i="3"/>
  <c r="C696" i="3"/>
  <c r="C697" i="3"/>
  <c r="C698" i="3"/>
  <c r="C699" i="3"/>
  <c r="C700" i="3"/>
  <c r="C701" i="3"/>
  <c r="C2"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B204" i="3"/>
  <c r="B205" i="3"/>
  <c r="B206" i="3"/>
  <c r="B207" i="3"/>
  <c r="B208" i="3"/>
  <c r="B209" i="3"/>
  <c r="B210" i="3"/>
  <c r="B211" i="3"/>
  <c r="B212" i="3"/>
  <c r="B213" i="3"/>
  <c r="B214" i="3"/>
  <c r="B215" i="3"/>
  <c r="B216" i="3"/>
  <c r="B217" i="3"/>
  <c r="B218" i="3"/>
  <c r="B219" i="3"/>
  <c r="B220" i="3"/>
  <c r="B221" i="3"/>
  <c r="B222" i="3"/>
  <c r="B223" i="3"/>
  <c r="B224" i="3"/>
  <c r="B225" i="3"/>
  <c r="B226" i="3"/>
  <c r="B227" i="3"/>
  <c r="B228" i="3"/>
  <c r="B229" i="3"/>
  <c r="B230" i="3"/>
  <c r="B231" i="3"/>
  <c r="B232" i="3"/>
  <c r="B233" i="3"/>
  <c r="B234" i="3"/>
  <c r="B235" i="3"/>
  <c r="B236" i="3"/>
  <c r="B237" i="3"/>
  <c r="B238" i="3"/>
  <c r="B239" i="3"/>
  <c r="B240" i="3"/>
  <c r="B241" i="3"/>
  <c r="B242" i="3"/>
  <c r="B243" i="3"/>
  <c r="B244" i="3"/>
  <c r="B245" i="3"/>
  <c r="B246" i="3"/>
  <c r="B247" i="3"/>
  <c r="B248" i="3"/>
  <c r="B249" i="3"/>
  <c r="B250" i="3"/>
  <c r="B251" i="3"/>
  <c r="B252" i="3"/>
  <c r="B253" i="3"/>
  <c r="B254" i="3"/>
  <c r="B255" i="3"/>
  <c r="B256" i="3"/>
  <c r="B257" i="3"/>
  <c r="B258" i="3"/>
  <c r="B259" i="3"/>
  <c r="B260" i="3"/>
  <c r="B261" i="3"/>
  <c r="B262" i="3"/>
  <c r="B263" i="3"/>
  <c r="B264" i="3"/>
  <c r="B265" i="3"/>
  <c r="B266" i="3"/>
  <c r="B267" i="3"/>
  <c r="B268" i="3"/>
  <c r="B269" i="3"/>
  <c r="B270" i="3"/>
  <c r="B271" i="3"/>
  <c r="B272" i="3"/>
  <c r="B273" i="3"/>
  <c r="B274" i="3"/>
  <c r="B275" i="3"/>
  <c r="B276" i="3"/>
  <c r="B277" i="3"/>
  <c r="B278" i="3"/>
  <c r="B279" i="3"/>
  <c r="B280" i="3"/>
  <c r="B281" i="3"/>
  <c r="B282" i="3"/>
  <c r="B283" i="3"/>
  <c r="B284" i="3"/>
  <c r="B285" i="3"/>
  <c r="B286" i="3"/>
  <c r="B287" i="3"/>
  <c r="B288" i="3"/>
  <c r="B289" i="3"/>
  <c r="B290" i="3"/>
  <c r="B291" i="3"/>
  <c r="B292" i="3"/>
  <c r="B293" i="3"/>
  <c r="B294" i="3"/>
  <c r="B295" i="3"/>
  <c r="B296" i="3"/>
  <c r="B297" i="3"/>
  <c r="B298" i="3"/>
  <c r="B299" i="3"/>
  <c r="B300" i="3"/>
  <c r="B301" i="3"/>
  <c r="B302" i="3"/>
  <c r="B303" i="3"/>
  <c r="B304" i="3"/>
  <c r="B305" i="3"/>
  <c r="B306" i="3"/>
  <c r="B307" i="3"/>
  <c r="B308" i="3"/>
  <c r="B309" i="3"/>
  <c r="B310" i="3"/>
  <c r="B311" i="3"/>
  <c r="B312" i="3"/>
  <c r="B313" i="3"/>
  <c r="B314" i="3"/>
  <c r="B315" i="3"/>
  <c r="B316" i="3"/>
  <c r="B317" i="3"/>
  <c r="B318" i="3"/>
  <c r="B319" i="3"/>
  <c r="B320" i="3"/>
  <c r="B321" i="3"/>
  <c r="B322" i="3"/>
  <c r="B323" i="3"/>
  <c r="B324" i="3"/>
  <c r="B325" i="3"/>
  <c r="B326" i="3"/>
  <c r="B327" i="3"/>
  <c r="B328" i="3"/>
  <c r="B329" i="3"/>
  <c r="B330" i="3"/>
  <c r="B331" i="3"/>
  <c r="B332" i="3"/>
  <c r="B333" i="3"/>
  <c r="B334" i="3"/>
  <c r="B335" i="3"/>
  <c r="B336" i="3"/>
  <c r="B337" i="3"/>
  <c r="B338" i="3"/>
  <c r="B339" i="3"/>
  <c r="B340" i="3"/>
  <c r="B341" i="3"/>
  <c r="B342" i="3"/>
  <c r="B343" i="3"/>
  <c r="B344" i="3"/>
  <c r="B345" i="3"/>
  <c r="B346" i="3"/>
  <c r="B347" i="3"/>
  <c r="B348" i="3"/>
  <c r="B349" i="3"/>
  <c r="B350" i="3"/>
  <c r="B351" i="3"/>
  <c r="B352" i="3"/>
  <c r="B353" i="3"/>
  <c r="B354" i="3"/>
  <c r="B355" i="3"/>
  <c r="B356" i="3"/>
  <c r="B357" i="3"/>
  <c r="B358" i="3"/>
  <c r="B359" i="3"/>
  <c r="B360" i="3"/>
  <c r="B361" i="3"/>
  <c r="B362" i="3"/>
  <c r="B363" i="3"/>
  <c r="B364" i="3"/>
  <c r="B365" i="3"/>
  <c r="B366" i="3"/>
  <c r="B367" i="3"/>
  <c r="B368" i="3"/>
  <c r="B369" i="3"/>
  <c r="B370" i="3"/>
  <c r="B371" i="3"/>
  <c r="B372" i="3"/>
  <c r="B373" i="3"/>
  <c r="B374" i="3"/>
  <c r="B375" i="3"/>
  <c r="B376" i="3"/>
  <c r="B377" i="3"/>
  <c r="B378" i="3"/>
  <c r="B379" i="3"/>
  <c r="B380" i="3"/>
  <c r="B381" i="3"/>
  <c r="B382" i="3"/>
  <c r="B383" i="3"/>
  <c r="B384" i="3"/>
  <c r="B385" i="3"/>
  <c r="B386" i="3"/>
  <c r="B387" i="3"/>
  <c r="B388" i="3"/>
  <c r="B389" i="3"/>
  <c r="B390" i="3"/>
  <c r="B391" i="3"/>
  <c r="B392" i="3"/>
  <c r="B393" i="3"/>
  <c r="B394" i="3"/>
  <c r="B395" i="3"/>
  <c r="B396" i="3"/>
  <c r="B397" i="3"/>
  <c r="B398" i="3"/>
  <c r="B399" i="3"/>
  <c r="B400" i="3"/>
  <c r="B401" i="3"/>
  <c r="B402" i="3"/>
  <c r="B403" i="3"/>
  <c r="B404" i="3"/>
  <c r="B405" i="3"/>
  <c r="B406" i="3"/>
  <c r="B407" i="3"/>
  <c r="B408" i="3"/>
  <c r="B409" i="3"/>
  <c r="B410" i="3"/>
  <c r="B411" i="3"/>
  <c r="B412" i="3"/>
  <c r="B413" i="3"/>
  <c r="B414" i="3"/>
  <c r="B415" i="3"/>
  <c r="B416" i="3"/>
  <c r="B417" i="3"/>
  <c r="B418" i="3"/>
  <c r="B419" i="3"/>
  <c r="B420" i="3"/>
  <c r="B421" i="3"/>
  <c r="B422" i="3"/>
  <c r="B423" i="3"/>
  <c r="B424" i="3"/>
  <c r="B425" i="3"/>
  <c r="B426" i="3"/>
  <c r="B427" i="3"/>
  <c r="B428" i="3"/>
  <c r="B429" i="3"/>
  <c r="B430" i="3"/>
  <c r="B431" i="3"/>
  <c r="B432" i="3"/>
  <c r="B433" i="3"/>
  <c r="B434" i="3"/>
  <c r="B435" i="3"/>
  <c r="B436" i="3"/>
  <c r="B437" i="3"/>
  <c r="B438" i="3"/>
  <c r="B439" i="3"/>
  <c r="B440" i="3"/>
  <c r="B441" i="3"/>
  <c r="B442" i="3"/>
  <c r="B443" i="3"/>
  <c r="B444" i="3"/>
  <c r="B445" i="3"/>
  <c r="B446" i="3"/>
  <c r="B447" i="3"/>
  <c r="B448" i="3"/>
  <c r="B449" i="3"/>
  <c r="B450" i="3"/>
  <c r="B451" i="3"/>
  <c r="B452" i="3"/>
  <c r="B453" i="3"/>
  <c r="B454" i="3"/>
  <c r="B455" i="3"/>
  <c r="B456" i="3"/>
  <c r="B457" i="3"/>
  <c r="B458" i="3"/>
  <c r="B459" i="3"/>
  <c r="B460" i="3"/>
  <c r="B461" i="3"/>
  <c r="B462" i="3"/>
  <c r="B463" i="3"/>
  <c r="B464" i="3"/>
  <c r="B465" i="3"/>
  <c r="B466" i="3"/>
  <c r="B467" i="3"/>
  <c r="B468" i="3"/>
  <c r="B469" i="3"/>
  <c r="B470" i="3"/>
  <c r="B471" i="3"/>
  <c r="B472" i="3"/>
  <c r="B473" i="3"/>
  <c r="B474" i="3"/>
  <c r="B475" i="3"/>
  <c r="B476" i="3"/>
  <c r="B477" i="3"/>
  <c r="B478" i="3"/>
  <c r="B479" i="3"/>
  <c r="B480" i="3"/>
  <c r="B481" i="3"/>
  <c r="B482" i="3"/>
  <c r="B483" i="3"/>
  <c r="B484" i="3"/>
  <c r="B485" i="3"/>
  <c r="B486" i="3"/>
  <c r="B487" i="3"/>
  <c r="B488" i="3"/>
  <c r="B489" i="3"/>
  <c r="B490" i="3"/>
  <c r="B491" i="3"/>
  <c r="B492" i="3"/>
  <c r="B493" i="3"/>
  <c r="B494" i="3"/>
  <c r="B495" i="3"/>
  <c r="B496" i="3"/>
  <c r="B497" i="3"/>
  <c r="B498" i="3"/>
  <c r="B499" i="3"/>
  <c r="B500" i="3"/>
  <c r="B501" i="3"/>
  <c r="B502" i="3"/>
  <c r="B503" i="3"/>
  <c r="B504" i="3"/>
  <c r="B505" i="3"/>
  <c r="B506" i="3"/>
  <c r="B507" i="3"/>
  <c r="B508" i="3"/>
  <c r="B509" i="3"/>
  <c r="B510" i="3"/>
  <c r="B511" i="3"/>
  <c r="B512" i="3"/>
  <c r="B513" i="3"/>
  <c r="B514" i="3"/>
  <c r="B515" i="3"/>
  <c r="B516" i="3"/>
  <c r="B517" i="3"/>
  <c r="B518" i="3"/>
  <c r="B519" i="3"/>
  <c r="B520" i="3"/>
  <c r="B521" i="3"/>
  <c r="B522" i="3"/>
  <c r="B523" i="3"/>
  <c r="B524" i="3"/>
  <c r="B525" i="3"/>
  <c r="B526" i="3"/>
  <c r="B527" i="3"/>
  <c r="B528" i="3"/>
  <c r="B529" i="3"/>
  <c r="B530" i="3"/>
  <c r="B531" i="3"/>
  <c r="B532" i="3"/>
  <c r="B533" i="3"/>
  <c r="B534" i="3"/>
  <c r="B535" i="3"/>
  <c r="B536" i="3"/>
  <c r="B537" i="3"/>
  <c r="B538" i="3"/>
  <c r="B539" i="3"/>
  <c r="B540" i="3"/>
  <c r="B541" i="3"/>
  <c r="B542" i="3"/>
  <c r="B543" i="3"/>
  <c r="B544" i="3"/>
  <c r="B545" i="3"/>
  <c r="B546" i="3"/>
  <c r="B547" i="3"/>
  <c r="B548" i="3"/>
  <c r="B549" i="3"/>
  <c r="B550" i="3"/>
  <c r="B551" i="3"/>
  <c r="B552" i="3"/>
  <c r="B553" i="3"/>
  <c r="B554" i="3"/>
  <c r="B555" i="3"/>
  <c r="B556" i="3"/>
  <c r="B557" i="3"/>
  <c r="B558" i="3"/>
  <c r="B559" i="3"/>
  <c r="B560" i="3"/>
  <c r="B561" i="3"/>
  <c r="B562" i="3"/>
  <c r="B563" i="3"/>
  <c r="B564" i="3"/>
  <c r="B565" i="3"/>
  <c r="B566" i="3"/>
  <c r="B567" i="3"/>
  <c r="B568" i="3"/>
  <c r="B569" i="3"/>
  <c r="B570" i="3"/>
  <c r="B571" i="3"/>
  <c r="B572" i="3"/>
  <c r="B573" i="3"/>
  <c r="B574" i="3"/>
  <c r="B575" i="3"/>
  <c r="B576" i="3"/>
  <c r="B577" i="3"/>
  <c r="B578" i="3"/>
  <c r="B579" i="3"/>
  <c r="B580" i="3"/>
  <c r="B581" i="3"/>
  <c r="B582" i="3"/>
  <c r="B583" i="3"/>
  <c r="B584" i="3"/>
  <c r="B585" i="3"/>
  <c r="B586" i="3"/>
  <c r="B587" i="3"/>
  <c r="B588" i="3"/>
  <c r="B589" i="3"/>
  <c r="B590" i="3"/>
  <c r="B591" i="3"/>
  <c r="B592" i="3"/>
  <c r="B593" i="3"/>
  <c r="B594" i="3"/>
  <c r="B595" i="3"/>
  <c r="B596" i="3"/>
  <c r="B597" i="3"/>
  <c r="B598" i="3"/>
  <c r="B599" i="3"/>
  <c r="B600" i="3"/>
  <c r="B601" i="3"/>
  <c r="B602" i="3"/>
  <c r="B603" i="3"/>
  <c r="B604" i="3"/>
  <c r="B605" i="3"/>
  <c r="B606" i="3"/>
  <c r="B607" i="3"/>
  <c r="B608" i="3"/>
  <c r="B609" i="3"/>
  <c r="B610" i="3"/>
  <c r="B611" i="3"/>
  <c r="B612" i="3"/>
  <c r="B613" i="3"/>
  <c r="B614" i="3"/>
  <c r="B615" i="3"/>
  <c r="B616" i="3"/>
  <c r="B617" i="3"/>
  <c r="B618" i="3"/>
  <c r="B619" i="3"/>
  <c r="B620" i="3"/>
  <c r="B621" i="3"/>
  <c r="B622" i="3"/>
  <c r="B623" i="3"/>
  <c r="B624" i="3"/>
  <c r="B625" i="3"/>
  <c r="B626" i="3"/>
  <c r="B627" i="3"/>
  <c r="B628" i="3"/>
  <c r="B629" i="3"/>
  <c r="B630" i="3"/>
  <c r="B631" i="3"/>
  <c r="B632" i="3"/>
  <c r="B633" i="3"/>
  <c r="B634" i="3"/>
  <c r="B635" i="3"/>
  <c r="B636" i="3"/>
  <c r="B637" i="3"/>
  <c r="B638" i="3"/>
  <c r="B639" i="3"/>
  <c r="B640" i="3"/>
  <c r="B641" i="3"/>
  <c r="B642" i="3"/>
  <c r="B643" i="3"/>
  <c r="B644" i="3"/>
  <c r="B645" i="3"/>
  <c r="B646" i="3"/>
  <c r="B647" i="3"/>
  <c r="B648" i="3"/>
  <c r="B649" i="3"/>
  <c r="B650" i="3"/>
  <c r="B651" i="3"/>
  <c r="B652" i="3"/>
  <c r="B653" i="3"/>
  <c r="B654" i="3"/>
  <c r="B655" i="3"/>
  <c r="B656" i="3"/>
  <c r="B657" i="3"/>
  <c r="B658" i="3"/>
  <c r="B659" i="3"/>
  <c r="B660" i="3"/>
  <c r="B661" i="3"/>
  <c r="B662" i="3"/>
  <c r="B663" i="3"/>
  <c r="B664" i="3"/>
  <c r="B665" i="3"/>
  <c r="B666" i="3"/>
  <c r="B667" i="3"/>
  <c r="B668" i="3"/>
  <c r="B669" i="3"/>
  <c r="B670" i="3"/>
  <c r="B671" i="3"/>
  <c r="B672" i="3"/>
  <c r="B673" i="3"/>
  <c r="B674" i="3"/>
  <c r="B675" i="3"/>
  <c r="B676" i="3"/>
  <c r="B677" i="3"/>
  <c r="B678" i="3"/>
  <c r="B679" i="3"/>
  <c r="B680" i="3"/>
  <c r="B681" i="3"/>
  <c r="B682" i="3"/>
  <c r="B683" i="3"/>
  <c r="B684" i="3"/>
  <c r="B685" i="3"/>
  <c r="B686" i="3"/>
  <c r="B687" i="3"/>
  <c r="B688" i="3"/>
  <c r="B689" i="3"/>
  <c r="B690" i="3"/>
  <c r="B691" i="3"/>
  <c r="B692" i="3"/>
  <c r="B693" i="3"/>
  <c r="B694" i="3"/>
  <c r="B695" i="3"/>
  <c r="B696" i="3"/>
  <c r="B697" i="3"/>
  <c r="B698" i="3"/>
  <c r="B699" i="3"/>
  <c r="B700" i="3"/>
  <c r="B701" i="3"/>
  <c r="B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A509" i="3"/>
  <c r="A510" i="3"/>
  <c r="A511" i="3"/>
  <c r="A512" i="3"/>
  <c r="A513" i="3"/>
  <c r="A514" i="3"/>
  <c r="A515" i="3"/>
  <c r="A516" i="3"/>
  <c r="A517" i="3"/>
  <c r="A518" i="3"/>
  <c r="A519" i="3"/>
  <c r="A520" i="3"/>
  <c r="A521" i="3"/>
  <c r="A522" i="3"/>
  <c r="A523" i="3"/>
  <c r="A524" i="3"/>
  <c r="A525" i="3"/>
  <c r="A526" i="3"/>
  <c r="A527" i="3"/>
  <c r="A528" i="3"/>
  <c r="A529" i="3"/>
  <c r="A530" i="3"/>
  <c r="A531" i="3"/>
  <c r="A532" i="3"/>
  <c r="A533" i="3"/>
  <c r="A534" i="3"/>
  <c r="A535" i="3"/>
  <c r="A536" i="3"/>
  <c r="A537" i="3"/>
  <c r="A538" i="3"/>
  <c r="A539" i="3"/>
  <c r="A540" i="3"/>
  <c r="A541" i="3"/>
  <c r="A542" i="3"/>
  <c r="A543" i="3"/>
  <c r="A544" i="3"/>
  <c r="A545" i="3"/>
  <c r="A546" i="3"/>
  <c r="A547" i="3"/>
  <c r="A548" i="3"/>
  <c r="A549" i="3"/>
  <c r="A550" i="3"/>
  <c r="A551" i="3"/>
  <c r="A552" i="3"/>
  <c r="A553" i="3"/>
  <c r="A554" i="3"/>
  <c r="A555" i="3"/>
  <c r="A556" i="3"/>
  <c r="A557" i="3"/>
  <c r="A558" i="3"/>
  <c r="A559" i="3"/>
  <c r="A560" i="3"/>
  <c r="A561" i="3"/>
  <c r="A562" i="3"/>
  <c r="A563" i="3"/>
  <c r="A564" i="3"/>
  <c r="A565" i="3"/>
  <c r="A566" i="3"/>
  <c r="A567" i="3"/>
  <c r="A568" i="3"/>
  <c r="A569" i="3"/>
  <c r="A570" i="3"/>
  <c r="A571" i="3"/>
  <c r="A572" i="3"/>
  <c r="A573" i="3"/>
  <c r="A574" i="3"/>
  <c r="A575" i="3"/>
  <c r="A576" i="3"/>
  <c r="A577" i="3"/>
  <c r="A578" i="3"/>
  <c r="A579" i="3"/>
  <c r="A580" i="3"/>
  <c r="A581" i="3"/>
  <c r="A582" i="3"/>
  <c r="A583" i="3"/>
  <c r="A584" i="3"/>
  <c r="A585" i="3"/>
  <c r="A586" i="3"/>
  <c r="A587" i="3"/>
  <c r="A588" i="3"/>
  <c r="A589" i="3"/>
  <c r="A590" i="3"/>
  <c r="A591" i="3"/>
  <c r="A592" i="3"/>
  <c r="A593" i="3"/>
  <c r="A594" i="3"/>
  <c r="A595" i="3"/>
  <c r="A596" i="3"/>
  <c r="A597" i="3"/>
  <c r="A598" i="3"/>
  <c r="A599" i="3"/>
  <c r="A600" i="3"/>
  <c r="A601" i="3"/>
  <c r="A602" i="3"/>
  <c r="A603" i="3"/>
  <c r="A604" i="3"/>
  <c r="A605" i="3"/>
  <c r="A606" i="3"/>
  <c r="A607" i="3"/>
  <c r="A608" i="3"/>
  <c r="A609" i="3"/>
  <c r="A610" i="3"/>
  <c r="A611" i="3"/>
  <c r="A612" i="3"/>
  <c r="A613" i="3"/>
  <c r="A614" i="3"/>
  <c r="A615" i="3"/>
  <c r="A616" i="3"/>
  <c r="A617" i="3"/>
  <c r="A618" i="3"/>
  <c r="A619" i="3"/>
  <c r="A620" i="3"/>
  <c r="A621" i="3"/>
  <c r="A622" i="3"/>
  <c r="A623" i="3"/>
  <c r="A624" i="3"/>
  <c r="A625" i="3"/>
  <c r="A626" i="3"/>
  <c r="A627" i="3"/>
  <c r="A628" i="3"/>
  <c r="A629" i="3"/>
  <c r="A630" i="3"/>
  <c r="A631" i="3"/>
  <c r="A632" i="3"/>
  <c r="A633" i="3"/>
  <c r="A634" i="3"/>
  <c r="A635" i="3"/>
  <c r="A636" i="3"/>
  <c r="A637" i="3"/>
  <c r="A638" i="3"/>
  <c r="A639" i="3"/>
  <c r="A640" i="3"/>
  <c r="A641" i="3"/>
  <c r="A642" i="3"/>
  <c r="A643" i="3"/>
  <c r="A644" i="3"/>
  <c r="A645" i="3"/>
  <c r="A646" i="3"/>
  <c r="A647" i="3"/>
  <c r="A648" i="3"/>
  <c r="A649" i="3"/>
  <c r="A650" i="3"/>
  <c r="A651" i="3"/>
  <c r="A652" i="3"/>
  <c r="A653" i="3"/>
  <c r="A654" i="3"/>
  <c r="A655" i="3"/>
  <c r="A656" i="3"/>
  <c r="A657" i="3"/>
  <c r="A658" i="3"/>
  <c r="A659" i="3"/>
  <c r="A660" i="3"/>
  <c r="A661" i="3"/>
  <c r="A662" i="3"/>
  <c r="A663" i="3"/>
  <c r="A664" i="3"/>
  <c r="A665" i="3"/>
  <c r="A666" i="3"/>
  <c r="A667" i="3"/>
  <c r="A668" i="3"/>
  <c r="A669" i="3"/>
  <c r="A670" i="3"/>
  <c r="A671" i="3"/>
  <c r="A672" i="3"/>
  <c r="A673" i="3"/>
  <c r="A674" i="3"/>
  <c r="A675" i="3"/>
  <c r="A676" i="3"/>
  <c r="A677" i="3"/>
  <c r="A678" i="3"/>
  <c r="A679" i="3"/>
  <c r="A680" i="3"/>
  <c r="A681" i="3"/>
  <c r="A682" i="3"/>
  <c r="A683" i="3"/>
  <c r="A684" i="3"/>
  <c r="A685" i="3"/>
  <c r="A686" i="3"/>
  <c r="A687" i="3"/>
  <c r="A688" i="3"/>
  <c r="A689" i="3"/>
  <c r="A690" i="3"/>
  <c r="A691" i="3"/>
  <c r="A692" i="3"/>
  <c r="A693" i="3"/>
  <c r="A694" i="3"/>
  <c r="A695" i="3"/>
  <c r="A696" i="3"/>
  <c r="A697" i="3"/>
  <c r="A698" i="3"/>
  <c r="A699" i="3"/>
  <c r="A700" i="3"/>
  <c r="A701" i="3"/>
  <c r="A2" i="3"/>
  <c r="E43" i="8" l="1"/>
  <c r="E44" i="8"/>
  <c r="E45" i="8"/>
  <c r="E37" i="8"/>
  <c r="E38" i="8"/>
  <c r="E39" i="8"/>
  <c r="E40" i="8"/>
  <c r="E41" i="8"/>
  <c r="E42" i="8"/>
  <c r="T1990" i="7" a="1"/>
  <c r="T1990" i="7" s="1"/>
  <c r="B19" i="8"/>
  <c r="B20" i="8"/>
  <c r="B16" i="8"/>
  <c r="B17" i="8"/>
  <c r="B15" i="8"/>
  <c r="B14" i="8"/>
  <c r="B18" i="8"/>
  <c r="B11" i="8"/>
  <c r="B13" i="8"/>
  <c r="B12" i="8"/>
  <c r="B24" i="8"/>
  <c r="B22" i="8"/>
  <c r="B23" i="8"/>
  <c r="B21" i="8"/>
  <c r="T1274" i="7" a="1"/>
  <c r="T1274" i="7" s="1"/>
  <c r="T1835" i="7" a="1"/>
  <c r="T1835" i="7" s="1"/>
  <c r="T529" i="7" a="1"/>
  <c r="T529" i="7" s="1"/>
  <c r="S95" i="7"/>
  <c r="S1455" i="7"/>
  <c r="T1786" i="7" a="1"/>
  <c r="T1786" i="7" s="1"/>
  <c r="T1178" i="7" a="1"/>
  <c r="T1178" i="7" s="1"/>
  <c r="T1597" i="7" a="1"/>
  <c r="T1597" i="7" s="1"/>
  <c r="T1396" i="7" a="1"/>
  <c r="T1396" i="7" s="1"/>
  <c r="T239" i="7" a="1"/>
  <c r="T239" i="7" s="1"/>
  <c r="T1175" i="7" a="1"/>
  <c r="T1175" i="7" s="1"/>
  <c r="T1834" i="7" a="1"/>
  <c r="T1834" i="7" s="1"/>
  <c r="T1840" i="7" a="1"/>
  <c r="T1840" i="7" s="1"/>
  <c r="T1093" i="7" a="1"/>
  <c r="T1093" i="7" s="1"/>
  <c r="T1243" i="7" a="1"/>
  <c r="T1243" i="7" s="1"/>
  <c r="T1939" i="7" a="1"/>
  <c r="T1939" i="7" s="1"/>
  <c r="T1531" i="7" a="1"/>
  <c r="T1531" i="7" s="1"/>
  <c r="T868" i="7" a="1"/>
  <c r="T868" i="7" s="1"/>
  <c r="T1079" i="7" a="1"/>
  <c r="T1079" i="7" s="1"/>
  <c r="T137" i="7" a="1"/>
  <c r="T137" i="7" s="1"/>
  <c r="T1955" i="7" a="1"/>
  <c r="T1955" i="7" s="1"/>
  <c r="T1343" i="7" a="1"/>
  <c r="T1343" i="7" s="1"/>
  <c r="T1348" i="7" a="1"/>
  <c r="T1348" i="7" s="1"/>
  <c r="T1671" i="7" a="1"/>
  <c r="T1671" i="7" s="1"/>
  <c r="T1736" i="7" a="1"/>
  <c r="T1736" i="7" s="1"/>
  <c r="T577" i="7" a="1"/>
  <c r="T577" i="7" s="1"/>
  <c r="S1534" i="7"/>
  <c r="T801" i="7" a="1"/>
  <c r="T801" i="7" s="1"/>
  <c r="S956" i="7"/>
  <c r="T1484" i="7" a="1"/>
  <c r="T1484" i="7" s="1"/>
  <c r="T1289" i="7" a="1"/>
  <c r="T1289" i="7" s="1"/>
  <c r="T1045" i="7" a="1"/>
  <c r="T1045" i="7" s="1"/>
  <c r="T918" i="7" a="1"/>
  <c r="T918" i="7" s="1"/>
  <c r="T1963" i="7" a="1"/>
  <c r="T1963" i="7" s="1"/>
  <c r="T1989" i="7" a="1"/>
  <c r="T1989" i="7" s="1"/>
  <c r="T214" i="7" a="1"/>
  <c r="T214" i="7" s="1"/>
  <c r="T192" i="7" a="1"/>
  <c r="T192" i="7" s="1"/>
  <c r="T574" i="7" a="1"/>
  <c r="T574" i="7" s="1"/>
  <c r="T1148" i="7" a="1"/>
  <c r="T1148" i="7" s="1"/>
  <c r="T534" i="7" a="1"/>
  <c r="T534" i="7" s="1"/>
  <c r="S434" i="7"/>
  <c r="T1649" i="7" a="1"/>
  <c r="T1649" i="7" s="1"/>
  <c r="T1823" i="7" a="1"/>
  <c r="T1823" i="7" s="1"/>
  <c r="T1906" i="7" a="1"/>
  <c r="T1906" i="7" s="1"/>
  <c r="T867" i="7" a="1"/>
  <c r="T867" i="7" s="1"/>
  <c r="T1593" i="7" a="1"/>
  <c r="T1593" i="7" s="1"/>
  <c r="T1817" i="7" a="1"/>
  <c r="T1817" i="7" s="1"/>
  <c r="S1734" i="7"/>
  <c r="T1689" i="7" a="1"/>
  <c r="T1689" i="7" s="1"/>
  <c r="T1346" i="7" a="1"/>
  <c r="T1346" i="7" s="1"/>
  <c r="T222" i="7" a="1"/>
  <c r="T222" i="7" s="1"/>
  <c r="T1528" i="7" a="1"/>
  <c r="T1528" i="7" s="1"/>
  <c r="T717" i="7" a="1"/>
  <c r="T717" i="7" s="1"/>
  <c r="T147" i="7" a="1"/>
  <c r="T147" i="7" s="1"/>
  <c r="T1227" i="7" a="1"/>
  <c r="T1227" i="7" s="1"/>
  <c r="T1476" i="7" a="1"/>
  <c r="T1476" i="7" s="1"/>
  <c r="T1988" i="7" a="1"/>
  <c r="T1988" i="7" s="1"/>
  <c r="T599" i="7" a="1"/>
  <c r="T599" i="7" s="1"/>
  <c r="T1931" i="7" a="1"/>
  <c r="T1931" i="7" s="1"/>
  <c r="T259" i="7" a="1"/>
  <c r="T259" i="7" s="1"/>
  <c r="T1703" i="7" a="1"/>
  <c r="T1703" i="7" s="1"/>
  <c r="T477" i="7" a="1"/>
  <c r="T477" i="7" s="1"/>
  <c r="S734" i="7"/>
  <c r="T1846" i="7" a="1"/>
  <c r="T1846" i="7" s="1"/>
  <c r="T1627" i="7" a="1"/>
  <c r="T1627" i="7" s="1"/>
  <c r="T1207" i="7" a="1"/>
  <c r="T1207" i="7" s="1"/>
  <c r="T1605" i="7" a="1"/>
  <c r="T1605" i="7" s="1"/>
  <c r="T28" i="7" a="1"/>
  <c r="T28" i="7" s="1"/>
  <c r="T1717" i="7" a="1"/>
  <c r="T1717" i="7" s="1"/>
  <c r="T1729" i="7" a="1"/>
  <c r="T1729" i="7" s="1"/>
  <c r="T1167" i="7" a="1"/>
  <c r="T1167" i="7" s="1"/>
  <c r="T1542" i="7" a="1"/>
  <c r="T1542" i="7" s="1"/>
  <c r="T611" i="7" a="1"/>
  <c r="T611" i="7" s="1"/>
  <c r="T1791" i="7" a="1"/>
  <c r="T1791" i="7" s="1"/>
  <c r="T1708" i="7" a="1"/>
  <c r="T1708" i="7" s="1"/>
  <c r="T1487" i="7" a="1"/>
  <c r="T1487" i="7" s="1"/>
  <c r="T387" i="7" a="1"/>
  <c r="T387" i="7" s="1"/>
  <c r="T1331" i="7" a="1"/>
  <c r="T1331" i="7" s="1"/>
  <c r="T1711" i="7" a="1"/>
  <c r="T1711" i="7" s="1"/>
  <c r="T1499" i="7" a="1"/>
  <c r="T1499" i="7" s="1"/>
  <c r="T1780" i="7" a="1"/>
  <c r="T1780" i="7" s="1"/>
  <c r="T1549" i="7" a="1"/>
  <c r="T1549" i="7" s="1"/>
  <c r="T1502" i="7" a="1"/>
  <c r="T1502" i="7" s="1"/>
  <c r="T490" i="7" a="1"/>
  <c r="T490" i="7" s="1"/>
  <c r="T1397" i="7" a="1"/>
  <c r="T1397" i="7" s="1"/>
  <c r="T1726" i="7" a="1"/>
  <c r="T1726" i="7" s="1"/>
  <c r="T1365" i="7" a="1"/>
  <c r="T1365" i="7" s="1"/>
  <c r="T1307" i="7" a="1"/>
  <c r="T1307" i="7" s="1"/>
  <c r="T673" i="7" a="1"/>
  <c r="T673" i="7" s="1"/>
  <c r="T1501" i="7" a="1"/>
  <c r="T1501" i="7" s="1"/>
  <c r="T1812" i="7" a="1"/>
  <c r="T1812" i="7" s="1"/>
  <c r="T441" i="7" a="1"/>
  <c r="T441" i="7" s="1"/>
  <c r="T1871" i="7" a="1"/>
  <c r="T1871" i="7" s="1"/>
  <c r="T202" i="7" a="1"/>
  <c r="T202" i="7" s="1"/>
  <c r="T1562" i="7" a="1"/>
  <c r="T1562" i="7" s="1"/>
  <c r="T235" i="7" a="1"/>
  <c r="T235" i="7" s="1"/>
  <c r="T315" i="7" a="1"/>
  <c r="T315" i="7" s="1"/>
  <c r="T1828" i="7" a="1"/>
  <c r="T1828" i="7" s="1"/>
  <c r="T1323" i="7" a="1"/>
  <c r="T1323" i="7" s="1"/>
  <c r="T1676" i="7" a="1"/>
  <c r="T1676" i="7" s="1"/>
  <c r="T776" i="7" a="1"/>
  <c r="T776" i="7" s="1"/>
  <c r="S644" i="7"/>
  <c r="T1741" i="7" a="1"/>
  <c r="T1741" i="7" s="1"/>
  <c r="T1876" i="7" a="1"/>
  <c r="T1876" i="7" s="1"/>
  <c r="T1805" i="7" a="1"/>
  <c r="T1805" i="7" s="1"/>
  <c r="T1521" i="7" a="1"/>
  <c r="T1521" i="7" s="1"/>
  <c r="T561" i="7" a="1"/>
  <c r="T561" i="7" s="1"/>
  <c r="T1338" i="7" a="1"/>
  <c r="T1338" i="7" s="1"/>
  <c r="T1313" i="7" a="1"/>
  <c r="T1313" i="7" s="1"/>
  <c r="T1301" i="7" a="1"/>
  <c r="T1301" i="7" s="1"/>
  <c r="T1975" i="7" a="1"/>
  <c r="T1975" i="7" s="1"/>
  <c r="T1385" i="7" a="1"/>
  <c r="T1385" i="7" s="1"/>
  <c r="T143" i="7" a="1"/>
  <c r="T143" i="7" s="1"/>
  <c r="S1961" i="7"/>
  <c r="T367" i="7" a="1"/>
  <c r="T367" i="7" s="1"/>
  <c r="T1006" i="7" a="1"/>
  <c r="T1006" i="7" s="1"/>
  <c r="T1752" i="7" a="1"/>
  <c r="T1752" i="7" s="1"/>
  <c r="T56" i="7" a="1"/>
  <c r="T56" i="7" s="1"/>
  <c r="T1908" i="7" a="1"/>
  <c r="T1908" i="7" s="1"/>
  <c r="T1753" i="7" a="1"/>
  <c r="T1753" i="7" s="1"/>
  <c r="T1427" i="7" a="1"/>
  <c r="T1427" i="7" s="1"/>
  <c r="T216" i="7" a="1"/>
  <c r="T216" i="7" s="1"/>
  <c r="T184" i="7" a="1"/>
  <c r="T184" i="7" s="1"/>
  <c r="S596" i="7"/>
  <c r="T1720" i="7" a="1"/>
  <c r="T1720" i="7" s="1"/>
  <c r="T926" i="7" a="1"/>
  <c r="T926" i="7" s="1"/>
  <c r="T1792" i="7" a="1"/>
  <c r="T1792" i="7" s="1"/>
  <c r="T1619" i="7" a="1"/>
  <c r="T1619" i="7" s="1"/>
  <c r="T929" i="7" a="1"/>
  <c r="T929" i="7" s="1"/>
  <c r="S1710" i="7"/>
  <c r="T1056" i="7" a="1"/>
  <c r="T1056" i="7" s="1"/>
  <c r="S314" i="7"/>
  <c r="T1879" i="7" a="1"/>
  <c r="T1879" i="7" s="1"/>
  <c r="B10" i="8"/>
  <c r="T1987" i="7" a="1"/>
  <c r="T1987" i="7" s="1"/>
  <c r="T1687" i="7" a="1"/>
  <c r="T1687" i="7" s="1"/>
  <c r="T1288" i="7" a="1"/>
  <c r="T1288" i="7" s="1"/>
  <c r="T1862" i="7" a="1"/>
  <c r="T1862" i="7" s="1"/>
  <c r="T76" i="7" a="1"/>
  <c r="T76" i="7" s="1"/>
  <c r="T373" i="7" a="1"/>
  <c r="T373" i="7" s="1"/>
  <c r="T870" i="7" a="1"/>
  <c r="T870" i="7" s="1"/>
  <c r="T1469" i="7" a="1"/>
  <c r="T1469" i="7" s="1"/>
  <c r="T1979" i="7" a="1"/>
  <c r="T1979" i="7" s="1"/>
  <c r="T1907" i="7" a="1"/>
  <c r="T1907" i="7" s="1"/>
  <c r="T1201" i="7" a="1"/>
  <c r="T1201" i="7" s="1"/>
  <c r="T1635" i="7" a="1"/>
  <c r="T1635" i="7" s="1"/>
  <c r="T1503" i="7" a="1"/>
  <c r="T1503" i="7" s="1"/>
  <c r="T1248" i="7" a="1"/>
  <c r="T1248" i="7" s="1"/>
  <c r="T1888" i="7" a="1"/>
  <c r="T1888" i="7" s="1"/>
  <c r="T934" i="7" a="1"/>
  <c r="T934" i="7" s="1"/>
  <c r="T1664" i="7" a="1"/>
  <c r="T1664" i="7" s="1"/>
  <c r="T1945" i="7" a="1"/>
  <c r="T1945" i="7" s="1"/>
  <c r="T1421" i="7" a="1"/>
  <c r="T1421" i="7" s="1"/>
  <c r="T75" i="7" a="1"/>
  <c r="T75" i="7" s="1"/>
  <c r="T1337" i="7" a="1"/>
  <c r="T1337" i="7" s="1"/>
  <c r="T1651" i="7" a="1"/>
  <c r="T1651" i="7" s="1"/>
  <c r="T1267" i="7" a="1"/>
  <c r="T1267" i="7" s="1"/>
  <c r="T317" i="7" a="1"/>
  <c r="T317" i="7" s="1"/>
  <c r="T256" i="7" a="1"/>
  <c r="T256" i="7" s="1"/>
  <c r="S950" i="7"/>
  <c r="T1923" i="7" a="1"/>
  <c r="T1923" i="7" s="1"/>
  <c r="T1962" i="7" a="1"/>
  <c r="T1962" i="7" s="1"/>
  <c r="T1249" i="7" a="1"/>
  <c r="T1249" i="7" s="1"/>
  <c r="T949" i="7" a="1"/>
  <c r="T949" i="7" s="1"/>
  <c r="T1878" i="7" a="1"/>
  <c r="T1878" i="7" s="1"/>
  <c r="T1965" i="7" a="1"/>
  <c r="T1965" i="7" s="1"/>
  <c r="T761" i="7" a="1"/>
  <c r="T761" i="7" s="1"/>
  <c r="S680" i="7"/>
  <c r="T1339" i="7" a="1"/>
  <c r="T1339" i="7" s="1"/>
  <c r="T1601" i="7" a="1"/>
  <c r="T1601" i="7" s="1"/>
  <c r="T1400" i="7" a="1"/>
  <c r="T1400" i="7" s="1"/>
  <c r="T1952" i="7" a="1"/>
  <c r="T1952" i="7" s="1"/>
  <c r="T1872" i="7" a="1"/>
  <c r="T1872" i="7" s="1"/>
  <c r="T1930" i="7" a="1"/>
  <c r="T1930" i="7" s="1"/>
  <c r="T1641" i="7" a="1"/>
  <c r="T1641" i="7" s="1"/>
  <c r="T540" i="7" a="1"/>
  <c r="T540" i="7" s="1"/>
  <c r="T1927" i="7" a="1"/>
  <c r="T1927" i="7" s="1"/>
  <c r="S1524" i="7"/>
  <c r="T739" i="7" a="1"/>
  <c r="T739" i="7" s="1"/>
  <c r="T380" i="7" a="1"/>
  <c r="T380" i="7" s="1"/>
  <c r="T369" i="7" a="1"/>
  <c r="T369" i="7" s="1"/>
  <c r="T275" i="7" a="1"/>
  <c r="T275" i="7" s="1"/>
  <c r="T1361" i="7" a="1"/>
  <c r="T1361" i="7" s="1"/>
  <c r="S931" i="7"/>
  <c r="T1647" i="7" a="1"/>
  <c r="T1647" i="7" s="1"/>
  <c r="T157" i="7" a="1"/>
  <c r="T157" i="7" s="1"/>
  <c r="T719" i="7" a="1"/>
  <c r="T719" i="7" s="1"/>
  <c r="T352" i="7" a="1"/>
  <c r="T352" i="7" s="1"/>
  <c r="T1819" i="7" a="1"/>
  <c r="T1819" i="7" s="1"/>
  <c r="T112" i="7" a="1"/>
  <c r="T112" i="7" s="1"/>
  <c r="T1954" i="7" a="1"/>
  <c r="T1954" i="7" s="1"/>
  <c r="T1844" i="7" a="1"/>
  <c r="T1844" i="7" s="1"/>
  <c r="T1795" i="7" a="1"/>
  <c r="T1795" i="7" s="1"/>
  <c r="T1826" i="7" a="1"/>
  <c r="T1826" i="7" s="1"/>
  <c r="T1699" i="7" a="1"/>
  <c r="T1699" i="7" s="1"/>
  <c r="S1883" i="7"/>
  <c r="T485" i="7" a="1"/>
  <c r="T485" i="7" s="1"/>
  <c r="T1853" i="7" a="1"/>
  <c r="T1853" i="7" s="1"/>
  <c r="T1120" i="7" a="1"/>
  <c r="T1120" i="7" s="1"/>
  <c r="T1978" i="7" a="1"/>
  <c r="T1978" i="7" s="1"/>
  <c r="T1489" i="7" a="1"/>
  <c r="T1489" i="7" s="1"/>
  <c r="T1776" i="7" a="1"/>
  <c r="T1776" i="7" s="1"/>
  <c r="T1596" i="7" a="1"/>
  <c r="T1596" i="7" s="1"/>
  <c r="T1561" i="7" a="1"/>
  <c r="T1561" i="7" s="1"/>
  <c r="T1607" i="7" a="1"/>
  <c r="T1607" i="7" s="1"/>
  <c r="T609" i="7" a="1"/>
  <c r="T609" i="7" s="1"/>
  <c r="T1523" i="7" a="1"/>
  <c r="T1523" i="7" s="1"/>
  <c r="T47" i="7" a="1"/>
  <c r="T47" i="7" s="1"/>
  <c r="T1764" i="7" a="1"/>
  <c r="T1764" i="7" s="1"/>
  <c r="T1574" i="7" a="1"/>
  <c r="T1574" i="7" s="1"/>
  <c r="T1690" i="7" a="1"/>
  <c r="T1690" i="7" s="1"/>
  <c r="T1762" i="7" a="1"/>
  <c r="T1762" i="7" s="1"/>
  <c r="T1767" i="7" a="1"/>
  <c r="T1767" i="7" s="1"/>
  <c r="S44" i="7"/>
  <c r="T1897" i="7" a="1"/>
  <c r="T1897" i="7" s="1"/>
  <c r="T1117" i="7" a="1"/>
  <c r="T1117" i="7" s="1"/>
  <c r="T778" i="7" a="1"/>
  <c r="T778" i="7" s="1"/>
  <c r="T1999" i="7" a="1"/>
  <c r="T1999" i="7" s="1"/>
  <c r="T265" i="7" a="1"/>
  <c r="T265" i="7" s="1"/>
  <c r="T348" i="7" a="1"/>
  <c r="T348" i="7" s="1"/>
  <c r="T1715" i="7" a="1"/>
  <c r="T1715" i="7" s="1"/>
  <c r="T624" i="7" a="1"/>
  <c r="T624" i="7" s="1"/>
  <c r="T1053" i="7" a="1"/>
  <c r="T1053" i="7" s="1"/>
  <c r="T1837" i="7" a="1"/>
  <c r="T1837" i="7" s="1"/>
  <c r="T27" i="7" a="1"/>
  <c r="T27" i="7" s="1"/>
  <c r="T1483" i="7" a="1"/>
  <c r="T1483" i="7" s="1"/>
  <c r="T1445" i="7" a="1"/>
  <c r="T1445" i="7" s="1"/>
  <c r="T1836" i="7" a="1"/>
  <c r="T1836" i="7" s="1"/>
  <c r="T9" i="7" a="1"/>
  <c r="T9" i="7" s="1"/>
  <c r="T1968" i="7" a="1"/>
  <c r="T1968" i="7" s="1"/>
  <c r="T1858" i="7" a="1"/>
  <c r="T1858" i="7" s="1"/>
  <c r="T1160" i="7" a="1"/>
  <c r="T1160" i="7" s="1"/>
  <c r="T1669" i="7" a="1"/>
  <c r="T1669" i="7" s="1"/>
  <c r="T1254" i="7" a="1"/>
  <c r="T1254" i="7" s="1"/>
  <c r="T1633" i="7" a="1"/>
  <c r="T1633" i="7" s="1"/>
  <c r="T960" i="7" a="1"/>
  <c r="T960" i="7" s="1"/>
  <c r="T1992" i="7" a="1"/>
  <c r="T1992" i="7" s="1"/>
  <c r="T1314" i="7" a="1"/>
  <c r="T1314" i="7" s="1"/>
  <c r="T1500" i="7" a="1"/>
  <c r="T1500" i="7" s="1"/>
  <c r="T1991" i="7" a="1"/>
  <c r="T1991" i="7" s="1"/>
  <c r="T1705" i="7" a="1"/>
  <c r="T1705" i="7" s="1"/>
  <c r="T1532" i="7" a="1"/>
  <c r="T1532" i="7" s="1"/>
  <c r="T1693" i="7" a="1"/>
  <c r="T1693" i="7" s="1"/>
  <c r="S250" i="7"/>
  <c r="T1466" i="7" a="1"/>
  <c r="T1466" i="7" s="1"/>
  <c r="T324" i="7" a="1"/>
  <c r="T324" i="7" s="1"/>
  <c r="T272" i="7" a="1"/>
  <c r="T272" i="7" s="1"/>
  <c r="S1949" i="7"/>
  <c r="T848" i="7" a="1"/>
  <c r="T848" i="7" s="1"/>
  <c r="T1683" i="7" a="1"/>
  <c r="T1683" i="7" s="1"/>
  <c r="T1377" i="7" a="1"/>
  <c r="T1377" i="7" s="1"/>
  <c r="T967" i="7" a="1"/>
  <c r="T967" i="7" s="1"/>
  <c r="T979" i="7" a="1"/>
  <c r="T979" i="7" s="1"/>
  <c r="T1912" i="7" a="1"/>
  <c r="T1912" i="7" s="1"/>
  <c r="T1291" i="7" a="1"/>
  <c r="T1291" i="7" s="1"/>
  <c r="T1948" i="7" a="1"/>
  <c r="T1948" i="7" s="1"/>
  <c r="T457" i="7" a="1"/>
  <c r="T457" i="7" s="1"/>
  <c r="S1973" i="7"/>
  <c r="T1571" i="7" a="1"/>
  <c r="T1571" i="7" s="1"/>
  <c r="T1891" i="7" a="1"/>
  <c r="T1891" i="7" s="1"/>
  <c r="T734" i="7" a="1"/>
  <c r="T734" i="7" s="1"/>
  <c r="T1710" i="7" a="1"/>
  <c r="T1710" i="7" s="1"/>
  <c r="T1734" i="7" a="1"/>
  <c r="T1734" i="7" s="1"/>
  <c r="T1883" i="7" a="1"/>
  <c r="T1883" i="7" s="1"/>
  <c r="T1534" i="7" a="1"/>
  <c r="T1534" i="7" s="1"/>
  <c r="T1961" i="7" a="1"/>
  <c r="T1961" i="7" s="1"/>
  <c r="T931" i="7" a="1"/>
  <c r="T931" i="7" s="1"/>
  <c r="T956" i="7" a="1"/>
  <c r="T956" i="7" s="1"/>
  <c r="T1524" i="7" a="1"/>
  <c r="T1524" i="7" s="1"/>
  <c r="S233" i="7"/>
  <c r="T233" i="7" a="1"/>
  <c r="T233" i="7" s="1"/>
  <c r="S1877" i="7"/>
  <c r="T1877" i="7" a="1"/>
  <c r="T1877" i="7" s="1"/>
  <c r="S384" i="7"/>
  <c r="T384" i="7" a="1"/>
  <c r="T384" i="7" s="1"/>
  <c r="S440" i="7"/>
  <c r="T440" i="7" a="1"/>
  <c r="T440" i="7" s="1"/>
  <c r="S1282" i="7"/>
  <c r="T1282" i="7" a="1"/>
  <c r="T1282" i="7" s="1"/>
  <c r="T596" i="7" a="1"/>
  <c r="T596" i="7" s="1"/>
  <c r="S1022" i="7"/>
  <c r="T1022" i="7" a="1"/>
  <c r="T1022" i="7" s="1"/>
  <c r="S1047" i="7"/>
  <c r="T1047" i="7" a="1"/>
  <c r="T1047" i="7" s="1"/>
  <c r="S409" i="7"/>
  <c r="T409" i="7" a="1"/>
  <c r="T409" i="7" s="1"/>
  <c r="S1485" i="7"/>
  <c r="T1485" i="7" a="1"/>
  <c r="T1485" i="7" s="1"/>
  <c r="S1431" i="7"/>
  <c r="T1431" i="7" a="1"/>
  <c r="T1431" i="7" s="1"/>
  <c r="S1032" i="7"/>
  <c r="T1032" i="7" a="1"/>
  <c r="T1032" i="7" s="1"/>
  <c r="S1581" i="7"/>
  <c r="T1581" i="7" a="1"/>
  <c r="T1581" i="7" s="1"/>
  <c r="S1371" i="7"/>
  <c r="T1371" i="7" a="1"/>
  <c r="T1371" i="7" s="1"/>
  <c r="T950" i="7" a="1"/>
  <c r="T950" i="7" s="1"/>
  <c r="S559" i="7"/>
  <c r="T559" i="7" a="1"/>
  <c r="T559" i="7" s="1"/>
  <c r="S1818" i="7"/>
  <c r="T1818" i="7" a="1"/>
  <c r="T1818" i="7" s="1"/>
  <c r="S1904" i="7"/>
  <c r="T1904" i="7" a="1"/>
  <c r="T1904" i="7" s="1"/>
  <c r="S1769" i="7"/>
  <c r="T1769" i="7" a="1"/>
  <c r="T1769" i="7" s="1"/>
  <c r="S864" i="7"/>
  <c r="T864" i="7" a="1"/>
  <c r="T864" i="7" s="1"/>
  <c r="S1509" i="7"/>
  <c r="T1509" i="7" a="1"/>
  <c r="T1509" i="7" s="1"/>
  <c r="T314" i="7" a="1"/>
  <c r="T314" i="7" s="1"/>
  <c r="S1691" i="7"/>
  <c r="T1691" i="7" a="1"/>
  <c r="T1691" i="7" s="1"/>
  <c r="S841" i="7"/>
  <c r="T841" i="7" a="1"/>
  <c r="T841" i="7" s="1"/>
  <c r="S1913" i="7"/>
  <c r="T1913" i="7" a="1"/>
  <c r="T1913" i="7" s="1"/>
  <c r="T44" i="7" a="1"/>
  <c r="T44" i="7" s="1"/>
  <c r="S1997" i="7"/>
  <c r="T1997" i="7" a="1"/>
  <c r="T1997" i="7" s="1"/>
  <c r="S1937" i="7"/>
  <c r="T1937" i="7" a="1"/>
  <c r="T1937" i="7" s="1"/>
  <c r="T1455" i="7" a="1"/>
  <c r="T1455" i="7" s="1"/>
  <c r="S547" i="7"/>
  <c r="T547" i="7" a="1"/>
  <c r="T547" i="7" s="1"/>
  <c r="S1859" i="7"/>
  <c r="T1859" i="7" a="1"/>
  <c r="T1859" i="7" s="1"/>
  <c r="S1721" i="7"/>
  <c r="T1721" i="7" a="1"/>
  <c r="T1721" i="7" s="1"/>
  <c r="T250" i="7" a="1"/>
  <c r="T250" i="7" s="1"/>
  <c r="S376" i="7"/>
  <c r="T376" i="7" a="1"/>
  <c r="T376" i="7" s="1"/>
  <c r="S1865" i="7"/>
  <c r="T1865" i="7" a="1"/>
  <c r="T1865" i="7" s="1"/>
  <c r="S167" i="7"/>
  <c r="T167" i="7" a="1"/>
  <c r="T167" i="7" s="1"/>
  <c r="S791" i="7"/>
  <c r="T791" i="7" a="1"/>
  <c r="T791" i="7" s="1"/>
  <c r="T1949" i="7" a="1"/>
  <c r="T1949" i="7" s="1"/>
  <c r="T95" i="7" a="1"/>
  <c r="T95" i="7" s="1"/>
  <c r="T434" i="7" a="1"/>
  <c r="T434" i="7" s="1"/>
  <c r="T644" i="7" a="1"/>
  <c r="T644" i="7" s="1"/>
  <c r="T680" i="7" a="1"/>
  <c r="T680" i="7" s="1"/>
  <c r="S1678" i="7"/>
  <c r="T1678" i="7" a="1"/>
  <c r="T1678" i="7" s="1"/>
  <c r="S1728" i="7"/>
  <c r="T1728" i="7" a="1"/>
  <c r="T1728" i="7" s="1"/>
  <c r="T1973" i="7" a="1"/>
  <c r="T1973" i="7" s="1"/>
  <c r="Q1319" i="7"/>
  <c r="R1319" i="7" s="1"/>
  <c r="T1319" i="7" s="1" a="1"/>
  <c r="T1319" i="7" s="1"/>
  <c r="Q860" i="7"/>
  <c r="R860" i="7" s="1"/>
  <c r="Q1849" i="7"/>
  <c r="R1849" i="7" s="1"/>
  <c r="T1849" i="7" s="1" a="1"/>
  <c r="T1849" i="7" s="1"/>
  <c r="Q1847" i="7"/>
  <c r="R1847" i="7" s="1"/>
  <c r="Q1299" i="7"/>
  <c r="R1299" i="7" s="1"/>
  <c r="Q1829" i="7"/>
  <c r="R1829" i="7" s="1"/>
  <c r="S1314" i="7"/>
  <c r="S1826" i="7"/>
  <c r="Q911" i="7"/>
  <c r="R911" i="7" s="1"/>
  <c r="T911" i="7" s="1" a="1"/>
  <c r="T911" i="7" s="1"/>
  <c r="Q1960" i="7"/>
  <c r="R1960" i="7" s="1"/>
  <c r="Q1831" i="7"/>
  <c r="R1831" i="7" s="1"/>
  <c r="S870" i="7"/>
  <c r="Q1132" i="7"/>
  <c r="R1132" i="7" s="1"/>
  <c r="S1844" i="7"/>
  <c r="S1988" i="7"/>
  <c r="Q908" i="7"/>
  <c r="R908" i="7" s="1"/>
  <c r="Q1919" i="7"/>
  <c r="R1919" i="7" s="1"/>
  <c r="Q1942" i="7"/>
  <c r="R1942" i="7" s="1"/>
  <c r="Q1733" i="7"/>
  <c r="R1733" i="7" s="1"/>
  <c r="Q1895" i="7"/>
  <c r="R1895" i="7" s="1"/>
  <c r="Q1735" i="7"/>
  <c r="R1735" i="7" s="1"/>
  <c r="Q1575" i="7"/>
  <c r="R1575" i="7" s="1"/>
  <c r="T1575" i="7" s="1" a="1"/>
  <c r="T1575" i="7" s="1"/>
  <c r="S1396" i="7"/>
  <c r="S1962" i="7"/>
  <c r="S1952" i="7"/>
  <c r="S1776" i="7"/>
  <c r="S1635" i="7"/>
  <c r="Q1127" i="7"/>
  <c r="R1127" i="7" s="1"/>
  <c r="Q1972" i="7"/>
  <c r="R1972" i="7" s="1"/>
  <c r="Q1861" i="7"/>
  <c r="R1861" i="7" s="1"/>
  <c r="T1861" i="7" s="1" a="1"/>
  <c r="T1861" i="7" s="1"/>
  <c r="Q1799" i="7"/>
  <c r="R1799" i="7" s="1"/>
  <c r="T1799" i="7" s="1" a="1"/>
  <c r="T1799" i="7" s="1"/>
  <c r="Q1801" i="7"/>
  <c r="R1801" i="7" s="1"/>
  <c r="T1801" i="7" s="1" a="1"/>
  <c r="T1801" i="7" s="1"/>
  <c r="Q1732" i="7"/>
  <c r="R1732" i="7" s="1"/>
  <c r="Q1684" i="7"/>
  <c r="R1684" i="7" s="1"/>
  <c r="S1872" i="7"/>
  <c r="Q1811" i="7"/>
  <c r="R1811" i="7" s="1"/>
  <c r="Q1967" i="7"/>
  <c r="R1967" i="7" s="1"/>
  <c r="Q1439" i="7"/>
  <c r="R1439" i="7" s="1"/>
  <c r="T1439" i="7" s="1" a="1"/>
  <c r="T1439" i="7" s="1"/>
  <c r="Q1756" i="7"/>
  <c r="R1756" i="7" s="1"/>
  <c r="Q1697" i="7"/>
  <c r="R1697" i="7" s="1"/>
  <c r="T1697" i="7" s="1" a="1"/>
  <c r="T1697" i="7" s="1"/>
  <c r="Q1322" i="7"/>
  <c r="R1322" i="7" s="1"/>
  <c r="T1322" i="7" s="1" a="1"/>
  <c r="T1322" i="7" s="1"/>
  <c r="S1664" i="7"/>
  <c r="Q1781" i="7"/>
  <c r="R1781" i="7" s="1"/>
  <c r="Q1885" i="7"/>
  <c r="R1885" i="7" s="1"/>
  <c r="Q1813" i="7"/>
  <c r="R1813" i="7" s="1"/>
  <c r="T1813" i="7" s="1" a="1"/>
  <c r="T1813" i="7" s="1"/>
  <c r="Q1461" i="7"/>
  <c r="R1461" i="7" s="1"/>
  <c r="T1461" i="7" s="1" a="1"/>
  <c r="T1461" i="7" s="1"/>
  <c r="Q1985" i="7"/>
  <c r="R1985" i="7" s="1"/>
  <c r="T1985" i="7" s="1" a="1"/>
  <c r="T1985" i="7" s="1"/>
  <c r="Q1855" i="7"/>
  <c r="R1855" i="7" s="1"/>
  <c r="T1855" i="7" s="1" a="1"/>
  <c r="T1855" i="7" s="1"/>
  <c r="S1601" i="7"/>
  <c r="Q1598" i="7"/>
  <c r="R1598" i="7" s="1"/>
  <c r="Q1557" i="7"/>
  <c r="R1557" i="7" s="1"/>
  <c r="T1557" i="7" s="1" a="1"/>
  <c r="T1557" i="7" s="1"/>
  <c r="Q1526" i="7"/>
  <c r="R1526" i="7" s="1"/>
  <c r="T1526" i="7" s="1" a="1"/>
  <c r="T1526" i="7" s="1"/>
  <c r="S1891" i="7"/>
  <c r="Q1347" i="7"/>
  <c r="R1347" i="7" s="1"/>
  <c r="Q1900" i="7"/>
  <c r="R1900" i="7" s="1"/>
  <c r="T1900" i="7" s="1" a="1"/>
  <c r="T1900" i="7" s="1"/>
  <c r="Q1751" i="7"/>
  <c r="R1751" i="7" s="1"/>
  <c r="T1751" i="7" s="1" a="1"/>
  <c r="T1751" i="7" s="1"/>
  <c r="Q1918" i="7"/>
  <c r="R1918" i="7" s="1"/>
  <c r="T1918" i="7" s="1" a="1"/>
  <c r="T1918" i="7" s="1"/>
  <c r="Q1873" i="7"/>
  <c r="R1873" i="7" s="1"/>
  <c r="T1873" i="7" s="1" a="1"/>
  <c r="T1873" i="7" s="1"/>
  <c r="Q1714" i="7"/>
  <c r="R1714" i="7" s="1"/>
  <c r="T1714" i="7" s="1" a="1"/>
  <c r="T1714" i="7" s="1"/>
  <c r="S1596" i="7"/>
  <c r="Q1993" i="7"/>
  <c r="R1993" i="7" s="1"/>
  <c r="T1993" i="7" s="1" a="1"/>
  <c r="T1993" i="7" s="1"/>
  <c r="Q1957" i="7"/>
  <c r="R1957" i="7" s="1"/>
  <c r="T1957" i="7" s="1" a="1"/>
  <c r="T1957" i="7" s="1"/>
  <c r="Q1925" i="7"/>
  <c r="R1925" i="7" s="1"/>
  <c r="Q1894" i="7"/>
  <c r="R1894" i="7" s="1"/>
  <c r="S1879" i="7"/>
  <c r="Q1870" i="7"/>
  <c r="R1870" i="7" s="1"/>
  <c r="Q1825" i="7"/>
  <c r="R1825" i="7" s="1"/>
  <c r="T1825" i="7" s="1" a="1"/>
  <c r="T1825" i="7" s="1"/>
  <c r="Q1810" i="7"/>
  <c r="R1810" i="7" s="1"/>
  <c r="Q1777" i="7"/>
  <c r="R1777" i="7" s="1"/>
  <c r="T1777" i="7" s="1" a="1"/>
  <c r="T1777" i="7" s="1"/>
  <c r="Q1559" i="7"/>
  <c r="R1559" i="7" s="1"/>
  <c r="T1559" i="7" s="1" a="1"/>
  <c r="T1559" i="7" s="1"/>
  <c r="Q1389" i="7"/>
  <c r="R1389" i="7" s="1"/>
  <c r="S1878" i="7"/>
  <c r="Q1771" i="7"/>
  <c r="R1771" i="7" s="1"/>
  <c r="T1771" i="7" s="1" a="1"/>
  <c r="T1771" i="7" s="1"/>
  <c r="Q1966" i="7"/>
  <c r="R1966" i="7" s="1"/>
  <c r="T1966" i="7" s="1" a="1"/>
  <c r="T1966" i="7" s="1"/>
  <c r="Q1882" i="7"/>
  <c r="R1882" i="7" s="1"/>
  <c r="Q1951" i="7"/>
  <c r="R1951" i="7" s="1"/>
  <c r="T1951" i="7" s="1" a="1"/>
  <c r="T1951" i="7" s="1"/>
  <c r="Q1793" i="7"/>
  <c r="R1793" i="7" s="1"/>
  <c r="T1793" i="7" s="1" a="1"/>
  <c r="T1793" i="7" s="1"/>
  <c r="Q1463" i="7"/>
  <c r="R1463" i="7" s="1"/>
  <c r="T1463" i="7" s="1" a="1"/>
  <c r="T1463" i="7" s="1"/>
  <c r="Q1903" i="7"/>
  <c r="R1903" i="7" s="1"/>
  <c r="T1903" i="7" s="1" a="1"/>
  <c r="T1903" i="7" s="1"/>
  <c r="Q1901" i="7"/>
  <c r="R1901" i="7" s="1"/>
  <c r="T1901" i="7" s="1" a="1"/>
  <c r="T1901" i="7" s="1"/>
  <c r="S1862" i="7"/>
  <c r="Q1496" i="7"/>
  <c r="R1496" i="7" s="1"/>
  <c r="T1496" i="7" s="1" a="1"/>
  <c r="T1496" i="7" s="1"/>
  <c r="Q1355" i="7"/>
  <c r="R1355" i="7" s="1"/>
  <c r="T1355" i="7" s="1" a="1"/>
  <c r="T1355" i="7" s="1"/>
  <c r="Q1451" i="7"/>
  <c r="R1451" i="7" s="1"/>
  <c r="T1451" i="7" s="1" a="1"/>
  <c r="T1451" i="7" s="1"/>
  <c r="Q1816" i="7"/>
  <c r="R1816" i="7" s="1"/>
  <c r="Q1281" i="7"/>
  <c r="R1281" i="7" s="1"/>
  <c r="Q1984" i="7"/>
  <c r="R1984" i="7" s="1"/>
  <c r="T1984" i="7" s="1" a="1"/>
  <c r="T1984" i="7" s="1"/>
  <c r="Q1943" i="7"/>
  <c r="R1943" i="7" s="1"/>
  <c r="Q1915" i="7"/>
  <c r="R1915" i="7" s="1"/>
  <c r="T1915" i="7" s="1" a="1"/>
  <c r="T1915" i="7" s="1"/>
  <c r="S1908" i="7"/>
  <c r="Q1867" i="7"/>
  <c r="R1867" i="7" s="1"/>
  <c r="T1867" i="7" s="1" a="1"/>
  <c r="T1867" i="7" s="1"/>
  <c r="Q1852" i="7"/>
  <c r="R1852" i="7" s="1"/>
  <c r="T1852" i="7" s="1" a="1"/>
  <c r="T1852" i="7" s="1"/>
  <c r="S1812" i="7"/>
  <c r="Q1807" i="7"/>
  <c r="R1807" i="7" s="1"/>
  <c r="T1807" i="7" s="1" a="1"/>
  <c r="T1807" i="7" s="1"/>
  <c r="Q1759" i="7"/>
  <c r="R1759" i="7" s="1"/>
  <c r="T1759" i="7" s="1" a="1"/>
  <c r="T1759" i="7" s="1"/>
  <c r="Q1475" i="7"/>
  <c r="R1475" i="7" s="1"/>
  <c r="T1475" i="7" s="1" a="1"/>
  <c r="T1475" i="7" s="1"/>
  <c r="S1093" i="7"/>
  <c r="S1992" i="7"/>
  <c r="S1836" i="7"/>
  <c r="S1846" i="7"/>
  <c r="S1752" i="7"/>
  <c r="S1991" i="7"/>
  <c r="S1968" i="7"/>
  <c r="S1786" i="7"/>
  <c r="S1764" i="7"/>
  <c r="S1542" i="7"/>
  <c r="Q263" i="7"/>
  <c r="R263" i="7" s="1"/>
  <c r="Q1797" i="7"/>
  <c r="R1797" i="7" s="1"/>
  <c r="Q1851" i="7"/>
  <c r="R1851" i="7" s="1"/>
  <c r="Q769" i="7"/>
  <c r="R769" i="7" s="1"/>
  <c r="Q727" i="7"/>
  <c r="R727" i="7" s="1"/>
  <c r="T727" i="7" s="1" a="1"/>
  <c r="T727" i="7" s="1"/>
  <c r="Q696" i="7"/>
  <c r="R696" i="7" s="1"/>
  <c r="T696" i="7" s="1" a="1"/>
  <c r="T696" i="7" s="1"/>
  <c r="Q412" i="7"/>
  <c r="R412" i="7" s="1"/>
  <c r="T412" i="7" s="1" a="1"/>
  <c r="T412" i="7" s="1"/>
  <c r="Q1069" i="7"/>
  <c r="R1069" i="7" s="1"/>
  <c r="T1069" i="7" s="1" a="1"/>
  <c r="T1069" i="7" s="1"/>
  <c r="Q100" i="7"/>
  <c r="R100" i="7" s="1"/>
  <c r="Q125" i="7"/>
  <c r="R125" i="7" s="1"/>
  <c r="T125" i="7" s="1" a="1"/>
  <c r="T125" i="7" s="1"/>
  <c r="Q438" i="7"/>
  <c r="R438" i="7" s="1"/>
  <c r="T438" i="7" s="1" a="1"/>
  <c r="T438" i="7" s="1"/>
  <c r="Q998" i="7"/>
  <c r="R998" i="7" s="1"/>
  <c r="Q1211" i="7"/>
  <c r="R1211" i="7" s="1"/>
  <c r="T1211" i="7" s="1" a="1"/>
  <c r="T1211" i="7" s="1"/>
  <c r="Q1564" i="7"/>
  <c r="R1564" i="7" s="1"/>
  <c r="Q1692" i="7"/>
  <c r="R1692" i="7" s="1"/>
  <c r="T1692" i="7" s="1" a="1"/>
  <c r="T1692" i="7" s="1"/>
  <c r="Q1889" i="7"/>
  <c r="R1889" i="7" s="1"/>
  <c r="T1889" i="7" s="1" a="1"/>
  <c r="T1889" i="7" s="1"/>
  <c r="S1338" i="7"/>
  <c r="S1720" i="7"/>
  <c r="S1427" i="7"/>
  <c r="Q1287" i="7"/>
  <c r="R1287" i="7" s="1"/>
  <c r="T1287" i="7" s="1" a="1"/>
  <c r="T1287" i="7" s="1"/>
  <c r="S960" i="7"/>
  <c r="S1175" i="7"/>
  <c r="S1876" i="7"/>
  <c r="S1858" i="7"/>
  <c r="S1840" i="7"/>
  <c r="S1823" i="7"/>
  <c r="S1699" i="7"/>
  <c r="S1523" i="7"/>
  <c r="S1323" i="7"/>
  <c r="S1999" i="7"/>
  <c r="S1987" i="7"/>
  <c r="S1975" i="7"/>
  <c r="S1963" i="7"/>
  <c r="S1939" i="7"/>
  <c r="S1927" i="7"/>
  <c r="Q1843" i="7"/>
  <c r="R1843" i="7" s="1"/>
  <c r="T1843" i="7" s="1" a="1"/>
  <c r="T1843" i="7" s="1"/>
  <c r="S867" i="7"/>
  <c r="Q765" i="7"/>
  <c r="R765" i="7" s="1"/>
  <c r="T765" i="7" s="1" a="1"/>
  <c r="T765" i="7" s="1"/>
  <c r="Q1498" i="7"/>
  <c r="R1498" i="7" s="1"/>
  <c r="Q1612" i="7"/>
  <c r="R1612" i="7" s="1"/>
  <c r="T1612" i="7" s="1" a="1"/>
  <c r="T1612" i="7" s="1"/>
  <c r="Q759" i="7"/>
  <c r="R759" i="7" s="1"/>
  <c r="Q866" i="7"/>
  <c r="R866" i="7" s="1"/>
  <c r="Q1110" i="7"/>
  <c r="R1110" i="7" s="1"/>
  <c r="T1110" i="7" s="1" a="1"/>
  <c r="T1110" i="7" s="1"/>
  <c r="Q24" i="7"/>
  <c r="R24" i="7" s="1"/>
  <c r="Q293" i="7"/>
  <c r="R293" i="7" s="1"/>
  <c r="T293" i="7" s="1" a="1"/>
  <c r="T293" i="7" s="1"/>
  <c r="Q1310" i="7"/>
  <c r="R1310" i="7" s="1"/>
  <c r="T1310" i="7" s="1" a="1"/>
  <c r="T1310" i="7" s="1"/>
  <c r="Q71" i="7"/>
  <c r="R71" i="7" s="1"/>
  <c r="Q701" i="7"/>
  <c r="R701" i="7" s="1"/>
  <c r="T701" i="7" s="1" a="1"/>
  <c r="T701" i="7" s="1"/>
  <c r="Q814" i="7"/>
  <c r="R814" i="7" s="1"/>
  <c r="T814" i="7" s="1" a="1"/>
  <c r="T814" i="7" s="1"/>
  <c r="Q937" i="7"/>
  <c r="R937" i="7" s="1"/>
  <c r="T937" i="7" s="1" a="1"/>
  <c r="T937" i="7" s="1"/>
  <c r="Q460" i="7"/>
  <c r="R460" i="7" s="1"/>
  <c r="T460" i="7" s="1" a="1"/>
  <c r="T460" i="7" s="1"/>
  <c r="Q679" i="7"/>
  <c r="R679" i="7" s="1"/>
  <c r="T679" i="7" s="1" a="1"/>
  <c r="T679" i="7" s="1"/>
  <c r="Q546" i="7"/>
  <c r="R546" i="7" s="1"/>
  <c r="T546" i="7" s="1" a="1"/>
  <c r="T546" i="7" s="1"/>
  <c r="Q1302" i="7"/>
  <c r="R1302" i="7" s="1"/>
  <c r="T1302" i="7" s="1" a="1"/>
  <c r="T1302" i="7" s="1"/>
  <c r="Q503" i="7"/>
  <c r="R503" i="7" s="1"/>
  <c r="Q972" i="7"/>
  <c r="R972" i="7" s="1"/>
  <c r="Q1442" i="7"/>
  <c r="R1442" i="7" s="1"/>
  <c r="Q495" i="7"/>
  <c r="R495" i="7" s="1"/>
  <c r="T495" i="7" s="1" a="1"/>
  <c r="T495" i="7" s="1"/>
  <c r="Q459" i="7"/>
  <c r="R459" i="7" s="1"/>
  <c r="T459" i="7" s="1" a="1"/>
  <c r="T459" i="7" s="1"/>
  <c r="Q231" i="7"/>
  <c r="R231" i="7" s="1"/>
  <c r="T231" i="7" s="1" a="1"/>
  <c r="T231" i="7" s="1"/>
  <c r="Q1917" i="7"/>
  <c r="R1917" i="7" s="1"/>
  <c r="T1917" i="7" s="1" a="1"/>
  <c r="T1917" i="7" s="1"/>
  <c r="Q703" i="7"/>
  <c r="R703" i="7" s="1"/>
  <c r="T703" i="7" s="1" a="1"/>
  <c r="T703" i="7" s="1"/>
  <c r="Q1367" i="7"/>
  <c r="R1367" i="7" s="1"/>
  <c r="T1367" i="7" s="1" a="1"/>
  <c r="T1367" i="7" s="1"/>
  <c r="Q453" i="7"/>
  <c r="R453" i="7" s="1"/>
  <c r="T453" i="7" s="1" a="1"/>
  <c r="T453" i="7" s="1"/>
  <c r="Q1403" i="7"/>
  <c r="R1403" i="7" s="1"/>
  <c r="Q344" i="7"/>
  <c r="R344" i="7" s="1"/>
  <c r="T344" i="7" s="1" a="1"/>
  <c r="T344" i="7" s="1"/>
  <c r="Q545" i="7"/>
  <c r="R545" i="7" s="1"/>
  <c r="Q647" i="7"/>
  <c r="R647" i="7" s="1"/>
  <c r="Q163" i="7"/>
  <c r="R163" i="7" s="1"/>
  <c r="T163" i="7" s="1" a="1"/>
  <c r="T163" i="7" s="1"/>
  <c r="Q335" i="7"/>
  <c r="R335" i="7" s="1"/>
  <c r="Q1519" i="7"/>
  <c r="R1519" i="7" s="1"/>
  <c r="T1519" i="7" s="1" a="1"/>
  <c r="T1519" i="7" s="1"/>
  <c r="Q1742" i="7"/>
  <c r="R1742" i="7" s="1"/>
  <c r="Q1956" i="7"/>
  <c r="R1956" i="7" s="1"/>
  <c r="T1956" i="7" s="1" a="1"/>
  <c r="T1956" i="7" s="1"/>
  <c r="Q38" i="7"/>
  <c r="R38" i="7" s="1"/>
  <c r="T38" i="7" s="1" a="1"/>
  <c r="T38" i="7" s="1"/>
  <c r="Q489" i="7"/>
  <c r="R489" i="7" s="1"/>
  <c r="Q588" i="7"/>
  <c r="R588" i="7" s="1"/>
  <c r="Q1686" i="7"/>
  <c r="R1686" i="7" s="1"/>
  <c r="T1686" i="7" s="1" a="1"/>
  <c r="T1686" i="7" s="1"/>
  <c r="Q683" i="7"/>
  <c r="R683" i="7" s="1"/>
  <c r="Q1465" i="7"/>
  <c r="R1465" i="7" s="1"/>
  <c r="T1465" i="7" s="1" a="1"/>
  <c r="T1465" i="7" s="1"/>
  <c r="Q1808" i="7"/>
  <c r="R1808" i="7" s="1"/>
  <c r="Q1406" i="7"/>
  <c r="R1406" i="7" s="1"/>
  <c r="Q394" i="7"/>
  <c r="R394" i="7" s="1"/>
  <c r="T394" i="7" s="1" a="1"/>
  <c r="T394" i="7" s="1"/>
  <c r="Q1112" i="7"/>
  <c r="R1112" i="7" s="1"/>
  <c r="T1112" i="7" s="1" a="1"/>
  <c r="T1112" i="7" s="1"/>
  <c r="Q726" i="7"/>
  <c r="R726" i="7" s="1"/>
  <c r="T726" i="7" s="1" a="1"/>
  <c r="T726" i="7" s="1"/>
  <c r="Q1508" i="7"/>
  <c r="R1508" i="7" s="1"/>
  <c r="T1508" i="7" s="1" a="1"/>
  <c r="T1508" i="7" s="1"/>
  <c r="Q1677" i="7"/>
  <c r="R1677" i="7" s="1"/>
  <c r="T1677" i="7" s="1" a="1"/>
  <c r="T1677" i="7" s="1"/>
  <c r="Q852" i="7"/>
  <c r="R852" i="7" s="1"/>
  <c r="T852" i="7" s="1" a="1"/>
  <c r="T852" i="7" s="1"/>
  <c r="Q603" i="7"/>
  <c r="R603" i="7" s="1"/>
  <c r="T603" i="7" s="1" a="1"/>
  <c r="T603" i="7" s="1"/>
  <c r="Q1054" i="7"/>
  <c r="R1054" i="7" s="1"/>
  <c r="T1054" i="7" s="1" a="1"/>
  <c r="T1054" i="7" s="1"/>
  <c r="Q635" i="7"/>
  <c r="R635" i="7" s="1"/>
  <c r="T635" i="7" s="1" a="1"/>
  <c r="T635" i="7" s="1"/>
  <c r="S1965" i="7"/>
  <c r="S1912" i="7"/>
  <c r="S1690" i="7"/>
  <c r="Q1723" i="7"/>
  <c r="R1723" i="7" s="1"/>
  <c r="T1723" i="7" s="1" a="1"/>
  <c r="T1723" i="7" s="1"/>
  <c r="S1307" i="7"/>
  <c r="Q708" i="7"/>
  <c r="R708" i="7" s="1"/>
  <c r="T708" i="7" s="1" a="1"/>
  <c r="T708" i="7" s="1"/>
  <c r="Q1037" i="7"/>
  <c r="R1037" i="7" s="1"/>
  <c r="Q1986" i="7"/>
  <c r="R1986" i="7" s="1"/>
  <c r="Q50" i="7"/>
  <c r="R50" i="7" s="1"/>
  <c r="T50" i="7" s="1" a="1"/>
  <c r="T50" i="7" s="1"/>
  <c r="Q772" i="7"/>
  <c r="R772" i="7" s="1"/>
  <c r="Q188" i="7"/>
  <c r="R188" i="7" s="1"/>
  <c r="T188" i="7" s="1" a="1"/>
  <c r="T188" i="7" s="1"/>
  <c r="Q1257" i="7"/>
  <c r="R1257" i="7" s="1"/>
  <c r="Q397" i="7"/>
  <c r="R397" i="7" s="1"/>
  <c r="T397" i="7" s="1" a="1"/>
  <c r="T397" i="7" s="1"/>
  <c r="Q755" i="7"/>
  <c r="R755" i="7" s="1"/>
  <c r="T755" i="7" s="1" a="1"/>
  <c r="T755" i="7" s="1"/>
  <c r="Q1479" i="7"/>
  <c r="R1479" i="7" s="1"/>
  <c r="T1479" i="7" s="1" a="1"/>
  <c r="T1479" i="7" s="1"/>
  <c r="Q10" i="7"/>
  <c r="R10" i="7" s="1"/>
  <c r="T10" i="7" s="1" a="1"/>
  <c r="T10" i="7" s="1"/>
  <c r="Q46" i="7"/>
  <c r="R46" i="7" s="1"/>
  <c r="T46" i="7" s="1" a="1"/>
  <c r="T46" i="7" s="1"/>
  <c r="Q1030" i="7"/>
  <c r="R1030" i="7" s="1"/>
  <c r="Q449" i="7"/>
  <c r="R449" i="7" s="1"/>
  <c r="T449" i="7" s="1" a="1"/>
  <c r="T449" i="7" s="1"/>
  <c r="Q1998" i="7"/>
  <c r="R1998" i="7" s="1"/>
  <c r="Q109" i="7"/>
  <c r="R109" i="7" s="1"/>
  <c r="Q431" i="7"/>
  <c r="R431" i="7" s="1"/>
  <c r="Q744" i="7"/>
  <c r="R744" i="7" s="1"/>
  <c r="T744" i="7" s="1" a="1"/>
  <c r="T744" i="7" s="1"/>
  <c r="Q948" i="7"/>
  <c r="R948" i="7" s="1"/>
  <c r="Q1628" i="7"/>
  <c r="R1628" i="7" s="1"/>
  <c r="T1628" i="7" s="1" a="1"/>
  <c r="T1628" i="7" s="1"/>
  <c r="Q1152" i="7"/>
  <c r="R1152" i="7" s="1"/>
  <c r="T1152" i="7" s="1" a="1"/>
  <c r="T1152" i="7" s="1"/>
  <c r="Q1405" i="7"/>
  <c r="R1405" i="7" s="1"/>
  <c r="T1405" i="7" s="1" a="1"/>
  <c r="T1405" i="7" s="1"/>
  <c r="Q1934" i="7"/>
  <c r="R1934" i="7" s="1"/>
  <c r="Q18" i="7"/>
  <c r="R18" i="7" s="1"/>
  <c r="T18" i="7" s="1" a="1"/>
  <c r="T18" i="7" s="1"/>
  <c r="Q783" i="7"/>
  <c r="R783" i="7" s="1"/>
  <c r="Q153" i="7"/>
  <c r="R153" i="7" s="1"/>
  <c r="T153" i="7" s="1" a="1"/>
  <c r="T153" i="7" s="1"/>
  <c r="Q425" i="7"/>
  <c r="R425" i="7" s="1"/>
  <c r="Q1116" i="7"/>
  <c r="R1116" i="7" s="1"/>
  <c r="T1116" i="7" s="1" a="1"/>
  <c r="T1116" i="7" s="1"/>
  <c r="Q583" i="7"/>
  <c r="R583" i="7" s="1"/>
  <c r="T583" i="7" s="1" a="1"/>
  <c r="T583" i="7" s="1"/>
  <c r="Q1066" i="7"/>
  <c r="R1066" i="7" s="1"/>
  <c r="Q978" i="7"/>
  <c r="R978" i="7" s="1"/>
  <c r="T978" i="7" s="1" a="1"/>
  <c r="T978" i="7" s="1"/>
  <c r="Q894" i="7"/>
  <c r="R894" i="7" s="1"/>
  <c r="T894" i="7" s="1" a="1"/>
  <c r="T894" i="7" s="1"/>
  <c r="Q467" i="7"/>
  <c r="R467" i="7" s="1"/>
  <c r="Q1075" i="7"/>
  <c r="R1075" i="7" s="1"/>
  <c r="T1075" i="7" s="1" a="1"/>
  <c r="T1075" i="7" s="1"/>
  <c r="Q832" i="7"/>
  <c r="R832" i="7" s="1"/>
  <c r="Q1694" i="7"/>
  <c r="R1694" i="7" s="1"/>
  <c r="T1694" i="7" s="1" a="1"/>
  <c r="T1694" i="7" s="1"/>
  <c r="Q105" i="7"/>
  <c r="R105" i="7" s="1"/>
  <c r="Q420" i="7"/>
  <c r="R420" i="7" s="1"/>
  <c r="T420" i="7" s="1" a="1"/>
  <c r="T420" i="7" s="1"/>
  <c r="Q1770" i="7"/>
  <c r="R1770" i="7" s="1"/>
  <c r="T1770" i="7" s="1" a="1"/>
  <c r="T1770" i="7" s="1"/>
  <c r="Q1727" i="7"/>
  <c r="R1727" i="7" s="1"/>
  <c r="Q25" i="7"/>
  <c r="R25" i="7" s="1"/>
  <c r="Q854" i="7"/>
  <c r="R854" i="7" s="1"/>
  <c r="T854" i="7" s="1" a="1"/>
  <c r="T854" i="7" s="1"/>
  <c r="Q1804" i="7"/>
  <c r="R1804" i="7" s="1"/>
  <c r="Q139" i="7"/>
  <c r="R139" i="7" s="1"/>
  <c r="T139" i="7" s="1" a="1"/>
  <c r="T139" i="7" s="1"/>
  <c r="Q795" i="7"/>
  <c r="R795" i="7" s="1"/>
  <c r="T795" i="7" s="1" a="1"/>
  <c r="T795" i="7" s="1"/>
  <c r="Q994" i="7"/>
  <c r="R994" i="7" s="1"/>
  <c r="T994" i="7" s="1" a="1"/>
  <c r="T994" i="7" s="1"/>
  <c r="Q1013" i="7"/>
  <c r="R1013" i="7" s="1"/>
  <c r="T1013" i="7" s="1" a="1"/>
  <c r="T1013" i="7" s="1"/>
  <c r="Q77" i="7"/>
  <c r="R77" i="7" s="1"/>
  <c r="T77" i="7" s="1" a="1"/>
  <c r="T77" i="7" s="1"/>
  <c r="Q230" i="7"/>
  <c r="R230" i="7" s="1"/>
  <c r="T230" i="7" s="1" a="1"/>
  <c r="T230" i="7" s="1"/>
  <c r="Q1240" i="7"/>
  <c r="R1240" i="7" s="1"/>
  <c r="T1240" i="7" s="1" a="1"/>
  <c r="T1240" i="7" s="1"/>
  <c r="S1795" i="7"/>
  <c r="S1780" i="7"/>
  <c r="S1701" i="7"/>
  <c r="Q474" i="7"/>
  <c r="R474" i="7" s="1"/>
  <c r="T474" i="7" s="1" a="1"/>
  <c r="T474" i="7" s="1"/>
  <c r="Q892" i="7"/>
  <c r="R892" i="7" s="1"/>
  <c r="T892" i="7" s="1" a="1"/>
  <c r="T892" i="7" s="1"/>
  <c r="Q1388" i="7"/>
  <c r="R1388" i="7" s="1"/>
  <c r="T1388" i="7" s="1" a="1"/>
  <c r="T1388" i="7" s="1"/>
  <c r="Q1869" i="7"/>
  <c r="R1869" i="7" s="1"/>
  <c r="Q539" i="7"/>
  <c r="R539" i="7" s="1"/>
  <c r="T539" i="7" s="1" a="1"/>
  <c r="T539" i="7" s="1"/>
  <c r="Q1477" i="7"/>
  <c r="R1477" i="7" s="1"/>
  <c r="T1477" i="7" s="1" a="1"/>
  <c r="T1477" i="7" s="1"/>
  <c r="Q1186" i="7"/>
  <c r="R1186" i="7" s="1"/>
  <c r="T1186" i="7" s="1" a="1"/>
  <c r="T1186" i="7" s="1"/>
  <c r="Q1311" i="7"/>
  <c r="R1311" i="7" s="1"/>
  <c r="T1311" i="7" s="1" a="1"/>
  <c r="T1311" i="7" s="1"/>
  <c r="Q1702" i="7"/>
  <c r="R1702" i="7" s="1"/>
  <c r="Q110" i="7"/>
  <c r="R110" i="7" s="1"/>
  <c r="Q1639" i="7"/>
  <c r="R1639" i="7" s="1"/>
  <c r="T1639" i="7" s="1" a="1"/>
  <c r="T1639" i="7" s="1"/>
  <c r="Q330" i="7"/>
  <c r="R330" i="7" s="1"/>
  <c r="T330" i="7" s="1" a="1"/>
  <c r="T330" i="7" s="1"/>
  <c r="Q247" i="7"/>
  <c r="R247" i="7" s="1"/>
  <c r="T247" i="7" s="1" a="1"/>
  <c r="T247" i="7" s="1"/>
  <c r="Q1360" i="7"/>
  <c r="R1360" i="7" s="1"/>
  <c r="T1360" i="7" s="1" a="1"/>
  <c r="T1360" i="7" s="1"/>
  <c r="Q484" i="7"/>
  <c r="R484" i="7" s="1"/>
  <c r="T484" i="7" s="1" a="1"/>
  <c r="T484" i="7" s="1"/>
  <c r="Q1123" i="7"/>
  <c r="R1123" i="7" s="1"/>
  <c r="Q1369" i="7"/>
  <c r="R1369" i="7" s="1"/>
  <c r="T1369" i="7" s="1" a="1"/>
  <c r="T1369" i="7" s="1"/>
  <c r="Q1453" i="7"/>
  <c r="R1453" i="7" s="1"/>
  <c r="T1453" i="7" s="1" a="1"/>
  <c r="T1453" i="7" s="1"/>
  <c r="Q243" i="7"/>
  <c r="R243" i="7" s="1"/>
  <c r="T243" i="7" s="1" a="1"/>
  <c r="T243" i="7" s="1"/>
  <c r="Q1296" i="7"/>
  <c r="R1296" i="7" s="1"/>
  <c r="T1296" i="7" s="1" a="1"/>
  <c r="T1296" i="7" s="1"/>
  <c r="Q1490" i="7"/>
  <c r="R1490" i="7" s="1"/>
  <c r="T1490" i="7" s="1" a="1"/>
  <c r="T1490" i="7" s="1"/>
  <c r="Q760" i="7"/>
  <c r="R760" i="7" s="1"/>
  <c r="T760" i="7" s="1" a="1"/>
  <c r="T760" i="7" s="1"/>
  <c r="Q1049" i="7"/>
  <c r="R1049" i="7" s="1"/>
  <c r="Q1662" i="7"/>
  <c r="R1662" i="7" s="1"/>
  <c r="Q1928" i="7"/>
  <c r="R1928" i="7" s="1"/>
  <c r="T1928" i="7" s="1" a="1"/>
  <c r="T1928" i="7" s="1"/>
  <c r="Q1103" i="7"/>
  <c r="R1103" i="7" s="1"/>
  <c r="Q1517" i="7"/>
  <c r="R1517" i="7" s="1"/>
  <c r="T1517" i="7" s="1" a="1"/>
  <c r="T1517" i="7" s="1"/>
  <c r="Q1104" i="7"/>
  <c r="R1104" i="7" s="1"/>
  <c r="Q190" i="7"/>
  <c r="R190" i="7" s="1"/>
  <c r="T190" i="7" s="1" a="1"/>
  <c r="T190" i="7" s="1"/>
  <c r="Q515" i="7"/>
  <c r="R515" i="7" s="1"/>
  <c r="Q1074" i="7"/>
  <c r="R1074" i="7" s="1"/>
  <c r="T1074" i="7" s="1" a="1"/>
  <c r="T1074" i="7" s="1"/>
  <c r="Q1750" i="7"/>
  <c r="R1750" i="7" s="1"/>
  <c r="Q133" i="7"/>
  <c r="R133" i="7" s="1"/>
  <c r="T133" i="7" s="1" a="1"/>
  <c r="T133" i="7" s="1"/>
  <c r="Q1003" i="7"/>
  <c r="R1003" i="7" s="1"/>
  <c r="T1003" i="7" s="1" a="1"/>
  <c r="T1003" i="7" s="1"/>
  <c r="Q1098" i="7"/>
  <c r="R1098" i="7" s="1"/>
  <c r="Q1592" i="7"/>
  <c r="R1592" i="7" s="1"/>
  <c r="Q132" i="7"/>
  <c r="R132" i="7" s="1"/>
  <c r="T132" i="7" s="1" a="1"/>
  <c r="T132" i="7" s="1"/>
  <c r="Q273" i="7"/>
  <c r="R273" i="7" s="1"/>
  <c r="Q568" i="7"/>
  <c r="R568" i="7" s="1"/>
  <c r="Q737" i="7"/>
  <c r="R737" i="7" s="1"/>
  <c r="T737" i="7" s="1" a="1"/>
  <c r="T737" i="7" s="1"/>
  <c r="Q1292" i="7"/>
  <c r="R1292" i="7" s="1"/>
  <c r="T1292" i="7" s="1" a="1"/>
  <c r="T1292" i="7" s="1"/>
  <c r="Q342" i="7"/>
  <c r="R342" i="7" s="1"/>
  <c r="Q774" i="7"/>
  <c r="R774" i="7" s="1"/>
  <c r="T774" i="7" s="1" a="1"/>
  <c r="T774" i="7" s="1"/>
  <c r="Q594" i="7"/>
  <c r="R594" i="7" s="1"/>
  <c r="T594" i="7" s="1" a="1"/>
  <c r="T594" i="7" s="1"/>
  <c r="Q11" i="7"/>
  <c r="R11" i="7" s="1"/>
  <c r="Q302" i="7"/>
  <c r="R302" i="7" s="1"/>
  <c r="T302" i="7" s="1" a="1"/>
  <c r="T302" i="7" s="1"/>
  <c r="Q1057" i="7"/>
  <c r="R1057" i="7" s="1"/>
  <c r="T1057" i="7" s="1" a="1"/>
  <c r="T1057" i="7" s="1"/>
  <c r="Q1011" i="7"/>
  <c r="R1011" i="7" s="1"/>
  <c r="T1011" i="7" s="1" a="1"/>
  <c r="T1011" i="7" s="1"/>
  <c r="Q924" i="7"/>
  <c r="R924" i="7" s="1"/>
  <c r="T924" i="7" s="1" a="1"/>
  <c r="T924" i="7" s="1"/>
  <c r="Q1611" i="7"/>
  <c r="R1611" i="7" s="1"/>
  <c r="T1611" i="7" s="1" a="1"/>
  <c r="T1611" i="7" s="1"/>
  <c r="Q1760" i="7"/>
  <c r="R1760" i="7" s="1"/>
  <c r="Q253" i="7"/>
  <c r="R253" i="7" s="1"/>
  <c r="Q491" i="7"/>
  <c r="R491" i="7" s="1"/>
  <c r="T491" i="7" s="1" a="1"/>
  <c r="T491" i="7" s="1"/>
  <c r="Q1138" i="7"/>
  <c r="R1138" i="7" s="1"/>
  <c r="T1138" i="7" s="1" a="1"/>
  <c r="T1138" i="7" s="1"/>
  <c r="Q251" i="7"/>
  <c r="R251" i="7" s="1"/>
  <c r="T251" i="7" s="1" a="1"/>
  <c r="T251" i="7" s="1"/>
  <c r="Q1464" i="7"/>
  <c r="R1464" i="7" s="1"/>
  <c r="T1464" i="7" s="1" a="1"/>
  <c r="T1464" i="7" s="1"/>
  <c r="Q413" i="7"/>
  <c r="R413" i="7" s="1"/>
  <c r="T413" i="7" s="1" a="1"/>
  <c r="T413" i="7" s="1"/>
  <c r="Q1097" i="7"/>
  <c r="R1097" i="7" s="1"/>
  <c r="Q1824" i="7"/>
  <c r="R1824" i="7" s="1"/>
  <c r="T1824" i="7" s="1" a="1"/>
  <c r="T1824" i="7" s="1"/>
  <c r="Q1353" i="7"/>
  <c r="R1353" i="7" s="1"/>
  <c r="Q297" i="7"/>
  <c r="R297" i="7" s="1"/>
  <c r="T297" i="7" s="1" a="1"/>
  <c r="T297" i="7" s="1"/>
  <c r="Q1070" i="7"/>
  <c r="R1070" i="7" s="1"/>
  <c r="T1070" i="7" s="1" a="1"/>
  <c r="T1070" i="7" s="1"/>
  <c r="Q955" i="7"/>
  <c r="R955" i="7" s="1"/>
  <c r="T955" i="7" s="1" a="1"/>
  <c r="T955" i="7" s="1"/>
  <c r="Q1739" i="7"/>
  <c r="R1739" i="7" s="1"/>
  <c r="T1739" i="7" s="1" a="1"/>
  <c r="T1739" i="7" s="1"/>
  <c r="Q472" i="7"/>
  <c r="R472" i="7" s="1"/>
  <c r="T472" i="7" s="1" a="1"/>
  <c r="T472" i="7" s="1"/>
  <c r="Q1000" i="7"/>
  <c r="R1000" i="7" s="1"/>
  <c r="T1000" i="7" s="1" a="1"/>
  <c r="T1000" i="7" s="1"/>
  <c r="Q1064" i="7"/>
  <c r="R1064" i="7" s="1"/>
  <c r="Q1384" i="7"/>
  <c r="R1384" i="7" s="1"/>
  <c r="T1384" i="7" s="1" a="1"/>
  <c r="T1384" i="7" s="1"/>
  <c r="Q1379" i="7"/>
  <c r="R1379" i="7" s="1"/>
  <c r="T1379" i="7" s="1" a="1"/>
  <c r="T1379" i="7" s="1"/>
  <c r="Q86" i="7"/>
  <c r="R86" i="7" s="1"/>
  <c r="T86" i="7" s="1" a="1"/>
  <c r="T86" i="7" s="1"/>
  <c r="Q1224" i="7"/>
  <c r="R1224" i="7" s="1"/>
  <c r="T1224" i="7" s="1" a="1"/>
  <c r="T1224" i="7" s="1"/>
  <c r="Q383" i="7"/>
  <c r="R383" i="7" s="1"/>
  <c r="Q982" i="7"/>
  <c r="R982" i="7" s="1"/>
  <c r="T982" i="7" s="1" a="1"/>
  <c r="T982" i="7" s="1"/>
  <c r="Q790" i="7"/>
  <c r="R790" i="7" s="1"/>
  <c r="Q1228" i="7"/>
  <c r="R1228" i="7" s="1"/>
  <c r="T1228" i="7" s="1" a="1"/>
  <c r="T1228" i="7" s="1"/>
  <c r="Q270" i="7"/>
  <c r="R270" i="7" s="1"/>
  <c r="T270" i="7" s="1" a="1"/>
  <c r="T270" i="7" s="1"/>
  <c r="Q504" i="7"/>
  <c r="R504" i="7" s="1"/>
  <c r="Q1845" i="7"/>
  <c r="R1845" i="7" s="1"/>
  <c r="Q1358" i="7"/>
  <c r="R1358" i="7" s="1"/>
  <c r="T1358" i="7" s="1" a="1"/>
  <c r="T1358" i="7" s="1"/>
  <c r="Q575" i="7"/>
  <c r="R575" i="7" s="1"/>
  <c r="T575" i="7" s="1" a="1"/>
  <c r="T575" i="7" s="1"/>
  <c r="Q1682" i="7"/>
  <c r="R1682" i="7" s="1"/>
  <c r="T1682" i="7" s="1" a="1"/>
  <c r="T1682" i="7" s="1"/>
  <c r="Q306" i="7"/>
  <c r="R306" i="7" s="1"/>
  <c r="Q108" i="7"/>
  <c r="R108" i="7" s="1"/>
  <c r="Q1737" i="7"/>
  <c r="R1737" i="7" s="1"/>
  <c r="Q215" i="7"/>
  <c r="R215" i="7" s="1"/>
  <c r="T215" i="7" s="1" a="1"/>
  <c r="T215" i="7" s="1"/>
  <c r="Q332" i="7"/>
  <c r="R332" i="7" s="1"/>
  <c r="Q904" i="7"/>
  <c r="R904" i="7" s="1"/>
  <c r="T904" i="7" s="1" a="1"/>
  <c r="T904" i="7" s="1"/>
  <c r="Q1158" i="7"/>
  <c r="R1158" i="7" s="1"/>
  <c r="T1158" i="7" s="1" a="1"/>
  <c r="T1158" i="7" s="1"/>
  <c r="Q1111" i="7"/>
  <c r="R1111" i="7" s="1"/>
  <c r="T1111" i="7" s="1" a="1"/>
  <c r="T1111" i="7" s="1"/>
  <c r="Q1522" i="7"/>
  <c r="R1522" i="7" s="1"/>
  <c r="T1522" i="7" s="1" a="1"/>
  <c r="T1522" i="7" s="1"/>
  <c r="Q305" i="7"/>
  <c r="R305" i="7" s="1"/>
  <c r="T305" i="7" s="1" a="1"/>
  <c r="T305" i="7" s="1"/>
  <c r="Q551" i="7"/>
  <c r="R551" i="7" s="1"/>
  <c r="Q714" i="7"/>
  <c r="R714" i="7" s="1"/>
  <c r="T714" i="7" s="1" a="1"/>
  <c r="T714" i="7" s="1"/>
  <c r="Q940" i="7"/>
  <c r="R940" i="7" s="1"/>
  <c r="Q211" i="7"/>
  <c r="R211" i="7" s="1"/>
  <c r="Q118" i="7"/>
  <c r="R118" i="7" s="1"/>
  <c r="Q82" i="7"/>
  <c r="R82" i="7" s="1"/>
  <c r="T82" i="7" s="1" a="1"/>
  <c r="T82" i="7" s="1"/>
  <c r="Q445" i="7"/>
  <c r="R445" i="7" s="1"/>
  <c r="Q1704" i="7"/>
  <c r="R1704" i="7" s="1"/>
  <c r="T1704" i="7" s="1" a="1"/>
  <c r="T1704" i="7" s="1"/>
  <c r="Q874" i="7"/>
  <c r="R874" i="7" s="1"/>
  <c r="Q1326" i="7"/>
  <c r="R1326" i="7" s="1"/>
  <c r="T1326" i="7" s="1" a="1"/>
  <c r="T1326" i="7" s="1"/>
  <c r="Q54" i="7"/>
  <c r="R54" i="7" s="1"/>
  <c r="Q357" i="7"/>
  <c r="R357" i="7" s="1"/>
  <c r="Q1359" i="7"/>
  <c r="R1359" i="7" s="1"/>
  <c r="Q98" i="7"/>
  <c r="R98" i="7" s="1"/>
  <c r="T98" i="7" s="1" a="1"/>
  <c r="T98" i="7" s="1"/>
  <c r="Q720" i="7"/>
  <c r="R720" i="7" s="1"/>
  <c r="T720" i="7" s="1" a="1"/>
  <c r="T720" i="7" s="1"/>
  <c r="Q101" i="7"/>
  <c r="R101" i="7" s="1"/>
  <c r="T101" i="7" s="1" a="1"/>
  <c r="T101" i="7" s="1"/>
  <c r="Q1614" i="7"/>
  <c r="R1614" i="7" s="1"/>
  <c r="T1614" i="7" s="1" a="1"/>
  <c r="T1614" i="7" s="1"/>
  <c r="Q1887" i="7"/>
  <c r="R1887" i="7" s="1"/>
  <c r="Q685" i="7"/>
  <c r="R685" i="7" s="1"/>
  <c r="T685" i="7" s="1" a="1"/>
  <c r="T685" i="7" s="1"/>
  <c r="Q1411" i="7"/>
  <c r="R1411" i="7" s="1"/>
  <c r="T1411" i="7" s="1" a="1"/>
  <c r="T1411" i="7" s="1"/>
  <c r="Q625" i="7"/>
  <c r="R625" i="7" s="1"/>
  <c r="T625" i="7" s="1" a="1"/>
  <c r="T625" i="7" s="1"/>
  <c r="Q1091" i="7"/>
  <c r="R1091" i="7" s="1"/>
  <c r="T1091" i="7" s="1" a="1"/>
  <c r="T1091" i="7" s="1"/>
  <c r="Q1295" i="7"/>
  <c r="R1295" i="7" s="1"/>
  <c r="Q584" i="7"/>
  <c r="R584" i="7" s="1"/>
  <c r="Q652" i="7"/>
  <c r="R652" i="7" s="1"/>
  <c r="T652" i="7" s="1" a="1"/>
  <c r="T652" i="7" s="1"/>
  <c r="Q777" i="7"/>
  <c r="R777" i="7" s="1"/>
  <c r="T777" i="7" s="1" a="1"/>
  <c r="T777" i="7" s="1"/>
  <c r="Q1624" i="7"/>
  <c r="R1624" i="7" s="1"/>
  <c r="T1624" i="7" s="1" a="1"/>
  <c r="T1624" i="7" s="1"/>
  <c r="Q1898" i="7"/>
  <c r="R1898" i="7" s="1"/>
  <c r="Q1506" i="7"/>
  <c r="R1506" i="7" s="1"/>
  <c r="T1506" i="7" s="1" a="1"/>
  <c r="T1506" i="7" s="1"/>
  <c r="Q1630" i="7"/>
  <c r="R1630" i="7" s="1"/>
  <c r="Q1072" i="7"/>
  <c r="R1072" i="7" s="1"/>
  <c r="Q1293" i="7"/>
  <c r="R1293" i="7" s="1"/>
  <c r="T1293" i="7" s="1" a="1"/>
  <c r="T1293" i="7" s="1"/>
  <c r="Q798" i="7"/>
  <c r="R798" i="7" s="1"/>
  <c r="T798" i="7" s="1" a="1"/>
  <c r="T798" i="7" s="1"/>
  <c r="Q743" i="7"/>
  <c r="R743" i="7" s="1"/>
  <c r="T743" i="7" s="1" a="1"/>
  <c r="T743" i="7" s="1"/>
  <c r="Q544" i="7"/>
  <c r="R544" i="7" s="1"/>
  <c r="T544" i="7" s="1" a="1"/>
  <c r="T544" i="7" s="1"/>
  <c r="Q311" i="7"/>
  <c r="R311" i="7" s="1"/>
  <c r="T311" i="7" s="1" a="1"/>
  <c r="T311" i="7" s="1"/>
  <c r="Q1162" i="7"/>
  <c r="R1162" i="7" s="1"/>
  <c r="T1162" i="7" s="1" a="1"/>
  <c r="T1162" i="7" s="1"/>
  <c r="Q1868" i="7"/>
  <c r="R1868" i="7" s="1"/>
  <c r="T1868" i="7" s="1" a="1"/>
  <c r="T1868" i="7" s="1"/>
  <c r="Q168" i="7"/>
  <c r="R168" i="7" s="1"/>
  <c r="T168" i="7" s="1" a="1"/>
  <c r="T168" i="7" s="1"/>
  <c r="Q585" i="7"/>
  <c r="R585" i="7" s="1"/>
  <c r="T585" i="7" s="1" a="1"/>
  <c r="T585" i="7" s="1"/>
  <c r="Q1772" i="7"/>
  <c r="R1772" i="7" s="1"/>
  <c r="T1772" i="7" s="1" a="1"/>
  <c r="T1772" i="7" s="1"/>
  <c r="Q1082" i="7"/>
  <c r="R1082" i="7" s="1"/>
  <c r="Q1363" i="7"/>
  <c r="R1363" i="7" s="1"/>
  <c r="T1363" i="7" s="1" a="1"/>
  <c r="T1363" i="7" s="1"/>
  <c r="Q1709" i="7"/>
  <c r="R1709" i="7" s="1"/>
  <c r="T1709" i="7" s="1" a="1"/>
  <c r="T1709" i="7" s="1"/>
  <c r="Q758" i="7"/>
  <c r="R758" i="7" s="1"/>
  <c r="T758" i="7" s="1" a="1"/>
  <c r="T758" i="7" s="1"/>
  <c r="Q638" i="7"/>
  <c r="R638" i="7" s="1"/>
  <c r="Q1775" i="7"/>
  <c r="R1775" i="7" s="1"/>
  <c r="T1775" i="7" s="1" a="1"/>
  <c r="T1775" i="7" s="1"/>
  <c r="Q1768" i="7"/>
  <c r="R1768" i="7" s="1"/>
  <c r="Q1493" i="7"/>
  <c r="R1493" i="7" s="1"/>
  <c r="T1493" i="7" s="1" a="1"/>
  <c r="T1493" i="7" s="1"/>
  <c r="Q620" i="7"/>
  <c r="R620" i="7" s="1"/>
  <c r="T620" i="7" s="1" a="1"/>
  <c r="T620" i="7" s="1"/>
  <c r="Q355" i="7"/>
  <c r="R355" i="7" s="1"/>
  <c r="Q1058" i="7"/>
  <c r="R1058" i="7" s="1"/>
  <c r="Q1454" i="7"/>
  <c r="R1454" i="7" s="1"/>
  <c r="T1454" i="7" s="1" a="1"/>
  <c r="T1454" i="7" s="1"/>
  <c r="Q130" i="7"/>
  <c r="R130" i="7" s="1"/>
  <c r="Q695" i="7"/>
  <c r="R695" i="7" s="1"/>
  <c r="Q1113" i="7"/>
  <c r="R1113" i="7" s="1"/>
  <c r="T1113" i="7" s="1" a="1"/>
  <c r="T1113" i="7" s="1"/>
  <c r="Q88" i="7"/>
  <c r="R88" i="7" s="1"/>
  <c r="T88" i="7" s="1" a="1"/>
  <c r="T88" i="7" s="1"/>
  <c r="Q716" i="7"/>
  <c r="R716" i="7" s="1"/>
  <c r="Q794" i="7"/>
  <c r="R794" i="7" s="1"/>
  <c r="Q988" i="7"/>
  <c r="R988" i="7" s="1"/>
  <c r="T988" i="7" s="1" a="1"/>
  <c r="T988" i="7" s="1"/>
  <c r="Q1034" i="7"/>
  <c r="R1034" i="7" s="1"/>
  <c r="Q1941" i="7"/>
  <c r="R1941" i="7" s="1"/>
  <c r="Q980" i="7"/>
  <c r="R980" i="7" s="1"/>
  <c r="Q1788" i="7"/>
  <c r="R1788" i="7" s="1"/>
  <c r="T1788" i="7" s="1" a="1"/>
  <c r="T1788" i="7" s="1"/>
  <c r="Q30" i="7"/>
  <c r="R30" i="7" s="1"/>
  <c r="Q709" i="7"/>
  <c r="R709" i="7" s="1"/>
  <c r="T709" i="7" s="1" a="1"/>
  <c r="T709" i="7" s="1"/>
  <c r="Q1398" i="7"/>
  <c r="R1398" i="7" s="1"/>
  <c r="T1398" i="7" s="1" a="1"/>
  <c r="T1398" i="7" s="1"/>
  <c r="Q326" i="7"/>
  <c r="R326" i="7" s="1"/>
  <c r="Q1157" i="7"/>
  <c r="R1157" i="7" s="1"/>
  <c r="T1157" i="7" s="1" a="1"/>
  <c r="T1157" i="7" s="1"/>
  <c r="Q1452" i="7"/>
  <c r="R1452" i="7" s="1"/>
  <c r="S1990" i="7"/>
  <c r="S1978" i="7"/>
  <c r="S1954" i="7"/>
  <c r="S1930" i="7"/>
  <c r="S1923" i="7"/>
  <c r="S1906" i="7"/>
  <c r="S1897" i="7"/>
  <c r="S1888" i="7"/>
  <c r="S1834" i="7"/>
  <c r="S1501" i="7"/>
  <c r="S624" i="7"/>
  <c r="S202" i="7"/>
  <c r="Q40" i="7"/>
  <c r="R40" i="7" s="1"/>
  <c r="T40" i="7" s="1" a="1"/>
  <c r="T40" i="7" s="1"/>
  <c r="Q407" i="7"/>
  <c r="R407" i="7" s="1"/>
  <c r="T407" i="7" s="1" a="1"/>
  <c r="T407" i="7" s="1"/>
  <c r="Q640" i="7"/>
  <c r="R640" i="7" s="1"/>
  <c r="T640" i="7" s="1" a="1"/>
  <c r="T640" i="7" s="1"/>
  <c r="Q1236" i="7"/>
  <c r="R1236" i="7" s="1"/>
  <c r="Q471" i="7"/>
  <c r="R471" i="7" s="1"/>
  <c r="Q756" i="7"/>
  <c r="R756" i="7" s="1"/>
  <c r="T756" i="7" s="1" a="1"/>
  <c r="T756" i="7" s="1"/>
  <c r="Q993" i="7"/>
  <c r="R993" i="7" s="1"/>
  <c r="Q501" i="7"/>
  <c r="R501" i="7" s="1"/>
  <c r="T501" i="7" s="1" a="1"/>
  <c r="T501" i="7" s="1"/>
  <c r="Q989" i="7"/>
  <c r="R989" i="7" s="1"/>
  <c r="T989" i="7" s="1" a="1"/>
  <c r="T989" i="7" s="1"/>
  <c r="Q1304" i="7"/>
  <c r="R1304" i="7" s="1"/>
  <c r="Q1696" i="7"/>
  <c r="R1696" i="7" s="1"/>
  <c r="T1696" i="7" s="1" a="1"/>
  <c r="T1696" i="7" s="1"/>
  <c r="Q1976" i="7"/>
  <c r="R1976" i="7" s="1"/>
  <c r="T1976" i="7" s="1" a="1"/>
  <c r="T1976" i="7" s="1"/>
  <c r="Q136" i="7"/>
  <c r="R136" i="7" s="1"/>
  <c r="T136" i="7" s="1" a="1"/>
  <c r="T136" i="7" s="1"/>
  <c r="Q543" i="7"/>
  <c r="R543" i="7" s="1"/>
  <c r="T543" i="7" s="1" a="1"/>
  <c r="T543" i="7" s="1"/>
  <c r="Q831" i="7"/>
  <c r="R831" i="7" s="1"/>
  <c r="Q497" i="7"/>
  <c r="R497" i="7" s="1"/>
  <c r="T497" i="7" s="1" a="1"/>
  <c r="T497" i="7" s="1"/>
  <c r="Q736" i="7"/>
  <c r="R736" i="7" s="1"/>
  <c r="T736" i="7" s="1" a="1"/>
  <c r="T736" i="7" s="1"/>
  <c r="Q1273" i="7"/>
  <c r="R1273" i="7" s="1"/>
  <c r="Q1423" i="7"/>
  <c r="R1423" i="7" s="1"/>
  <c r="Q1244" i="7"/>
  <c r="R1244" i="7" s="1"/>
  <c r="T1244" i="7" s="1" a="1"/>
  <c r="T1244" i="7" s="1"/>
  <c r="Q1553" i="7"/>
  <c r="R1553" i="7" s="1"/>
  <c r="T1553" i="7" s="1" a="1"/>
  <c r="T1553" i="7" s="1"/>
  <c r="Q1579" i="7"/>
  <c r="R1579" i="7" s="1"/>
  <c r="T1579" i="7" s="1" a="1"/>
  <c r="T1579" i="7" s="1"/>
  <c r="Q1290" i="7"/>
  <c r="R1290" i="7" s="1"/>
  <c r="T1290" i="7" s="1" a="1"/>
  <c r="T1290" i="7" s="1"/>
  <c r="Q1881" i="7"/>
  <c r="R1881" i="7" s="1"/>
  <c r="Q1932" i="7"/>
  <c r="R1932" i="7" s="1"/>
  <c r="T1932" i="7" s="1" a="1"/>
  <c r="T1932" i="7" s="1"/>
  <c r="Q429" i="7"/>
  <c r="R429" i="7" s="1"/>
  <c r="T429" i="7" s="1" a="1"/>
  <c r="T429" i="7" s="1"/>
  <c r="Q705" i="7"/>
  <c r="R705" i="7" s="1"/>
  <c r="Q1588" i="7"/>
  <c r="R1588" i="7" s="1"/>
  <c r="T1588" i="7" s="1" a="1"/>
  <c r="T1588" i="7" s="1"/>
  <c r="Q1418" i="7"/>
  <c r="R1418" i="7" s="1"/>
  <c r="Q1604" i="7"/>
  <c r="R1604" i="7" s="1"/>
  <c r="S1792" i="7"/>
  <c r="S1767" i="7"/>
  <c r="S1791" i="7"/>
  <c r="Q751" i="7"/>
  <c r="R751" i="7" s="1"/>
  <c r="Q843" i="7"/>
  <c r="R843" i="7" s="1"/>
  <c r="Q488" i="7"/>
  <c r="R488" i="7" s="1"/>
  <c r="Q345" i="7"/>
  <c r="R345" i="7" s="1"/>
  <c r="Q1004" i="7"/>
  <c r="R1004" i="7" s="1"/>
  <c r="T1004" i="7" s="1" a="1"/>
  <c r="T1004" i="7" s="1"/>
  <c r="Q1833" i="7"/>
  <c r="R1833" i="7" s="1"/>
  <c r="Q131" i="7"/>
  <c r="R131" i="7" s="1"/>
  <c r="Q1033" i="7"/>
  <c r="R1033" i="7" s="1"/>
  <c r="T1033" i="7" s="1" a="1"/>
  <c r="T1033" i="7" s="1"/>
  <c r="S1708" i="7"/>
  <c r="Q15" i="7"/>
  <c r="R15" i="7" s="1"/>
  <c r="T15" i="7" s="1" a="1"/>
  <c r="T15" i="7" s="1"/>
  <c r="Q598" i="7"/>
  <c r="R598" i="7" s="1"/>
  <c r="Q1114" i="7"/>
  <c r="R1114" i="7" s="1"/>
  <c r="Q953" i="7"/>
  <c r="R953" i="7" s="1"/>
  <c r="T953" i="7" s="1" a="1"/>
  <c r="T953" i="7" s="1"/>
  <c r="Q1585" i="7"/>
  <c r="R1585" i="7" s="1"/>
  <c r="T1585" i="7" s="1" a="1"/>
  <c r="T1585" i="7" s="1"/>
  <c r="Q1572" i="7"/>
  <c r="R1572" i="7" s="1"/>
  <c r="T1572" i="7" s="1" a="1"/>
  <c r="T1572" i="7" s="1"/>
  <c r="Q1473" i="7"/>
  <c r="R1473" i="7" s="1"/>
  <c r="T1473" i="7" s="1" a="1"/>
  <c r="T1473" i="7" s="1"/>
  <c r="Q116" i="7"/>
  <c r="R116" i="7" s="1"/>
  <c r="Q1145" i="7"/>
  <c r="R1145" i="7" s="1"/>
  <c r="T1145" i="7" s="1" a="1"/>
  <c r="T1145" i="7" s="1"/>
  <c r="Q1330" i="7"/>
  <c r="R1330" i="7" s="1"/>
  <c r="T1330" i="7" s="1" a="1"/>
  <c r="T1330" i="7" s="1"/>
  <c r="Q1038" i="7"/>
  <c r="R1038" i="7" s="1"/>
  <c r="Q764" i="7"/>
  <c r="R764" i="7" s="1"/>
  <c r="Q619" i="7"/>
  <c r="R619" i="7" s="1"/>
  <c r="T619" i="7" s="1" a="1"/>
  <c r="T619" i="7" s="1"/>
  <c r="Q1088" i="7"/>
  <c r="R1088" i="7" s="1"/>
  <c r="T1088" i="7" s="1" a="1"/>
  <c r="T1088" i="7" s="1"/>
  <c r="Q1620" i="7"/>
  <c r="R1620" i="7" s="1"/>
  <c r="T1620" i="7" s="1" a="1"/>
  <c r="T1620" i="7" s="1"/>
  <c r="Q550" i="7"/>
  <c r="R550" i="7" s="1"/>
  <c r="T550" i="7" s="1" a="1"/>
  <c r="T550" i="7" s="1"/>
  <c r="Q1695" i="7"/>
  <c r="R1695" i="7" s="1"/>
  <c r="T1695" i="7" s="1" a="1"/>
  <c r="T1695" i="7" s="1"/>
  <c r="Q249" i="7"/>
  <c r="R249" i="7" s="1"/>
  <c r="T249" i="7" s="1" a="1"/>
  <c r="T249" i="7" s="1"/>
  <c r="Q1584" i="7"/>
  <c r="R1584" i="7" s="1"/>
  <c r="T1584" i="7" s="1" a="1"/>
  <c r="T1584" i="7" s="1"/>
  <c r="Q1270" i="7"/>
  <c r="R1270" i="7" s="1"/>
  <c r="T1270" i="7" s="1" a="1"/>
  <c r="T1270" i="7" s="1"/>
  <c r="Q371" i="7"/>
  <c r="R371" i="7" s="1"/>
  <c r="Q1225" i="7"/>
  <c r="R1225" i="7" s="1"/>
  <c r="T1225" i="7" s="1" a="1"/>
  <c r="T1225" i="7" s="1"/>
  <c r="Q754" i="7"/>
  <c r="R754" i="7" s="1"/>
  <c r="Q859" i="7"/>
  <c r="R859" i="7" s="1"/>
  <c r="Q1510" i="7"/>
  <c r="R1510" i="7" s="1"/>
  <c r="Q97" i="7"/>
  <c r="R97" i="7" s="1"/>
  <c r="T97" i="7" s="1" a="1"/>
  <c r="T97" i="7" s="1"/>
  <c r="Q201" i="7"/>
  <c r="R201" i="7" s="1"/>
  <c r="T201" i="7" s="1" a="1"/>
  <c r="T201" i="7" s="1"/>
  <c r="Q630" i="7"/>
  <c r="R630" i="7" s="1"/>
  <c r="T630" i="7" s="1" a="1"/>
  <c r="T630" i="7" s="1"/>
  <c r="Q1214" i="7"/>
  <c r="R1214" i="7" s="1"/>
  <c r="T1214" i="7" s="1" a="1"/>
  <c r="T1214" i="7" s="1"/>
  <c r="Q1646" i="7"/>
  <c r="R1646" i="7" s="1"/>
  <c r="T1646" i="7" s="1" a="1"/>
  <c r="T1646" i="7" s="1"/>
  <c r="Q1832" i="7"/>
  <c r="R1832" i="7" s="1"/>
  <c r="T1832" i="7" s="1" a="1"/>
  <c r="T1832" i="7" s="1"/>
  <c r="Q1309" i="7"/>
  <c r="R1309" i="7" s="1"/>
  <c r="T1309" i="7" s="1" a="1"/>
  <c r="T1309" i="7" s="1"/>
  <c r="Q1154" i="7"/>
  <c r="R1154" i="7" s="1"/>
  <c r="T1154" i="7" s="1" a="1"/>
  <c r="T1154" i="7" s="1"/>
  <c r="Q368" i="7"/>
  <c r="R368" i="7" s="1"/>
  <c r="Q1958" i="7"/>
  <c r="R1958" i="7" s="1"/>
  <c r="Q149" i="7"/>
  <c r="R149" i="7" s="1"/>
  <c r="T149" i="7" s="1" a="1"/>
  <c r="T149" i="7" s="1"/>
  <c r="Q606" i="7"/>
  <c r="R606" i="7" s="1"/>
  <c r="T606" i="7" s="1" a="1"/>
  <c r="T606" i="7" s="1"/>
  <c r="Q591" i="7"/>
  <c r="R591" i="7" s="1"/>
  <c r="T591" i="7" s="1" a="1"/>
  <c r="T591" i="7" s="1"/>
  <c r="Q309" i="7"/>
  <c r="R309" i="7" s="1"/>
  <c r="Q576" i="7"/>
  <c r="R576" i="7" s="1"/>
  <c r="Q1153" i="7"/>
  <c r="R1153" i="7" s="1"/>
  <c r="Q1616" i="7"/>
  <c r="R1616" i="7" s="1"/>
  <c r="Q223" i="7"/>
  <c r="R223" i="7" s="1"/>
  <c r="T223" i="7" s="1" a="1"/>
  <c r="T223" i="7" s="1"/>
  <c r="Q969" i="7"/>
  <c r="R969" i="7" s="1"/>
  <c r="T969" i="7" s="1" a="1"/>
  <c r="T969" i="7" s="1"/>
  <c r="Q1023" i="7"/>
  <c r="R1023" i="7" s="1"/>
  <c r="Q834" i="7"/>
  <c r="R834" i="7" s="1"/>
  <c r="Q468" i="7"/>
  <c r="R468" i="7" s="1"/>
  <c r="Q899" i="7"/>
  <c r="R899" i="7" s="1"/>
  <c r="Q1798" i="7"/>
  <c r="R1798" i="7" s="1"/>
  <c r="T1798" i="7" s="1" a="1"/>
  <c r="T1798" i="7" s="1"/>
  <c r="Q819" i="7"/>
  <c r="R819" i="7" s="1"/>
  <c r="Q1238" i="7"/>
  <c r="R1238" i="7" s="1"/>
  <c r="Q1324" i="7"/>
  <c r="R1324" i="7" s="1"/>
  <c r="T1324" i="7" s="1" a="1"/>
  <c r="T1324" i="7" s="1"/>
  <c r="Q1673" i="7"/>
  <c r="R1673" i="7" s="1"/>
  <c r="T1673" i="7" s="1" a="1"/>
  <c r="T1673" i="7" s="1"/>
  <c r="Q1814" i="7"/>
  <c r="R1814" i="7" s="1"/>
  <c r="Q1800" i="7"/>
  <c r="R1800" i="7" s="1"/>
  <c r="T1800" i="7" s="1" a="1"/>
  <c r="T1800" i="7" s="1"/>
  <c r="Q1745" i="7"/>
  <c r="R1745" i="7" s="1"/>
  <c r="T1745" i="7" s="1" a="1"/>
  <c r="T1745" i="7" s="1"/>
  <c r="Q499" i="7"/>
  <c r="R499" i="7" s="1"/>
  <c r="T499" i="7" s="1" a="1"/>
  <c r="T499" i="7" s="1"/>
  <c r="Q813" i="7"/>
  <c r="R813" i="7" s="1"/>
  <c r="T813" i="7" s="1" a="1"/>
  <c r="T813" i="7" s="1"/>
  <c r="Q571" i="7"/>
  <c r="R571" i="7" s="1"/>
  <c r="Q1773" i="7"/>
  <c r="R1773" i="7" s="1"/>
  <c r="T1773" i="7" s="1" a="1"/>
  <c r="T1773" i="7" s="1"/>
  <c r="Q1856" i="7"/>
  <c r="R1856" i="7" s="1"/>
  <c r="T1856" i="7" s="1" a="1"/>
  <c r="T1856" i="7" s="1"/>
  <c r="Q558" i="7"/>
  <c r="R558" i="7" s="1"/>
  <c r="Q1518" i="7"/>
  <c r="R1518" i="7" s="1"/>
  <c r="T1518" i="7" s="1" a="1"/>
  <c r="T1518" i="7" s="1"/>
  <c r="Q1657" i="7"/>
  <c r="R1657" i="7" s="1"/>
  <c r="Q1910" i="7"/>
  <c r="R1910" i="7" s="1"/>
  <c r="Q741" i="7"/>
  <c r="R741" i="7" s="1"/>
  <c r="T741" i="7" s="1" a="1"/>
  <c r="T741" i="7" s="1"/>
  <c r="Q1181" i="7"/>
  <c r="R1181" i="7" s="1"/>
  <c r="T1181" i="7" s="1" a="1"/>
  <c r="T1181" i="7" s="1"/>
  <c r="Q254" i="7"/>
  <c r="R254" i="7" s="1"/>
  <c r="T254" i="7" s="1" a="1"/>
  <c r="T254" i="7" s="1"/>
  <c r="Q1512" i="7"/>
  <c r="R1512" i="7" s="1"/>
  <c r="T1512" i="7" s="1" a="1"/>
  <c r="T1512" i="7" s="1"/>
  <c r="Q1617" i="7"/>
  <c r="R1617" i="7" s="1"/>
  <c r="T1617" i="7" s="1" a="1"/>
  <c r="T1617" i="7" s="1"/>
  <c r="Q174" i="7"/>
  <c r="R174" i="7" s="1"/>
  <c r="Q855" i="7"/>
  <c r="R855" i="7" s="1"/>
  <c r="Q470" i="7"/>
  <c r="R470" i="7" s="1"/>
  <c r="T470" i="7" s="1" a="1"/>
  <c r="T470" i="7" s="1"/>
  <c r="Q329" i="7"/>
  <c r="R329" i="7" s="1"/>
  <c r="Q914" i="7"/>
  <c r="R914" i="7" s="1"/>
  <c r="T914" i="7" s="1" a="1"/>
  <c r="T914" i="7" s="1"/>
  <c r="Q1481" i="7"/>
  <c r="R1481" i="7" s="1"/>
  <c r="T1481" i="7" s="1" a="1"/>
  <c r="T1481" i="7" s="1"/>
  <c r="Q1738" i="7"/>
  <c r="R1738" i="7" s="1"/>
  <c r="T1738" i="7" s="1" a="1"/>
  <c r="T1738" i="7" s="1"/>
  <c r="Q178" i="7"/>
  <c r="R178" i="7" s="1"/>
  <c r="T178" i="7" s="1" a="1"/>
  <c r="T178" i="7" s="1"/>
  <c r="Q473" i="7"/>
  <c r="R473" i="7" s="1"/>
  <c r="T473" i="7" s="1" a="1"/>
  <c r="T473" i="7" s="1"/>
  <c r="Q390" i="7"/>
  <c r="R390" i="7" s="1"/>
  <c r="T390" i="7" s="1" a="1"/>
  <c r="T390" i="7" s="1"/>
  <c r="Q498" i="7"/>
  <c r="R498" i="7" s="1"/>
  <c r="Q197" i="7"/>
  <c r="R197" i="7" s="1"/>
  <c r="T197" i="7" s="1" a="1"/>
  <c r="T197" i="7" s="1"/>
  <c r="Q893" i="7"/>
  <c r="R893" i="7" s="1"/>
  <c r="Q1165" i="7"/>
  <c r="R1165" i="7" s="1"/>
  <c r="Q1535" i="7"/>
  <c r="R1535" i="7" s="1"/>
  <c r="T1535" i="7" s="1" a="1"/>
  <c r="T1535" i="7" s="1"/>
  <c r="Q442" i="7"/>
  <c r="R442" i="7" s="1"/>
  <c r="Q1177" i="7"/>
  <c r="R1177" i="7" s="1"/>
  <c r="Q1430" i="7"/>
  <c r="R1430" i="7" s="1"/>
  <c r="Q1718" i="7"/>
  <c r="R1718" i="7" s="1"/>
  <c r="T1718" i="7" s="1" a="1"/>
  <c r="T1718" i="7" s="1"/>
  <c r="Q483" i="7"/>
  <c r="R483" i="7" s="1"/>
  <c r="T483" i="7" s="1" a="1"/>
  <c r="T483" i="7" s="1"/>
  <c r="Q799" i="7"/>
  <c r="R799" i="7" s="1"/>
  <c r="Q888" i="7"/>
  <c r="R888" i="7" s="1"/>
  <c r="T888" i="7" s="1" a="1"/>
  <c r="T888" i="7" s="1"/>
  <c r="Q1590" i="7"/>
  <c r="R1590" i="7" s="1"/>
  <c r="T1590" i="7" s="1" a="1"/>
  <c r="T1590" i="7" s="1"/>
  <c r="Q186" i="7"/>
  <c r="R186" i="7" s="1"/>
  <c r="Q185" i="7"/>
  <c r="R185" i="7" s="1"/>
  <c r="T185" i="7" s="1" a="1"/>
  <c r="T185" i="7" s="1"/>
  <c r="Q1203" i="7"/>
  <c r="R1203" i="7" s="1"/>
  <c r="T1203" i="7" s="1" a="1"/>
  <c r="T1203" i="7" s="1"/>
  <c r="Q1458" i="7"/>
  <c r="R1458" i="7" s="1"/>
  <c r="Q1402" i="7"/>
  <c r="R1402" i="7" s="1"/>
  <c r="T1402" i="7" s="1" a="1"/>
  <c r="T1402" i="7" s="1"/>
  <c r="Q203" i="7"/>
  <c r="R203" i="7" s="1"/>
  <c r="Q1618" i="7"/>
  <c r="R1618" i="7" s="1"/>
  <c r="Q1577" i="7"/>
  <c r="R1577" i="7" s="1"/>
  <c r="T1577" i="7" s="1" a="1"/>
  <c r="T1577" i="7" s="1"/>
  <c r="Q191" i="7"/>
  <c r="R191" i="7" s="1"/>
  <c r="Q628" i="7"/>
  <c r="R628" i="7" s="1"/>
  <c r="T628" i="7" s="1" a="1"/>
  <c r="T628" i="7" s="1"/>
  <c r="Q1086" i="7"/>
  <c r="R1086" i="7" s="1"/>
  <c r="Q443" i="7"/>
  <c r="R443" i="7" s="1"/>
  <c r="T443" i="7" s="1" a="1"/>
  <c r="T443" i="7" s="1"/>
  <c r="Q521" i="7"/>
  <c r="R521" i="7" s="1"/>
  <c r="T521" i="7" s="1" a="1"/>
  <c r="T521" i="7" s="1"/>
  <c r="Q225" i="7"/>
  <c r="R225" i="7" s="1"/>
  <c r="Q898" i="7"/>
  <c r="R898" i="7" s="1"/>
  <c r="Q1253" i="7"/>
  <c r="R1253" i="7" s="1"/>
  <c r="T1253" i="7" s="1" a="1"/>
  <c r="T1253" i="7" s="1"/>
  <c r="Q1128" i="7"/>
  <c r="R1128" i="7" s="1"/>
  <c r="Q1541" i="7"/>
  <c r="R1541" i="7" s="1"/>
  <c r="T1541" i="7" s="1" a="1"/>
  <c r="T1541" i="7" s="1"/>
  <c r="Q691" i="7"/>
  <c r="R691" i="7" s="1"/>
  <c r="T691" i="7" s="1" a="1"/>
  <c r="T691" i="7" s="1"/>
  <c r="Q1471" i="7"/>
  <c r="R1471" i="7" s="1"/>
  <c r="Q961" i="7"/>
  <c r="R961" i="7" s="1"/>
  <c r="T961" i="7" s="1" a="1"/>
  <c r="T961" i="7" s="1"/>
  <c r="Q64" i="7"/>
  <c r="R64" i="7" s="1"/>
  <c r="T64" i="7" s="1" a="1"/>
  <c r="T64" i="7" s="1"/>
  <c r="Q106" i="7"/>
  <c r="R106" i="7" s="1"/>
  <c r="T106" i="7" s="1" a="1"/>
  <c r="T106" i="7" s="1"/>
  <c r="Q354" i="7"/>
  <c r="R354" i="7" s="1"/>
  <c r="Q567" i="7"/>
  <c r="R567" i="7" s="1"/>
  <c r="T567" i="7" s="1" a="1"/>
  <c r="T567" i="7" s="1"/>
  <c r="Q220" i="7"/>
  <c r="R220" i="7" s="1"/>
  <c r="Q1785" i="7"/>
  <c r="R1785" i="7" s="1"/>
  <c r="T1785" i="7" s="1" a="1"/>
  <c r="T1785" i="7" s="1"/>
  <c r="Q294" i="7"/>
  <c r="R294" i="7" s="1"/>
  <c r="T294" i="7" s="1" a="1"/>
  <c r="T294" i="7" s="1"/>
  <c r="Q612" i="7"/>
  <c r="R612" i="7" s="1"/>
  <c r="T612" i="7" s="1" a="1"/>
  <c r="T612" i="7" s="1"/>
  <c r="Q997" i="7"/>
  <c r="R997" i="7" s="1"/>
  <c r="T997" i="7" s="1" a="1"/>
  <c r="T997" i="7" s="1"/>
  <c r="Q500" i="7"/>
  <c r="R500" i="7" s="1"/>
  <c r="T500" i="7" s="1" a="1"/>
  <c r="T500" i="7" s="1"/>
  <c r="Q925" i="7"/>
  <c r="R925" i="7" s="1"/>
  <c r="T925" i="7" s="1" a="1"/>
  <c r="T925" i="7" s="1"/>
  <c r="Q375" i="7"/>
  <c r="R375" i="7" s="1"/>
  <c r="T375" i="7" s="1" a="1"/>
  <c r="T375" i="7" s="1"/>
  <c r="Q242" i="7"/>
  <c r="R242" i="7" s="1"/>
  <c r="T242" i="7" s="1" a="1"/>
  <c r="T242" i="7" s="1"/>
  <c r="Q1345" i="7"/>
  <c r="R1345" i="7" s="1"/>
  <c r="T1345" i="7" s="1" a="1"/>
  <c r="T1345" i="7" s="1"/>
  <c r="Q1468" i="7"/>
  <c r="R1468" i="7" s="1"/>
  <c r="T1468" i="7" s="1" a="1"/>
  <c r="T1468" i="7" s="1"/>
  <c r="Q1981" i="7"/>
  <c r="R1981" i="7" s="1"/>
  <c r="T1981" i="7" s="1" a="1"/>
  <c r="T1981" i="7" s="1"/>
  <c r="Q1969" i="7"/>
  <c r="R1969" i="7" s="1"/>
  <c r="T1969" i="7" s="1" a="1"/>
  <c r="T1969" i="7" s="1"/>
  <c r="Q1933" i="7"/>
  <c r="R1933" i="7" s="1"/>
  <c r="T1933" i="7" s="1" a="1"/>
  <c r="T1933" i="7" s="1"/>
  <c r="Q1921" i="7"/>
  <c r="R1921" i="7" s="1"/>
  <c r="T1921" i="7" s="1" a="1"/>
  <c r="T1921" i="7" s="1"/>
  <c r="Q1909" i="7"/>
  <c r="R1909" i="7" s="1"/>
  <c r="T1909" i="7" s="1" a="1"/>
  <c r="T1909" i="7" s="1"/>
  <c r="Q1841" i="7"/>
  <c r="R1841" i="7" s="1"/>
  <c r="T1841" i="7" s="1" a="1"/>
  <c r="T1841" i="7" s="1"/>
  <c r="S1828" i="7"/>
  <c r="S1683" i="7"/>
  <c r="S1339" i="7"/>
  <c r="Q321" i="7"/>
  <c r="R321" i="7" s="1"/>
  <c r="T321" i="7" s="1" a="1"/>
  <c r="T321" i="7" s="1"/>
  <c r="Q411" i="7"/>
  <c r="R411" i="7" s="1"/>
  <c r="T411" i="7" s="1" a="1"/>
  <c r="T411" i="7" s="1"/>
  <c r="Q447" i="7"/>
  <c r="R447" i="7" s="1"/>
  <c r="T447" i="7" s="1" a="1"/>
  <c r="T447" i="7" s="1"/>
  <c r="Q414" i="7"/>
  <c r="R414" i="7" s="1"/>
  <c r="T414" i="7" s="1" a="1"/>
  <c r="T414" i="7" s="1"/>
  <c r="Q945" i="7"/>
  <c r="R945" i="7" s="1"/>
  <c r="T945" i="7" s="1" a="1"/>
  <c r="T945" i="7" s="1"/>
  <c r="Q1156" i="7"/>
  <c r="R1156" i="7" s="1"/>
  <c r="T1156" i="7" s="1" a="1"/>
  <c r="T1156" i="7" s="1"/>
  <c r="Q1480" i="7"/>
  <c r="R1480" i="7" s="1"/>
  <c r="Q946" i="7"/>
  <c r="R946" i="7" s="1"/>
  <c r="Q702" i="7"/>
  <c r="R702" i="7" s="1"/>
  <c r="Q1019" i="7"/>
  <c r="R1019" i="7" s="1"/>
  <c r="Q257" i="7"/>
  <c r="R257" i="7" s="1"/>
  <c r="T257" i="7" s="1" a="1"/>
  <c r="T257" i="7" s="1"/>
  <c r="Q180" i="7"/>
  <c r="R180" i="7" s="1"/>
  <c r="Q610" i="7"/>
  <c r="R610" i="7" s="1"/>
  <c r="T610" i="7" s="1" a="1"/>
  <c r="T610" i="7" s="1"/>
  <c r="Q424" i="7"/>
  <c r="R424" i="7" s="1"/>
  <c r="T424" i="7" s="1" a="1"/>
  <c r="T424" i="7" s="1"/>
  <c r="Q710" i="7"/>
  <c r="R710" i="7" s="1"/>
  <c r="T710" i="7" s="1" a="1"/>
  <c r="T710" i="7" s="1"/>
  <c r="Q1333" i="7"/>
  <c r="R1333" i="7" s="1"/>
  <c r="T1333" i="7" s="1" a="1"/>
  <c r="T1333" i="7" s="1"/>
  <c r="Q531" i="7"/>
  <c r="R531" i="7" s="1"/>
  <c r="T531" i="7" s="1" a="1"/>
  <c r="T531" i="7" s="1"/>
  <c r="Q1018" i="7"/>
  <c r="R1018" i="7" s="1"/>
  <c r="T1018" i="7" s="1" a="1"/>
  <c r="T1018" i="7" s="1"/>
  <c r="Q1754" i="7"/>
  <c r="R1754" i="7" s="1"/>
  <c r="T1754" i="7" s="1" a="1"/>
  <c r="T1754" i="7" s="1"/>
  <c r="Q2" i="7"/>
  <c r="R2" i="7" s="1"/>
  <c r="T2" i="7" s="1" a="1"/>
  <c r="T2" i="7" s="1"/>
  <c r="Q824" i="7"/>
  <c r="R824" i="7" s="1"/>
  <c r="Q281" i="7"/>
  <c r="R281" i="7" s="1"/>
  <c r="Q773" i="7"/>
  <c r="R773" i="7" s="1"/>
  <c r="Q563" i="7"/>
  <c r="R563" i="7" s="1"/>
  <c r="T563" i="7" s="1" a="1"/>
  <c r="T563" i="7" s="1"/>
  <c r="Q1892" i="7"/>
  <c r="R1892" i="7" s="1"/>
  <c r="T1892" i="7" s="1" a="1"/>
  <c r="T1892" i="7" s="1"/>
  <c r="Q730" i="7"/>
  <c r="R730" i="7" s="1"/>
  <c r="T730" i="7" s="1" a="1"/>
  <c r="T730" i="7" s="1"/>
  <c r="Q1271" i="7"/>
  <c r="R1271" i="7" s="1"/>
  <c r="T1271" i="7" s="1" a="1"/>
  <c r="T1271" i="7" s="1"/>
  <c r="Q1806" i="7"/>
  <c r="R1806" i="7" s="1"/>
  <c r="T1806" i="7" s="1" a="1"/>
  <c r="T1806" i="7" s="1"/>
  <c r="S1989" i="7"/>
  <c r="S1948" i="7"/>
  <c r="Q1340" i="7"/>
  <c r="R1340" i="7" s="1"/>
  <c r="S1762" i="7"/>
  <c r="S1715" i="7"/>
  <c r="Q1277" i="7"/>
  <c r="R1277" i="7" s="1"/>
  <c r="Q237" i="7"/>
  <c r="R237" i="7" s="1"/>
  <c r="T237" i="7" s="1" a="1"/>
  <c r="T237" i="7" s="1"/>
  <c r="Q587" i="7"/>
  <c r="R587" i="7" s="1"/>
  <c r="T587" i="7" s="1" a="1"/>
  <c r="T587" i="7" s="1"/>
  <c r="Q1399" i="7"/>
  <c r="R1399" i="7" s="1"/>
  <c r="T1399" i="7" s="1" a="1"/>
  <c r="T1399" i="7" s="1"/>
  <c r="Q228" i="7"/>
  <c r="R228" i="7" s="1"/>
  <c r="T228" i="7" s="1" a="1"/>
  <c r="T228" i="7" s="1"/>
  <c r="Q1199" i="7"/>
  <c r="R1199" i="7" s="1"/>
  <c r="T1199" i="7" s="1" a="1"/>
  <c r="T1199" i="7" s="1"/>
  <c r="Q1589" i="7"/>
  <c r="R1589" i="7" s="1"/>
  <c r="T1589" i="7" s="1" a="1"/>
  <c r="T1589" i="7" s="1"/>
  <c r="S147" i="7"/>
  <c r="Q654" i="7"/>
  <c r="R654" i="7" s="1"/>
  <c r="Q1655" i="7"/>
  <c r="R1655" i="7" s="1"/>
  <c r="T1655" i="7" s="1" a="1"/>
  <c r="T1655" i="7" s="1"/>
  <c r="Q138" i="7"/>
  <c r="R138" i="7" s="1"/>
  <c r="Q301" i="7"/>
  <c r="R301" i="7" s="1"/>
  <c r="Q1537" i="7"/>
  <c r="R1537" i="7" s="1"/>
  <c r="T1537" i="7" s="1" a="1"/>
  <c r="T1537" i="7" s="1"/>
  <c r="Q1432" i="7"/>
  <c r="R1432" i="7" s="1"/>
  <c r="T1432" i="7" s="1" a="1"/>
  <c r="T1432" i="7" s="1"/>
  <c r="Q1105" i="7"/>
  <c r="R1105" i="7" s="1"/>
  <c r="T1105" i="7" s="1" a="1"/>
  <c r="T1105" i="7" s="1"/>
  <c r="Q1316" i="7"/>
  <c r="R1316" i="7" s="1"/>
  <c r="T1316" i="7" s="1" a="1"/>
  <c r="T1316" i="7" s="1"/>
  <c r="Q1866" i="7"/>
  <c r="R1866" i="7" s="1"/>
  <c r="T1866" i="7" s="1" a="1"/>
  <c r="T1866" i="7" s="1"/>
  <c r="Q1890" i="7"/>
  <c r="R1890" i="7" s="1"/>
  <c r="T1890" i="7" s="1" a="1"/>
  <c r="T1890" i="7" s="1"/>
  <c r="Q1974" i="7"/>
  <c r="R1974" i="7" s="1"/>
  <c r="Q581" i="7"/>
  <c r="R581" i="7" s="1"/>
  <c r="Q1028" i="7"/>
  <c r="R1028" i="7" s="1"/>
  <c r="Q1530" i="7"/>
  <c r="R1530" i="7" s="1"/>
  <c r="T1530" i="7" s="1" a="1"/>
  <c r="T1530" i="7" s="1"/>
  <c r="Q1637" i="7"/>
  <c r="R1637" i="7" s="1"/>
  <c r="Q1755" i="7"/>
  <c r="R1755" i="7" s="1"/>
  <c r="Q79" i="7"/>
  <c r="R79" i="7" s="1"/>
  <c r="Q255" i="7"/>
  <c r="R255" i="7" s="1"/>
  <c r="T255" i="7" s="1" a="1"/>
  <c r="T255" i="7" s="1"/>
  <c r="Q422" i="7"/>
  <c r="R422" i="7" s="1"/>
  <c r="T422" i="7" s="1" a="1"/>
  <c r="T422" i="7" s="1"/>
  <c r="Q268" i="7"/>
  <c r="R268" i="7" s="1"/>
  <c r="T268" i="7" s="1" a="1"/>
  <c r="T268" i="7" s="1"/>
  <c r="Q1230" i="7"/>
  <c r="R1230" i="7" s="1"/>
  <c r="Q1308" i="7"/>
  <c r="R1308" i="7" s="1"/>
  <c r="T1308" i="7" s="1" a="1"/>
  <c r="T1308" i="7" s="1"/>
  <c r="Q704" i="7"/>
  <c r="R704" i="7" s="1"/>
  <c r="Q692" i="7"/>
  <c r="R692" i="7" s="1"/>
  <c r="Q433" i="7"/>
  <c r="R433" i="7" s="1"/>
  <c r="Q1176" i="7"/>
  <c r="R1176" i="7" s="1"/>
  <c r="Q909" i="7"/>
  <c r="R909" i="7" s="1"/>
  <c r="Q1317" i="7"/>
  <c r="R1317" i="7" s="1"/>
  <c r="T1317" i="7" s="1" a="1"/>
  <c r="T1317" i="7" s="1"/>
  <c r="Q1382" i="7"/>
  <c r="R1382" i="7" s="1"/>
  <c r="Q261" i="7"/>
  <c r="R261" i="7" s="1"/>
  <c r="T261" i="7" s="1" a="1"/>
  <c r="T261" i="7" s="1"/>
  <c r="Q886" i="7"/>
  <c r="R886" i="7" s="1"/>
  <c r="T886" i="7" s="1" a="1"/>
  <c r="T886" i="7" s="1"/>
  <c r="Q1374" i="7"/>
  <c r="R1374" i="7" s="1"/>
  <c r="T1374" i="7" s="1" a="1"/>
  <c r="T1374" i="7" s="1"/>
  <c r="Q1725" i="7"/>
  <c r="R1725" i="7" s="1"/>
  <c r="T1725" i="7" s="1" a="1"/>
  <c r="T1725" i="7" s="1"/>
  <c r="Q1545" i="7"/>
  <c r="R1545" i="7" s="1"/>
  <c r="Q1854" i="7"/>
  <c r="R1854" i="7" s="1"/>
  <c r="T1854" i="7" s="1" a="1"/>
  <c r="T1854" i="7" s="1"/>
  <c r="Q633" i="7"/>
  <c r="R633" i="7" s="1"/>
  <c r="Q1251" i="7"/>
  <c r="R1251" i="7" s="1"/>
  <c r="Q511" i="7"/>
  <c r="R511" i="7" s="1"/>
  <c r="Q1675" i="7"/>
  <c r="R1675" i="7" s="1"/>
  <c r="T1675" i="7" s="1" a="1"/>
  <c r="T1675" i="7" s="1"/>
  <c r="Q234" i="7"/>
  <c r="R234" i="7" s="1"/>
  <c r="T234" i="7" s="1" a="1"/>
  <c r="T234" i="7" s="1"/>
  <c r="Q602" i="7"/>
  <c r="R602" i="7" s="1"/>
  <c r="T602" i="7" s="1" a="1"/>
  <c r="T602" i="7" s="1"/>
  <c r="Q1067" i="7"/>
  <c r="R1067" i="7" s="1"/>
  <c r="T1067" i="7" s="1" a="1"/>
  <c r="T1067" i="7" s="1"/>
  <c r="Q1188" i="7"/>
  <c r="R1188" i="7" s="1"/>
  <c r="T1188" i="7" s="1" a="1"/>
  <c r="T1188" i="7" s="1"/>
  <c r="Q1344" i="7"/>
  <c r="R1344" i="7" s="1"/>
  <c r="T1344" i="7" s="1" a="1"/>
  <c r="T1344" i="7" s="1"/>
  <c r="Q68" i="7"/>
  <c r="R68" i="7" s="1"/>
  <c r="T68" i="7" s="1" a="1"/>
  <c r="T68" i="7" s="1"/>
  <c r="Q298" i="7"/>
  <c r="R298" i="7" s="1"/>
  <c r="T298" i="7" s="1" a="1"/>
  <c r="T298" i="7" s="1"/>
  <c r="Q339" i="7"/>
  <c r="R339" i="7" s="1"/>
  <c r="T339" i="7" s="1" a="1"/>
  <c r="T339" i="7" s="1"/>
  <c r="Q395" i="7"/>
  <c r="R395" i="7" s="1"/>
  <c r="T395" i="7" s="1" a="1"/>
  <c r="T395" i="7" s="1"/>
  <c r="Q452" i="7"/>
  <c r="R452" i="7" s="1"/>
  <c r="Q1195" i="7"/>
  <c r="R1195" i="7" s="1"/>
  <c r="Q1409" i="7"/>
  <c r="R1409" i="7" s="1"/>
  <c r="T1409" i="7" s="1" a="1"/>
  <c r="T1409" i="7" s="1"/>
  <c r="Q1763" i="7"/>
  <c r="R1763" i="7" s="1"/>
  <c r="S348" i="7"/>
  <c r="Q509" i="7"/>
  <c r="R509" i="7" s="1"/>
  <c r="T509" i="7" s="1" a="1"/>
  <c r="T509" i="7" s="1"/>
  <c r="Q1368" i="7"/>
  <c r="R1368" i="7" s="1"/>
  <c r="T1368" i="7" s="1" a="1"/>
  <c r="T1368" i="7" s="1"/>
  <c r="Q327" i="7"/>
  <c r="R327" i="7" s="1"/>
  <c r="T327" i="7" s="1" a="1"/>
  <c r="T327" i="7" s="1"/>
  <c r="Q260" i="7"/>
  <c r="R260" i="7" s="1"/>
  <c r="T260" i="7" s="1" a="1"/>
  <c r="T260" i="7" s="1"/>
  <c r="Q1513" i="7"/>
  <c r="R1513" i="7" s="1"/>
  <c r="Q1606" i="7"/>
  <c r="R1606" i="7" s="1"/>
  <c r="T1606" i="7" s="1" a="1"/>
  <c r="T1606" i="7" s="1"/>
  <c r="Q55" i="7"/>
  <c r="R55" i="7" s="1"/>
  <c r="T55" i="7" s="1" a="1"/>
  <c r="T55" i="7" s="1"/>
  <c r="Q267" i="7"/>
  <c r="R267" i="7" s="1"/>
  <c r="T267" i="7" s="1" a="1"/>
  <c r="T267" i="7" s="1"/>
  <c r="Q653" i="7"/>
  <c r="R653" i="7" s="1"/>
  <c r="Q825" i="7"/>
  <c r="R825" i="7" s="1"/>
  <c r="T825" i="7" s="1" a="1"/>
  <c r="T825" i="7" s="1"/>
  <c r="Q67" i="7"/>
  <c r="R67" i="7" s="1"/>
  <c r="T67" i="7" s="1" a="1"/>
  <c r="T67" i="7" s="1"/>
  <c r="Q456" i="7"/>
  <c r="R456" i="7" s="1"/>
  <c r="Q502" i="7"/>
  <c r="R502" i="7" s="1"/>
  <c r="T502" i="7" s="1" a="1"/>
  <c r="T502" i="7" s="1"/>
  <c r="Q1139" i="7"/>
  <c r="R1139" i="7" s="1"/>
  <c r="T1139" i="7" s="1" a="1"/>
  <c r="T1139" i="7" s="1"/>
  <c r="Q805" i="7"/>
  <c r="R805" i="7" s="1"/>
  <c r="Q173" i="7"/>
  <c r="R173" i="7" s="1"/>
  <c r="Q1794" i="7"/>
  <c r="R1794" i="7" s="1"/>
  <c r="T1794" i="7" s="1" a="1"/>
  <c r="T1794" i="7" s="1"/>
  <c r="Q713" i="7"/>
  <c r="R713" i="7" s="1"/>
  <c r="Q849" i="7"/>
  <c r="R849" i="7" s="1"/>
  <c r="Q17" i="7"/>
  <c r="R17" i="7" s="1"/>
  <c r="Q672" i="7"/>
  <c r="R672" i="7" s="1"/>
  <c r="T672" i="7" s="1" a="1"/>
  <c r="T672" i="7" s="1"/>
  <c r="Q1185" i="7"/>
  <c r="R1185" i="7" s="1"/>
  <c r="T1185" i="7" s="1" a="1"/>
  <c r="T1185" i="7" s="1"/>
  <c r="Q1391" i="7"/>
  <c r="R1391" i="7" s="1"/>
  <c r="T1391" i="7" s="1" a="1"/>
  <c r="T1391" i="7" s="1"/>
  <c r="Q655" i="7"/>
  <c r="R655" i="7" s="1"/>
  <c r="T655" i="7" s="1" a="1"/>
  <c r="T655" i="7" s="1"/>
  <c r="Q976" i="7"/>
  <c r="R976" i="7" s="1"/>
  <c r="Q1193" i="7"/>
  <c r="R1193" i="7" s="1"/>
  <c r="T1193" i="7" s="1" a="1"/>
  <c r="T1193" i="7" s="1"/>
  <c r="Q5" i="7"/>
  <c r="R5" i="7" s="1"/>
  <c r="T5" i="7" s="1" a="1"/>
  <c r="T5" i="7" s="1"/>
  <c r="Q971" i="7"/>
  <c r="R971" i="7" s="1"/>
  <c r="Q401" i="7"/>
  <c r="R401" i="7" s="1"/>
  <c r="T401" i="7" s="1" a="1"/>
  <c r="T401" i="7" s="1"/>
  <c r="Q693" i="7"/>
  <c r="R693" i="7" s="1"/>
  <c r="T693" i="7" s="1" a="1"/>
  <c r="T693" i="7" s="1"/>
  <c r="Q839" i="7"/>
  <c r="R839" i="7" s="1"/>
  <c r="Q1428" i="7"/>
  <c r="R1428" i="7" s="1"/>
  <c r="T1428" i="7" s="1" a="1"/>
  <c r="T1428" i="7" s="1"/>
  <c r="Q206" i="7"/>
  <c r="R206" i="7" s="1"/>
  <c r="T206" i="7" s="1" a="1"/>
  <c r="T206" i="7" s="1"/>
  <c r="Q134" i="7"/>
  <c r="R134" i="7" s="1"/>
  <c r="T134" i="7" s="1" a="1"/>
  <c r="T134" i="7" s="1"/>
  <c r="Q1408" i="7"/>
  <c r="R1408" i="7" s="1"/>
  <c r="T1408" i="7" s="1" a="1"/>
  <c r="T1408" i="7" s="1"/>
  <c r="Q873" i="7"/>
  <c r="R873" i="7" s="1"/>
  <c r="Q881" i="7"/>
  <c r="R881" i="7" s="1"/>
  <c r="Q650" i="7"/>
  <c r="R650" i="7" s="1"/>
  <c r="T650" i="7" s="1" a="1"/>
  <c r="T650" i="7" s="1"/>
  <c r="Q1536" i="7"/>
  <c r="R1536" i="7" s="1"/>
  <c r="T1536" i="7" s="1" a="1"/>
  <c r="T1536" i="7" s="1"/>
  <c r="Q1665" i="7"/>
  <c r="R1665" i="7" s="1"/>
  <c r="Q155" i="7"/>
  <c r="R155" i="7" s="1"/>
  <c r="Q520" i="7"/>
  <c r="R520" i="7" s="1"/>
  <c r="T520" i="7" s="1" a="1"/>
  <c r="T520" i="7" s="1"/>
  <c r="Q181" i="7"/>
  <c r="R181" i="7" s="1"/>
  <c r="Q983" i="7"/>
  <c r="R983" i="7" s="1"/>
  <c r="T983" i="7" s="1" a="1"/>
  <c r="T983" i="7" s="1"/>
  <c r="Q1245" i="7"/>
  <c r="R1245" i="7" s="1"/>
  <c r="T1245" i="7" s="1" a="1"/>
  <c r="T1245" i="7" s="1"/>
  <c r="Q1434" i="7"/>
  <c r="R1434" i="7" s="1"/>
  <c r="Q1558" i="7"/>
  <c r="R1558" i="7" s="1"/>
  <c r="Q1599" i="7"/>
  <c r="R1599" i="7" s="1"/>
  <c r="Q560" i="7"/>
  <c r="R560" i="7" s="1"/>
  <c r="T560" i="7" s="1" a="1"/>
  <c r="T560" i="7" s="1"/>
  <c r="Q1354" i="7"/>
  <c r="R1354" i="7" s="1"/>
  <c r="T1354" i="7" s="1" a="1"/>
  <c r="T1354" i="7" s="1"/>
  <c r="Q1504" i="7"/>
  <c r="R1504" i="7" s="1"/>
  <c r="T1504" i="7" s="1" a="1"/>
  <c r="T1504" i="7" s="1"/>
  <c r="Q1809" i="7"/>
  <c r="R1809" i="7" s="1"/>
  <c r="Q1995" i="7"/>
  <c r="R1995" i="7" s="1"/>
  <c r="Q1864" i="7"/>
  <c r="R1864" i="7" s="1"/>
  <c r="Q1783" i="7"/>
  <c r="R1783" i="7" s="1"/>
  <c r="T1783" i="7" s="1" a="1"/>
  <c r="T1783" i="7" s="1"/>
  <c r="S1736" i="7"/>
  <c r="S1703" i="7"/>
  <c r="S1605" i="7"/>
  <c r="S1426" i="7"/>
  <c r="S1400" i="7"/>
  <c r="Q84" i="7"/>
  <c r="R84" i="7" s="1"/>
  <c r="Q85" i="7"/>
  <c r="R85" i="7" s="1"/>
  <c r="T85" i="7" s="1" a="1"/>
  <c r="T85" i="7" s="1"/>
  <c r="Q204" i="7"/>
  <c r="R204" i="7" s="1"/>
  <c r="T204" i="7" s="1" a="1"/>
  <c r="T204" i="7" s="1"/>
  <c r="Q194" i="7"/>
  <c r="R194" i="7" s="1"/>
  <c r="Q615" i="7"/>
  <c r="R615" i="7" s="1"/>
  <c r="T615" i="7" s="1" a="1"/>
  <c r="T615" i="7" s="1"/>
  <c r="Q171" i="7"/>
  <c r="R171" i="7" s="1"/>
  <c r="T171" i="7" s="1" a="1"/>
  <c r="T171" i="7" s="1"/>
  <c r="Q166" i="7"/>
  <c r="R166" i="7" s="1"/>
  <c r="Q87" i="7"/>
  <c r="R87" i="7" s="1"/>
  <c r="T87" i="7" s="1" a="1"/>
  <c r="T87" i="7" s="1"/>
  <c r="Q830" i="7"/>
  <c r="R830" i="7" s="1"/>
  <c r="T830" i="7" s="1" a="1"/>
  <c r="T830" i="7" s="1"/>
  <c r="Q1041" i="7"/>
  <c r="R1041" i="7" s="1"/>
  <c r="Q1652" i="7"/>
  <c r="R1652" i="7" s="1"/>
  <c r="T1652" i="7" s="1" a="1"/>
  <c r="T1652" i="7" s="1"/>
  <c r="Q121" i="7"/>
  <c r="R121" i="7" s="1"/>
  <c r="T121" i="7" s="1" a="1"/>
  <c r="T121" i="7" s="1"/>
  <c r="Q1838" i="7"/>
  <c r="R1838" i="7" s="1"/>
  <c r="T1838" i="7" s="1" a="1"/>
  <c r="T1838" i="7" s="1"/>
  <c r="Q566" i="7"/>
  <c r="R566" i="7" s="1"/>
  <c r="T566" i="7" s="1" a="1"/>
  <c r="T566" i="7" s="1"/>
  <c r="Q634" i="7"/>
  <c r="R634" i="7" s="1"/>
  <c r="Q631" i="7"/>
  <c r="R631" i="7" s="1"/>
  <c r="T631" i="7" s="1" a="1"/>
  <c r="T631" i="7" s="1"/>
  <c r="Q788" i="7"/>
  <c r="R788" i="7" s="1"/>
  <c r="T788" i="7" s="1" a="1"/>
  <c r="T788" i="7" s="1"/>
  <c r="Q1125" i="7"/>
  <c r="R1125" i="7" s="1"/>
  <c r="T1125" i="7" s="1" a="1"/>
  <c r="T1125" i="7" s="1"/>
  <c r="Q947" i="7"/>
  <c r="R947" i="7" s="1"/>
  <c r="Q686" i="7"/>
  <c r="R686" i="7" s="1"/>
  <c r="Q725" i="7"/>
  <c r="R725" i="7" s="1"/>
  <c r="T725" i="7" s="1" a="1"/>
  <c r="T725" i="7" s="1"/>
  <c r="Q542" i="7"/>
  <c r="R542" i="7" s="1"/>
  <c r="T542" i="7" s="1" a="1"/>
  <c r="T542" i="7" s="1"/>
  <c r="Q800" i="7"/>
  <c r="R800" i="7" s="1"/>
  <c r="T800" i="7" s="1" a="1"/>
  <c r="T800" i="7" s="1"/>
  <c r="Q307" i="7"/>
  <c r="R307" i="7" s="1"/>
  <c r="Q505" i="7"/>
  <c r="R505" i="7" s="1"/>
  <c r="Q1645" i="7"/>
  <c r="R1645" i="7" s="1"/>
  <c r="Q1774" i="7"/>
  <c r="R1774" i="7" s="1"/>
  <c r="S574" i="7"/>
  <c r="Q646" i="7"/>
  <c r="R646" i="7" s="1"/>
  <c r="Q1376" i="7"/>
  <c r="R1376" i="7" s="1"/>
  <c r="Q659" i="7"/>
  <c r="R659" i="7" s="1"/>
  <c r="T659" i="7" s="1" a="1"/>
  <c r="T659" i="7" s="1"/>
  <c r="Q1151" i="7"/>
  <c r="R1151" i="7" s="1"/>
  <c r="T1151" i="7" s="1" a="1"/>
  <c r="T1151" i="7" s="1"/>
  <c r="Q916" i="7"/>
  <c r="R916" i="7" s="1"/>
  <c r="T916" i="7" s="1" a="1"/>
  <c r="T916" i="7" s="1"/>
  <c r="Q1084" i="7"/>
  <c r="R1084" i="7" s="1"/>
  <c r="T1084" i="7" s="1" a="1"/>
  <c r="T1084" i="7" s="1"/>
  <c r="Q1286" i="7"/>
  <c r="R1286" i="7" s="1"/>
  <c r="Q1796" i="7"/>
  <c r="R1796" i="7" s="1"/>
  <c r="Q1492" i="7"/>
  <c r="R1492" i="7" s="1"/>
  <c r="Q1642" i="7"/>
  <c r="R1642" i="7" s="1"/>
  <c r="T1642" i="7" s="1" a="1"/>
  <c r="T1642" i="7" s="1"/>
  <c r="Q1073" i="7"/>
  <c r="R1073" i="7" s="1"/>
  <c r="Q781" i="7"/>
  <c r="R781" i="7" s="1"/>
  <c r="Q959" i="7"/>
  <c r="R959" i="7" s="1"/>
  <c r="Q1622" i="7"/>
  <c r="R1622" i="7" s="1"/>
  <c r="Q689" i="7"/>
  <c r="R689" i="7" s="1"/>
  <c r="T689" i="7" s="1" a="1"/>
  <c r="T689" i="7" s="1"/>
  <c r="Q1190" i="7"/>
  <c r="R1190" i="7" s="1"/>
  <c r="T1190" i="7" s="1" a="1"/>
  <c r="T1190" i="7" s="1"/>
  <c r="Q818" i="7"/>
  <c r="R818" i="7" s="1"/>
  <c r="T818" i="7" s="1" a="1"/>
  <c r="T818" i="7" s="1"/>
  <c r="Q823" i="7"/>
  <c r="R823" i="7" s="1"/>
  <c r="T823" i="7" s="1" a="1"/>
  <c r="T823" i="7" s="1"/>
  <c r="Q913" i="7"/>
  <c r="R913" i="7" s="1"/>
  <c r="Q1329" i="7"/>
  <c r="R1329" i="7" s="1"/>
  <c r="Q1959" i="7"/>
  <c r="R1959" i="7" s="1"/>
  <c r="Q1766" i="7"/>
  <c r="R1766" i="7" s="1"/>
  <c r="T1766" i="7" s="1" a="1"/>
  <c r="T1766" i="7" s="1"/>
  <c r="Q1896" i="7"/>
  <c r="R1896" i="7" s="1"/>
  <c r="T1896" i="7" s="1" a="1"/>
  <c r="T1896" i="7" s="1"/>
  <c r="Q224" i="7"/>
  <c r="R224" i="7" s="1"/>
  <c r="T224" i="7" s="1" a="1"/>
  <c r="T224" i="7" s="1"/>
  <c r="Q699" i="7"/>
  <c r="R699" i="7" s="1"/>
  <c r="Q1600" i="7"/>
  <c r="R1600" i="7" s="1"/>
  <c r="Q1839" i="7"/>
  <c r="R1839" i="7" s="1"/>
  <c r="Q74" i="7"/>
  <c r="R74" i="7" s="1"/>
  <c r="T74" i="7" s="1" a="1"/>
  <c r="T74" i="7" s="1"/>
  <c r="Q879" i="7"/>
  <c r="R879" i="7" s="1"/>
  <c r="T879" i="7" s="1" a="1"/>
  <c r="T879" i="7" s="1"/>
  <c r="Q1229" i="7"/>
  <c r="R1229" i="7" s="1"/>
  <c r="T1229" i="7" s="1" a="1"/>
  <c r="T1229" i="7" s="1"/>
  <c r="Q1387" i="7"/>
  <c r="R1387" i="7" s="1"/>
  <c r="T1387" i="7" s="1" a="1"/>
  <c r="T1387" i="7" s="1"/>
  <c r="Q1730" i="7"/>
  <c r="R1730" i="7" s="1"/>
  <c r="T1730" i="7" s="1" a="1"/>
  <c r="T1730" i="7" s="1"/>
  <c r="Q1842" i="7"/>
  <c r="R1842" i="7" s="1"/>
  <c r="T1842" i="7" s="1" a="1"/>
  <c r="T1842" i="7" s="1"/>
  <c r="Q1757" i="7"/>
  <c r="R1757" i="7" s="1"/>
  <c r="Q1173" i="7"/>
  <c r="R1173" i="7" s="1"/>
  <c r="Q1222" i="7"/>
  <c r="R1222" i="7" s="1"/>
  <c r="T1222" i="7" s="1" a="1"/>
  <c r="T1222" i="7" s="1"/>
  <c r="Q238" i="7"/>
  <c r="R238" i="7" s="1"/>
  <c r="T238" i="7" s="1" a="1"/>
  <c r="T238" i="7" s="1"/>
  <c r="Q312" i="7"/>
  <c r="R312" i="7" s="1"/>
  <c r="T312" i="7" s="1" a="1"/>
  <c r="T312" i="7" s="1"/>
  <c r="Q189" i="7"/>
  <c r="R189" i="7" s="1"/>
  <c r="T189" i="7" s="1" a="1"/>
  <c r="T189" i="7" s="1"/>
  <c r="Q280" i="7"/>
  <c r="R280" i="7" s="1"/>
  <c r="T280" i="7" s="1" a="1"/>
  <c r="T280" i="7" s="1"/>
  <c r="Q663" i="7"/>
  <c r="R663" i="7" s="1"/>
  <c r="Q1425" i="7"/>
  <c r="R1425" i="7" s="1"/>
  <c r="T1425" i="7" s="1" a="1"/>
  <c r="T1425" i="7" s="1"/>
  <c r="Q48" i="7"/>
  <c r="R48" i="7" s="1"/>
  <c r="Q636" i="7"/>
  <c r="R636" i="7" s="1"/>
  <c r="T636" i="7" s="1" a="1"/>
  <c r="T636" i="7" s="1"/>
  <c r="Q1134" i="7"/>
  <c r="R1134" i="7" s="1"/>
  <c r="Q1192" i="7"/>
  <c r="R1192" i="7" s="1"/>
  <c r="T1192" i="7" s="1" a="1"/>
  <c r="T1192" i="7" s="1"/>
  <c r="Q1533" i="7"/>
  <c r="R1533" i="7" s="1"/>
  <c r="Q285" i="7"/>
  <c r="R285" i="7" s="1"/>
  <c r="Q454" i="7"/>
  <c r="R454" i="7" s="1"/>
  <c r="T454" i="7" s="1" a="1"/>
  <c r="T454" i="7" s="1"/>
  <c r="Q1578" i="7"/>
  <c r="R1578" i="7" s="1"/>
  <c r="T1578" i="7" s="1" a="1"/>
  <c r="T1578" i="7" s="1"/>
  <c r="Q785" i="7"/>
  <c r="R785" i="7" s="1"/>
  <c r="T785" i="7" s="1" a="1"/>
  <c r="T785" i="7" s="1"/>
  <c r="Q1539" i="7"/>
  <c r="R1539" i="7" s="1"/>
  <c r="T1539" i="7" s="1" a="1"/>
  <c r="T1539" i="7" s="1"/>
  <c r="S27" i="7"/>
  <c r="S1979" i="7"/>
  <c r="S1955" i="7"/>
  <c r="S1945" i="7"/>
  <c r="S1931" i="7"/>
  <c r="S1907" i="7"/>
  <c r="S1871" i="7"/>
  <c r="S1853" i="7"/>
  <c r="S1835" i="7"/>
  <c r="Q1765" i="7"/>
  <c r="R1765" i="7" s="1"/>
  <c r="T1765" i="7" s="1" a="1"/>
  <c r="T1765" i="7" s="1"/>
  <c r="Q1747" i="7"/>
  <c r="R1747" i="7" s="1"/>
  <c r="S1693" i="7"/>
  <c r="Q1595" i="7"/>
  <c r="R1595" i="7" s="1"/>
  <c r="T1595" i="7" s="1" a="1"/>
  <c r="T1595" i="7" s="1"/>
  <c r="S1531" i="7"/>
  <c r="S1365" i="7"/>
  <c r="Q837" i="7"/>
  <c r="R837" i="7" s="1"/>
  <c r="T837" i="7" s="1" a="1"/>
  <c r="T837" i="7" s="1"/>
  <c r="Q1419" i="7"/>
  <c r="R1419" i="7" s="1"/>
  <c r="Q385" i="7"/>
  <c r="R385" i="7" s="1"/>
  <c r="T385" i="7" s="1" a="1"/>
  <c r="T385" i="7" s="1"/>
  <c r="Q464" i="7"/>
  <c r="R464" i="7" s="1"/>
  <c r="T464" i="7" s="1" a="1"/>
  <c r="T464" i="7" s="1"/>
  <c r="Q1830" i="7"/>
  <c r="R1830" i="7" s="1"/>
  <c r="T1830" i="7" s="1" a="1"/>
  <c r="T1830" i="7" s="1"/>
  <c r="Q4" i="7"/>
  <c r="R4" i="7" s="1"/>
  <c r="T4" i="7" s="1" a="1"/>
  <c r="T4" i="7" s="1"/>
  <c r="Q905" i="7"/>
  <c r="R905" i="7" s="1"/>
  <c r="Q196" i="7"/>
  <c r="R196" i="7" s="1"/>
  <c r="Q450" i="7"/>
  <c r="R450" i="7" s="1"/>
  <c r="Q740" i="7"/>
  <c r="R740" i="7" s="1"/>
  <c r="T740" i="7" s="1" a="1"/>
  <c r="T740" i="7" s="1"/>
  <c r="Q347" i="7"/>
  <c r="R347" i="7" s="1"/>
  <c r="T347" i="7" s="1" a="1"/>
  <c r="T347" i="7" s="1"/>
  <c r="Q853" i="7"/>
  <c r="R853" i="7" s="1"/>
  <c r="Q1610" i="7"/>
  <c r="R1610" i="7" s="1"/>
  <c r="T1610" i="7" s="1" a="1"/>
  <c r="T1610" i="7" s="1"/>
  <c r="Q1822" i="7"/>
  <c r="R1822" i="7" s="1"/>
  <c r="S1819" i="7"/>
  <c r="S1711" i="7"/>
  <c r="S1641" i="7"/>
  <c r="S1726" i="7"/>
  <c r="S1532" i="7"/>
  <c r="S1500" i="7"/>
  <c r="Q1447" i="7"/>
  <c r="R1447" i="7" s="1"/>
  <c r="T1447" i="7" s="1" a="1"/>
  <c r="T1447" i="7" s="1"/>
  <c r="Q1613" i="7"/>
  <c r="R1613" i="7" s="1"/>
  <c r="T1613" i="7" s="1" a="1"/>
  <c r="T1613" i="7" s="1"/>
  <c r="Q1902" i="7"/>
  <c r="R1902" i="7" s="1"/>
  <c r="T1902" i="7" s="1" a="1"/>
  <c r="T1902" i="7" s="1"/>
  <c r="Q1565" i="7"/>
  <c r="R1565" i="7" s="1"/>
  <c r="T1565" i="7" s="1" a="1"/>
  <c r="T1565" i="7" s="1"/>
  <c r="Q607" i="7"/>
  <c r="R607" i="7" s="1"/>
  <c r="Q1161" i="7"/>
  <c r="R1161" i="7" s="1"/>
  <c r="T1161" i="7" s="1" a="1"/>
  <c r="T1161" i="7" s="1"/>
  <c r="Q1424" i="7"/>
  <c r="R1424" i="7" s="1"/>
  <c r="Q1298" i="7"/>
  <c r="R1298" i="7" s="1"/>
  <c r="Q32" i="7"/>
  <c r="R32" i="7" s="1"/>
  <c r="T32" i="7" s="1" a="1"/>
  <c r="T32" i="7" s="1"/>
  <c r="Q688" i="7"/>
  <c r="R688" i="7" s="1"/>
  <c r="T688" i="7" s="1" a="1"/>
  <c r="T688" i="7" s="1"/>
  <c r="Q1623" i="7"/>
  <c r="R1623" i="7" s="1"/>
  <c r="T1623" i="7" s="1" a="1"/>
  <c r="T1623" i="7" s="1"/>
  <c r="Q145" i="7"/>
  <c r="R145" i="7" s="1"/>
  <c r="T145" i="7" s="1" a="1"/>
  <c r="T145" i="7" s="1"/>
  <c r="Q1200" i="7"/>
  <c r="R1200" i="7" s="1"/>
  <c r="T1200" i="7" s="1" a="1"/>
  <c r="T1200" i="7" s="1"/>
  <c r="Q1629" i="7"/>
  <c r="R1629" i="7" s="1"/>
  <c r="T1629" i="7" s="1" a="1"/>
  <c r="T1629" i="7" s="1"/>
  <c r="Q1880" i="7"/>
  <c r="R1880" i="7" s="1"/>
  <c r="Q706" i="7"/>
  <c r="R706" i="7" s="1"/>
  <c r="T706" i="7" s="1" a="1"/>
  <c r="T706" i="7" s="1"/>
  <c r="Q637" i="7"/>
  <c r="R637" i="7" s="1"/>
  <c r="T637" i="7" s="1" a="1"/>
  <c r="T637" i="7" s="1"/>
  <c r="Q340" i="7"/>
  <c r="R340" i="7" s="1"/>
  <c r="T340" i="7" s="1" a="1"/>
  <c r="T340" i="7" s="1"/>
  <c r="Q1404" i="7"/>
  <c r="R1404" i="7" s="1"/>
  <c r="T1404" i="7" s="1" a="1"/>
  <c r="T1404" i="7" s="1"/>
  <c r="Q1412" i="7"/>
  <c r="R1412" i="7" s="1"/>
  <c r="T1412" i="7" s="1" a="1"/>
  <c r="T1412" i="7" s="1"/>
  <c r="Q115" i="7"/>
  <c r="R115" i="7" s="1"/>
  <c r="T115" i="7" s="1" a="1"/>
  <c r="T115" i="7" s="1"/>
  <c r="Q229" i="7"/>
  <c r="R229" i="7" s="1"/>
  <c r="Q811" i="7"/>
  <c r="R811" i="7" s="1"/>
  <c r="T811" i="7" s="1" a="1"/>
  <c r="T811" i="7" s="1"/>
  <c r="Q845" i="7"/>
  <c r="R845" i="7" s="1"/>
  <c r="T845" i="7" s="1" a="1"/>
  <c r="T845" i="7" s="1"/>
  <c r="Q1115" i="7"/>
  <c r="R1115" i="7" s="1"/>
  <c r="Q738" i="7"/>
  <c r="R738" i="7" s="1"/>
  <c r="T738" i="7" s="1" a="1"/>
  <c r="T738" i="7" s="1"/>
  <c r="Q1495" i="7"/>
  <c r="R1495" i="7" s="1"/>
  <c r="T1495" i="7" s="1" a="1"/>
  <c r="T1495" i="7" s="1"/>
  <c r="Q1899" i="7"/>
  <c r="R1899" i="7" s="1"/>
  <c r="Q565" i="7"/>
  <c r="R565" i="7" s="1"/>
  <c r="Q1109" i="7"/>
  <c r="R1109" i="7" s="1"/>
  <c r="Q63" i="7"/>
  <c r="R63" i="7" s="1"/>
  <c r="T63" i="7" s="1" a="1"/>
  <c r="T63" i="7" s="1"/>
  <c r="Q37" i="7"/>
  <c r="R37" i="7" s="1"/>
  <c r="T37" i="7" s="1" a="1"/>
  <c r="T37" i="7" s="1"/>
  <c r="Q527" i="7"/>
  <c r="R527" i="7" s="1"/>
  <c r="Q1089" i="7"/>
  <c r="R1089" i="7" s="1"/>
  <c r="T1089" i="7" s="1" a="1"/>
  <c r="T1089" i="7" s="1"/>
  <c r="Q80" i="7"/>
  <c r="R80" i="7" s="1"/>
  <c r="T80" i="7" s="1" a="1"/>
  <c r="T80" i="7" s="1"/>
  <c r="Q111" i="7"/>
  <c r="R111" i="7" s="1"/>
  <c r="T111" i="7" s="1" a="1"/>
  <c r="T111" i="7" s="1"/>
  <c r="Q590" i="7"/>
  <c r="R590" i="7" s="1"/>
  <c r="T590" i="7" s="1" a="1"/>
  <c r="T590" i="7" s="1"/>
  <c r="Q165" i="7"/>
  <c r="R165" i="7" s="1"/>
  <c r="T165" i="7" s="1" a="1"/>
  <c r="T165" i="7" s="1"/>
  <c r="Q1306" i="7"/>
  <c r="R1306" i="7" s="1"/>
  <c r="Q1621" i="7"/>
  <c r="R1621" i="7" s="1"/>
  <c r="T1621" i="7" s="1" a="1"/>
  <c r="T1621" i="7" s="1"/>
  <c r="Q209" i="7"/>
  <c r="R209" i="7" s="1"/>
  <c r="T209" i="7" s="1" a="1"/>
  <c r="T209" i="7" s="1"/>
  <c r="Q681" i="7"/>
  <c r="R681" i="7" s="1"/>
  <c r="Q869" i="7"/>
  <c r="R869" i="7" s="1"/>
  <c r="T869" i="7" s="1" a="1"/>
  <c r="T869" i="7" s="1"/>
  <c r="Q1507" i="7"/>
  <c r="R1507" i="7" s="1"/>
  <c r="Q1021" i="7"/>
  <c r="R1021" i="7" s="1"/>
  <c r="T1021" i="7" s="1" a="1"/>
  <c r="T1021" i="7" s="1"/>
  <c r="Q1850" i="7"/>
  <c r="R1850" i="7" s="1"/>
  <c r="Q39" i="7"/>
  <c r="R39" i="7" s="1"/>
  <c r="T39" i="7" s="1" a="1"/>
  <c r="T39" i="7" s="1"/>
  <c r="Q1740" i="7"/>
  <c r="R1740" i="7" s="1"/>
  <c r="T1740" i="7" s="1" a="1"/>
  <c r="T1740" i="7" s="1"/>
  <c r="Q1356" i="7"/>
  <c r="R1356" i="7" s="1"/>
  <c r="T1356" i="7" s="1" a="1"/>
  <c r="T1356" i="7" s="1"/>
  <c r="Q1470" i="7"/>
  <c r="R1470" i="7" s="1"/>
  <c r="T1470" i="7" s="1" a="1"/>
  <c r="T1470" i="7" s="1"/>
  <c r="Q382" i="7"/>
  <c r="R382" i="7" s="1"/>
  <c r="T382" i="7" s="1" a="1"/>
  <c r="T382" i="7" s="1"/>
  <c r="Q648" i="7"/>
  <c r="R648" i="7" s="1"/>
  <c r="Q334" i="7"/>
  <c r="R334" i="7" s="1"/>
  <c r="T334" i="7" s="1" a="1"/>
  <c r="T334" i="7" s="1"/>
  <c r="Q417" i="7"/>
  <c r="R417" i="7" s="1"/>
  <c r="T417" i="7" s="1" a="1"/>
  <c r="T417" i="7" s="1"/>
  <c r="Q359" i="7"/>
  <c r="R359" i="7" s="1"/>
  <c r="T359" i="7" s="1" a="1"/>
  <c r="T359" i="7" s="1"/>
  <c r="Q308" i="7"/>
  <c r="R308" i="7" s="1"/>
  <c r="Q883" i="7"/>
  <c r="R883" i="7" s="1"/>
  <c r="T883" i="7" s="1" a="1"/>
  <c r="T883" i="7" s="1"/>
  <c r="Q1582" i="7"/>
  <c r="R1582" i="7" s="1"/>
  <c r="T1582" i="7" s="1" a="1"/>
  <c r="T1582" i="7" s="1"/>
  <c r="Q1731" i="7"/>
  <c r="R1731" i="7" s="1"/>
  <c r="T1731" i="7" s="1" a="1"/>
  <c r="T1731" i="7" s="1"/>
  <c r="Q938" i="7"/>
  <c r="R938" i="7" s="1"/>
  <c r="T938" i="7" s="1" a="1"/>
  <c r="T938" i="7" s="1"/>
  <c r="Q698" i="7"/>
  <c r="R698" i="7" s="1"/>
  <c r="Q1905" i="7"/>
  <c r="R1905" i="7" s="1"/>
  <c r="T1905" i="7" s="1" a="1"/>
  <c r="T1905" i="7" s="1"/>
  <c r="Q1001" i="7"/>
  <c r="R1001" i="7" s="1"/>
  <c r="T1001" i="7" s="1" a="1"/>
  <c r="T1001" i="7" s="1"/>
  <c r="Q279" i="7"/>
  <c r="R279" i="7" s="1"/>
  <c r="Q1305" i="7"/>
  <c r="R1305" i="7" s="1"/>
  <c r="Q1743" i="7"/>
  <c r="R1743" i="7" s="1"/>
  <c r="T1743" i="7" s="1" a="1"/>
  <c r="T1743" i="7" s="1"/>
  <c r="Q172" i="7"/>
  <c r="R172" i="7" s="1"/>
  <c r="Q1970" i="7"/>
  <c r="R1970" i="7" s="1"/>
  <c r="Q1744" i="7"/>
  <c r="R1744" i="7" s="1"/>
  <c r="T1744" i="7" s="1" a="1"/>
  <c r="T1744" i="7" s="1"/>
  <c r="Q767" i="7"/>
  <c r="R767" i="7" s="1"/>
  <c r="T767" i="7" s="1" a="1"/>
  <c r="T767" i="7" s="1"/>
  <c r="Q523" i="7"/>
  <c r="R523" i="7" s="1"/>
  <c r="Q1246" i="7"/>
  <c r="R1246" i="7" s="1"/>
  <c r="T1246" i="7" s="1" a="1"/>
  <c r="T1246" i="7" s="1"/>
  <c r="Q494" i="7"/>
  <c r="R494" i="7" s="1"/>
  <c r="T494" i="7" s="1" a="1"/>
  <c r="T494" i="7" s="1"/>
  <c r="Q1366" i="7"/>
  <c r="R1366" i="7" s="1"/>
  <c r="T1366" i="7" s="1" a="1"/>
  <c r="T1366" i="7" s="1"/>
  <c r="Q1660" i="7"/>
  <c r="R1660" i="7" s="1"/>
  <c r="Q2000" i="7"/>
  <c r="R2000" i="7" s="1"/>
  <c r="T2000" i="7" s="1" a="1"/>
  <c r="T2000" i="7" s="1"/>
  <c r="Q463" i="7"/>
  <c r="R463" i="7" s="1"/>
  <c r="T463" i="7" s="1" a="1"/>
  <c r="T463" i="7" s="1"/>
  <c r="Q922" i="7"/>
  <c r="R922" i="7" s="1"/>
  <c r="T922" i="7" s="1" a="1"/>
  <c r="T922" i="7" s="1"/>
  <c r="Q1179" i="7"/>
  <c r="R1179" i="7" s="1"/>
  <c r="Q1383" i="7"/>
  <c r="R1383" i="7" s="1"/>
  <c r="Q1670" i="7"/>
  <c r="R1670" i="7" s="1"/>
  <c r="Q119" i="7"/>
  <c r="R119" i="7" s="1"/>
  <c r="T119" i="7" s="1" a="1"/>
  <c r="T119" i="7" s="1"/>
  <c r="Q733" i="7"/>
  <c r="R733" i="7" s="1"/>
  <c r="T733" i="7" s="1" a="1"/>
  <c r="T733" i="7" s="1"/>
  <c r="Q556" i="7"/>
  <c r="R556" i="7" s="1"/>
  <c r="T556" i="7" s="1" a="1"/>
  <c r="T556" i="7" s="1"/>
  <c r="Q1170" i="7"/>
  <c r="R1170" i="7" s="1"/>
  <c r="T1170" i="7" s="1" a="1"/>
  <c r="T1170" i="7" s="1"/>
  <c r="Q856" i="7"/>
  <c r="R856" i="7" s="1"/>
  <c r="T856" i="7" s="1" a="1"/>
  <c r="T856" i="7" s="1"/>
  <c r="Q921" i="7"/>
  <c r="R921" i="7" s="1"/>
  <c r="Q1632" i="7"/>
  <c r="R1632" i="7" s="1"/>
  <c r="Q517" i="7"/>
  <c r="R517" i="7" s="1"/>
  <c r="Q757" i="7"/>
  <c r="R757" i="7" s="1"/>
  <c r="Q822" i="7"/>
  <c r="R822" i="7" s="1"/>
  <c r="T822" i="7" s="1" a="1"/>
  <c r="T822" i="7" s="1"/>
  <c r="S780" i="7"/>
  <c r="Q360" i="7"/>
  <c r="R360" i="7" s="1"/>
  <c r="T360" i="7" s="1" a="1"/>
  <c r="T360" i="7" s="1"/>
  <c r="Q1538" i="7"/>
  <c r="R1538" i="7" s="1"/>
  <c r="T1538" i="7" s="1" a="1"/>
  <c r="T1538" i="7" s="1"/>
  <c r="Q507" i="7"/>
  <c r="R507" i="7" s="1"/>
  <c r="T507" i="7" s="1" a="1"/>
  <c r="T507" i="7" s="1"/>
  <c r="Q1264" i="7"/>
  <c r="R1264" i="7" s="1"/>
  <c r="Q1707" i="7"/>
  <c r="R1707" i="7" s="1"/>
  <c r="Q1802" i="7"/>
  <c r="R1802" i="7" s="1"/>
  <c r="T1802" i="7" s="1" a="1"/>
  <c r="T1802" i="7" s="1"/>
  <c r="Q641" i="7"/>
  <c r="R641" i="7" s="1"/>
  <c r="T641" i="7" s="1" a="1"/>
  <c r="T641" i="7" s="1"/>
  <c r="Q19" i="7"/>
  <c r="R19" i="7" s="1"/>
  <c r="T19" i="7" s="1" a="1"/>
  <c r="T19" i="7" s="1"/>
  <c r="Q289" i="7"/>
  <c r="R289" i="7" s="1"/>
  <c r="T289" i="7" s="1" a="1"/>
  <c r="T289" i="7" s="1"/>
  <c r="Q187" i="7"/>
  <c r="R187" i="7" s="1"/>
  <c r="Q1478" i="7"/>
  <c r="R1478" i="7" s="1"/>
  <c r="T1478" i="7" s="1" a="1"/>
  <c r="T1478" i="7" s="1"/>
  <c r="Q557" i="7"/>
  <c r="R557" i="7" s="1"/>
  <c r="T557" i="7" s="1" a="1"/>
  <c r="T557" i="7" s="1"/>
  <c r="Q1514" i="7"/>
  <c r="R1514" i="7" s="1"/>
  <c r="T1514" i="7" s="1" a="1"/>
  <c r="T1514" i="7" s="1"/>
  <c r="Q177" i="7"/>
  <c r="R177" i="7" s="1"/>
  <c r="T177" i="7" s="1" a="1"/>
  <c r="T177" i="7" s="1"/>
  <c r="Q902" i="7"/>
  <c r="R902" i="7" s="1"/>
  <c r="T902" i="7" s="1" a="1"/>
  <c r="T902" i="7" s="1"/>
  <c r="Q244" i="7"/>
  <c r="R244" i="7" s="1"/>
  <c r="T244" i="7" s="1" a="1"/>
  <c r="T244" i="7" s="1"/>
  <c r="Q1413" i="7"/>
  <c r="R1413" i="7" s="1"/>
  <c r="Q99" i="7"/>
  <c r="R99" i="7" s="1"/>
  <c r="T99" i="7" s="1" a="1"/>
  <c r="T99" i="7" s="1"/>
  <c r="Q1133" i="7"/>
  <c r="R1133" i="7" s="1"/>
  <c r="T1133" i="7" s="1" a="1"/>
  <c r="T1133" i="7" s="1"/>
  <c r="Q890" i="7"/>
  <c r="R890" i="7" s="1"/>
  <c r="Q932" i="7"/>
  <c r="R932" i="7" s="1"/>
  <c r="Q1787" i="7"/>
  <c r="R1787" i="7" s="1"/>
  <c r="T1787" i="7" s="1" a="1"/>
  <c r="T1787" i="7" s="1"/>
  <c r="Q325" i="7"/>
  <c r="R325" i="7" s="1"/>
  <c r="Q885" i="7"/>
  <c r="R885" i="7" s="1"/>
  <c r="T885" i="7" s="1" a="1"/>
  <c r="T885" i="7" s="1"/>
  <c r="Q915" i="7"/>
  <c r="R915" i="7" s="1"/>
  <c r="T915" i="7" s="1" a="1"/>
  <c r="T915" i="7" s="1"/>
  <c r="Q865" i="7"/>
  <c r="R865" i="7" s="1"/>
  <c r="T865" i="7" s="1" a="1"/>
  <c r="T865" i="7" s="1"/>
  <c r="Q812" i="7"/>
  <c r="R812" i="7" s="1"/>
  <c r="T812" i="7" s="1" a="1"/>
  <c r="T812" i="7" s="1"/>
  <c r="Q1994" i="7"/>
  <c r="R1994" i="7" s="1"/>
  <c r="Q676" i="7"/>
  <c r="R676" i="7" s="1"/>
  <c r="Q836" i="7"/>
  <c r="R836" i="7" s="1"/>
  <c r="T836" i="7" s="1" a="1"/>
  <c r="T836" i="7" s="1"/>
  <c r="Q1276" i="7"/>
  <c r="R1276" i="7" s="1"/>
  <c r="T1276" i="7" s="1" a="1"/>
  <c r="T1276" i="7" s="1"/>
  <c r="Q1679" i="7"/>
  <c r="R1679" i="7" s="1"/>
  <c r="Q258" i="7"/>
  <c r="R258" i="7" s="1"/>
  <c r="T258" i="7" s="1" a="1"/>
  <c r="T258" i="7" s="1"/>
  <c r="Q779" i="7"/>
  <c r="R779" i="7" s="1"/>
  <c r="T779" i="7" s="1" a="1"/>
  <c r="T779" i="7" s="1"/>
  <c r="Q1164" i="7"/>
  <c r="R1164" i="7" s="1"/>
  <c r="T1164" i="7" s="1" a="1"/>
  <c r="T1164" i="7" s="1"/>
  <c r="Q1658" i="7"/>
  <c r="R1658" i="7" s="1"/>
  <c r="Q528" i="7"/>
  <c r="R528" i="7" s="1"/>
  <c r="T528" i="7" s="1" a="1"/>
  <c r="T528" i="7" s="1"/>
  <c r="Q519" i="7"/>
  <c r="R519" i="7" s="1"/>
  <c r="T519" i="7" s="1" a="1"/>
  <c r="T519" i="7" s="1"/>
  <c r="Q1080" i="7"/>
  <c r="R1080" i="7" s="1"/>
  <c r="T1080" i="7" s="1" a="1"/>
  <c r="T1080" i="7" s="1"/>
  <c r="Q1009" i="7"/>
  <c r="R1009" i="7" s="1"/>
  <c r="Q1724" i="7"/>
  <c r="R1724" i="7" s="1"/>
  <c r="Q328" i="7"/>
  <c r="R328" i="7" s="1"/>
  <c r="Q842" i="7"/>
  <c r="R842" i="7" s="1"/>
  <c r="T842" i="7" s="1" a="1"/>
  <c r="T842" i="7" s="1"/>
  <c r="Q1135" i="7"/>
  <c r="R1135" i="7" s="1"/>
  <c r="Q366" i="7"/>
  <c r="R366" i="7" s="1"/>
  <c r="T366" i="7" s="1" a="1"/>
  <c r="T366" i="7" s="1"/>
  <c r="Q316" i="7"/>
  <c r="R316" i="7" s="1"/>
  <c r="T316" i="7" s="1" a="1"/>
  <c r="T316" i="7" s="1"/>
  <c r="Q399" i="7"/>
  <c r="R399" i="7" s="1"/>
  <c r="T399" i="7" s="1" a="1"/>
  <c r="T399" i="7" s="1"/>
  <c r="Q851" i="7"/>
  <c r="R851" i="7" s="1"/>
  <c r="Q1938" i="7"/>
  <c r="R1938" i="7" s="1"/>
  <c r="T1938" i="7" s="1" a="1"/>
  <c r="T1938" i="7" s="1"/>
  <c r="Q8" i="7"/>
  <c r="R8" i="7" s="1"/>
  <c r="Q386" i="7"/>
  <c r="R386" i="7" s="1"/>
  <c r="Q642" i="7"/>
  <c r="R642" i="7" s="1"/>
  <c r="T642" i="7" s="1" a="1"/>
  <c r="T642" i="7" s="1"/>
  <c r="Q884" i="7"/>
  <c r="R884" i="7" s="1"/>
  <c r="Q1321" i="7"/>
  <c r="R1321" i="7" s="1"/>
  <c r="T1321" i="7" s="1" a="1"/>
  <c r="T1321" i="7" s="1"/>
  <c r="Q1328" i="7"/>
  <c r="R1328" i="7" s="1"/>
  <c r="T1328" i="7" s="1" a="1"/>
  <c r="T1328" i="7" s="1"/>
  <c r="Q1820" i="7"/>
  <c r="R1820" i="7" s="1"/>
  <c r="Q45" i="7"/>
  <c r="R45" i="7" s="1"/>
  <c r="T45" i="7" s="1" a="1"/>
  <c r="T45" i="7" s="1"/>
  <c r="Q700" i="7"/>
  <c r="R700" i="7" s="1"/>
  <c r="T700" i="7" s="1" a="1"/>
  <c r="T700" i="7" s="1"/>
  <c r="Q792" i="7"/>
  <c r="R792" i="7" s="1"/>
  <c r="T792" i="7" s="1" a="1"/>
  <c r="T792" i="7" s="1"/>
  <c r="Q141" i="7"/>
  <c r="R141" i="7" s="1"/>
  <c r="T141" i="7" s="1" a="1"/>
  <c r="T141" i="7" s="1"/>
  <c r="Q804" i="7"/>
  <c r="R804" i="7" s="1"/>
  <c r="T804" i="7" s="1" a="1"/>
  <c r="T804" i="7" s="1"/>
  <c r="Q1142" i="7"/>
  <c r="R1142" i="7" s="1"/>
  <c r="T1142" i="7" s="1" a="1"/>
  <c r="T1142" i="7" s="1"/>
  <c r="Q1920" i="7"/>
  <c r="R1920" i="7" s="1"/>
  <c r="T1920" i="7" s="1" a="1"/>
  <c r="T1920" i="7" s="1"/>
  <c r="Q93" i="7"/>
  <c r="R93" i="7" s="1"/>
  <c r="Q742" i="7"/>
  <c r="R742" i="7" s="1"/>
  <c r="T742" i="7" s="1" a="1"/>
  <c r="T742" i="7" s="1"/>
  <c r="Q1294" i="7"/>
  <c r="R1294" i="7" s="1"/>
  <c r="T1294" i="7" s="1" a="1"/>
  <c r="T1294" i="7" s="1"/>
  <c r="Q1401" i="7"/>
  <c r="R1401" i="7" s="1"/>
  <c r="Q2001" i="7"/>
  <c r="R2001" i="7" s="1"/>
  <c r="Q1334" i="7"/>
  <c r="R1334" i="7" s="1"/>
  <c r="Q117" i="7"/>
  <c r="R117" i="7" s="1"/>
  <c r="T117" i="7" s="1" a="1"/>
  <c r="T117" i="7" s="1"/>
  <c r="Q381" i="7"/>
  <c r="R381" i="7" s="1"/>
  <c r="T381" i="7" s="1" a="1"/>
  <c r="T381" i="7" s="1"/>
  <c r="Q1996" i="7"/>
  <c r="R1996" i="7" s="1"/>
  <c r="T1996" i="7" s="1" a="1"/>
  <c r="T1996" i="7" s="1"/>
  <c r="Q1936" i="7"/>
  <c r="R1936" i="7" s="1"/>
  <c r="T1936" i="7" s="1" a="1"/>
  <c r="T1936" i="7" s="1"/>
  <c r="Q1924" i="7"/>
  <c r="R1924" i="7" s="1"/>
  <c r="T1924" i="7" s="1" a="1"/>
  <c r="T1924" i="7" s="1"/>
  <c r="S1837" i="7"/>
  <c r="S1817" i="7"/>
  <c r="S1805" i="7"/>
  <c r="Q1659" i="7"/>
  <c r="R1659" i="7" s="1"/>
  <c r="T1659" i="7" s="1" a="1"/>
  <c r="T1659" i="7" s="1"/>
  <c r="S1593" i="7"/>
  <c r="Q1437" i="7"/>
  <c r="R1437" i="7" s="1"/>
  <c r="T1437" i="7" s="1" a="1"/>
  <c r="T1437" i="7" s="1"/>
  <c r="Q1051" i="7"/>
  <c r="R1051" i="7" s="1"/>
  <c r="T1051" i="7" s="1" a="1"/>
  <c r="T1051" i="7" s="1"/>
  <c r="S1671" i="7"/>
  <c r="S1627" i="7"/>
  <c r="S1562" i="7"/>
  <c r="S1249" i="7"/>
  <c r="S1291" i="7"/>
  <c r="S1201" i="7"/>
  <c r="S1789" i="7"/>
  <c r="S1753" i="7"/>
  <c r="S1741" i="7"/>
  <c r="S1729" i="7"/>
  <c r="S1717" i="7"/>
  <c r="S1705" i="7"/>
  <c r="S1689" i="7"/>
  <c r="S1676" i="7"/>
  <c r="S1288" i="7"/>
  <c r="S1503" i="7"/>
  <c r="S1160" i="7"/>
  <c r="S1487" i="7"/>
  <c r="S1377" i="7"/>
  <c r="S1361" i="7"/>
  <c r="S1647" i="7"/>
  <c r="S1521" i="7"/>
  <c r="S1313" i="7"/>
  <c r="S1227" i="7"/>
  <c r="S1207" i="7"/>
  <c r="S1167" i="7"/>
  <c r="S1148" i="7"/>
  <c r="S926" i="7"/>
  <c r="Q514" i="7"/>
  <c r="R514" i="7" s="1"/>
  <c r="Q1130" i="7"/>
  <c r="R1130" i="7" s="1"/>
  <c r="T1130" i="7" s="1" a="1"/>
  <c r="T1130" i="7" s="1"/>
  <c r="Q1474" i="7"/>
  <c r="R1474" i="7" s="1"/>
  <c r="Q378" i="7"/>
  <c r="R378" i="7" s="1"/>
  <c r="T378" i="7" s="1" a="1"/>
  <c r="T378" i="7" s="1"/>
  <c r="Q569" i="7"/>
  <c r="R569" i="7" s="1"/>
  <c r="T569" i="7" s="1" a="1"/>
  <c r="T569" i="7" s="1"/>
  <c r="Q1263" i="7"/>
  <c r="R1263" i="7" s="1"/>
  <c r="Q493" i="7"/>
  <c r="R493" i="7" s="1"/>
  <c r="T493" i="7" s="1" a="1"/>
  <c r="T493" i="7" s="1"/>
  <c r="Q1146" i="7"/>
  <c r="R1146" i="7" s="1"/>
  <c r="T1146" i="7" s="1" a="1"/>
  <c r="T1146" i="7" s="1"/>
  <c r="Q846" i="7"/>
  <c r="R846" i="7" s="1"/>
  <c r="T846" i="7" s="1" a="1"/>
  <c r="T846" i="7" s="1"/>
  <c r="Q1060" i="7"/>
  <c r="R1060" i="7" s="1"/>
  <c r="T1060" i="7" s="1" a="1"/>
  <c r="T1060" i="7" s="1"/>
  <c r="Q1020" i="7"/>
  <c r="R1020" i="7" s="1"/>
  <c r="Q1163" i="7"/>
  <c r="R1163" i="7" s="1"/>
  <c r="T1163" i="7" s="1" a="1"/>
  <c r="T1163" i="7" s="1"/>
  <c r="Q1591" i="7"/>
  <c r="R1591" i="7" s="1"/>
  <c r="T1591" i="7" s="1" a="1"/>
  <c r="T1591" i="7" s="1"/>
  <c r="Q89" i="7"/>
  <c r="R89" i="7" s="1"/>
  <c r="T89" i="7" s="1" a="1"/>
  <c r="T89" i="7" s="1"/>
  <c r="Q465" i="7"/>
  <c r="R465" i="7" s="1"/>
  <c r="T465" i="7" s="1" a="1"/>
  <c r="T465" i="7" s="1"/>
  <c r="Q552" i="7"/>
  <c r="R552" i="7" s="1"/>
  <c r="T552" i="7" s="1" a="1"/>
  <c r="T552" i="7" s="1"/>
  <c r="Q362" i="7"/>
  <c r="R362" i="7" s="1"/>
  <c r="Q1106" i="7"/>
  <c r="R1106" i="7" s="1"/>
  <c r="T1106" i="7" s="1" a="1"/>
  <c r="T1106" i="7" s="1"/>
  <c r="Q1456" i="7"/>
  <c r="R1456" i="7" s="1"/>
  <c r="Q126" i="7"/>
  <c r="R126" i="7" s="1"/>
  <c r="T126" i="7" s="1" a="1"/>
  <c r="T126" i="7" s="1"/>
  <c r="Q405" i="7"/>
  <c r="R405" i="7" s="1"/>
  <c r="T405" i="7" s="1" a="1"/>
  <c r="T405" i="7" s="1"/>
  <c r="Q810" i="7"/>
  <c r="R810" i="7" s="1"/>
  <c r="T810" i="7" s="1" a="1"/>
  <c r="T810" i="7" s="1"/>
  <c r="Q13" i="7"/>
  <c r="R13" i="7" s="1"/>
  <c r="T13" i="7" s="1" a="1"/>
  <c r="T13" i="7" s="1"/>
  <c r="Q458" i="7"/>
  <c r="R458" i="7" s="1"/>
  <c r="Q41" i="7"/>
  <c r="R41" i="7" s="1"/>
  <c r="T41" i="7" s="1" a="1"/>
  <c r="T41" i="7" s="1"/>
  <c r="Q278" i="7"/>
  <c r="R278" i="7" s="1"/>
  <c r="Q284" i="7"/>
  <c r="R284" i="7" s="1"/>
  <c r="T284" i="7" s="1" a="1"/>
  <c r="T284" i="7" s="1"/>
  <c r="Q1435" i="7"/>
  <c r="R1435" i="7" s="1"/>
  <c r="T1435" i="7" s="1" a="1"/>
  <c r="T1435" i="7" s="1"/>
  <c r="Q1648" i="7"/>
  <c r="R1648" i="7" s="1"/>
  <c r="T1648" i="7" s="1" a="1"/>
  <c r="T1648" i="7" s="1"/>
  <c r="Q1259" i="7"/>
  <c r="R1259" i="7" s="1"/>
  <c r="T1259" i="7" s="1" a="1"/>
  <c r="T1259" i="7" s="1"/>
  <c r="Q1570" i="7"/>
  <c r="R1570" i="7" s="1"/>
  <c r="T1570" i="7" s="1" a="1"/>
  <c r="T1570" i="7" s="1"/>
  <c r="Q36" i="7"/>
  <c r="R36" i="7" s="1"/>
  <c r="T36" i="7" s="1" a="1"/>
  <c r="T36" i="7" s="1"/>
  <c r="Q1029" i="7"/>
  <c r="R1029" i="7" s="1"/>
  <c r="Q1280" i="7"/>
  <c r="R1280" i="7" s="1"/>
  <c r="T1280" i="7" s="1" a="1"/>
  <c r="T1280" i="7" s="1"/>
  <c r="S272" i="7"/>
  <c r="Q712" i="7"/>
  <c r="R712" i="7" s="1"/>
  <c r="T712" i="7" s="1" a="1"/>
  <c r="T712" i="7" s="1"/>
  <c r="Q135" i="7"/>
  <c r="R135" i="7" s="1"/>
  <c r="Q1433" i="7"/>
  <c r="R1433" i="7" s="1"/>
  <c r="T1433" i="7" s="1" a="1"/>
  <c r="T1433" i="7" s="1"/>
  <c r="Q718" i="7"/>
  <c r="R718" i="7" s="1"/>
  <c r="T718" i="7" s="1" a="1"/>
  <c r="T718" i="7" s="1"/>
  <c r="Q826" i="7"/>
  <c r="R826" i="7" s="1"/>
  <c r="T826" i="7" s="1" a="1"/>
  <c r="T826" i="7" s="1"/>
  <c r="Q292" i="7"/>
  <c r="R292" i="7" s="1"/>
  <c r="Q1078" i="7"/>
  <c r="R1078" i="7" s="1"/>
  <c r="T1078" i="7" s="1" a="1"/>
  <c r="T1078" i="7" s="1"/>
  <c r="Q920" i="7"/>
  <c r="R920" i="7" s="1"/>
  <c r="T920" i="7" s="1" a="1"/>
  <c r="T920" i="7" s="1"/>
  <c r="Q1638" i="7"/>
  <c r="R1638" i="7" s="1"/>
  <c r="T1638" i="7" s="1" a="1"/>
  <c r="T1638" i="7" s="1"/>
  <c r="Q1443" i="7"/>
  <c r="R1443" i="7" s="1"/>
  <c r="T1443" i="7" s="1" a="1"/>
  <c r="T1443" i="7" s="1"/>
  <c r="Q677" i="7"/>
  <c r="R677" i="7" s="1"/>
  <c r="Q1068" i="7"/>
  <c r="R1068" i="7" s="1"/>
  <c r="T1068" i="7" s="1" a="1"/>
  <c r="T1068" i="7" s="1"/>
  <c r="Q320" i="7"/>
  <c r="R320" i="7" s="1"/>
  <c r="T320" i="7" s="1" a="1"/>
  <c r="T320" i="7" s="1"/>
  <c r="Q1417" i="7"/>
  <c r="R1417" i="7" s="1"/>
  <c r="T1417" i="7" s="1" a="1"/>
  <c r="T1417" i="7" s="1"/>
  <c r="Q747" i="7"/>
  <c r="R747" i="7" s="1"/>
  <c r="T747" i="7" s="1" a="1"/>
  <c r="T747" i="7" s="1"/>
  <c r="Q1631" i="7"/>
  <c r="R1631" i="7" s="1"/>
  <c r="T1631" i="7" s="1" a="1"/>
  <c r="T1631" i="7" s="1"/>
  <c r="Q341" i="7"/>
  <c r="R341" i="7" s="1"/>
  <c r="T341" i="7" s="1" a="1"/>
  <c r="T341" i="7" s="1"/>
  <c r="Q895" i="7"/>
  <c r="R895" i="7" s="1"/>
  <c r="Q154" i="7"/>
  <c r="R154" i="7" s="1"/>
  <c r="T154" i="7" s="1" a="1"/>
  <c r="T154" i="7" s="1"/>
  <c r="Q589" i="7"/>
  <c r="R589" i="7" s="1"/>
  <c r="T589" i="7" s="1" a="1"/>
  <c r="T589" i="7" s="1"/>
  <c r="Q393" i="7"/>
  <c r="R393" i="7" s="1"/>
  <c r="T393" i="7" s="1" a="1"/>
  <c r="T393" i="7" s="1"/>
  <c r="Q1124" i="7"/>
  <c r="R1124" i="7" s="1"/>
  <c r="Q1147" i="7"/>
  <c r="R1147" i="7" s="1"/>
  <c r="T1147" i="7" s="1" a="1"/>
  <c r="T1147" i="7" s="1"/>
  <c r="Q288" i="7"/>
  <c r="R288" i="7" s="1"/>
  <c r="T288" i="7" s="1" a="1"/>
  <c r="T288" i="7" s="1"/>
  <c r="Q951" i="7"/>
  <c r="R951" i="7" s="1"/>
  <c r="Q1149" i="7"/>
  <c r="R1149" i="7" s="1"/>
  <c r="Q1283" i="7"/>
  <c r="R1283" i="7" s="1"/>
  <c r="T1283" i="7" s="1" a="1"/>
  <c r="T1283" i="7" s="1"/>
  <c r="Q592" i="7"/>
  <c r="R592" i="7" s="1"/>
  <c r="T592" i="7" s="1" a="1"/>
  <c r="T592" i="7" s="1"/>
  <c r="Q486" i="7"/>
  <c r="R486" i="7" s="1"/>
  <c r="T486" i="7" s="1" a="1"/>
  <c r="T486" i="7" s="1"/>
  <c r="Q1698" i="7"/>
  <c r="R1698" i="7" s="1"/>
  <c r="Q608" i="7"/>
  <c r="R608" i="7" s="1"/>
  <c r="T608" i="7" s="1" a="1"/>
  <c r="T608" i="7" s="1"/>
  <c r="Q627" i="7"/>
  <c r="R627" i="7" s="1"/>
  <c r="T627" i="7" s="1" a="1"/>
  <c r="T627" i="7" s="1"/>
  <c r="Q715" i="7"/>
  <c r="R715" i="7" s="1"/>
  <c r="T715" i="7" s="1" a="1"/>
  <c r="T715" i="7" s="1"/>
  <c r="Q1220" i="7"/>
  <c r="R1220" i="7" s="1"/>
  <c r="T1220" i="7" s="1" a="1"/>
  <c r="T1220" i="7" s="1"/>
  <c r="Q33" i="7"/>
  <c r="R33" i="7" s="1"/>
  <c r="T33" i="7" s="1" a="1"/>
  <c r="T33" i="7" s="1"/>
  <c r="Q1221" i="7"/>
  <c r="R1221" i="7" s="1"/>
  <c r="Q930" i="7"/>
  <c r="R930" i="7" s="1"/>
  <c r="S967" i="7"/>
  <c r="Q61" i="7"/>
  <c r="R61" i="7" s="1"/>
  <c r="T61" i="7" s="1" a="1"/>
  <c r="T61" i="7" s="1"/>
  <c r="Q1168" i="7"/>
  <c r="R1168" i="7" s="1"/>
  <c r="T1168" i="7" s="1" a="1"/>
  <c r="T1168" i="7" s="1"/>
  <c r="Q152" i="7"/>
  <c r="R152" i="7" s="1"/>
  <c r="T152" i="7" s="1" a="1"/>
  <c r="T152" i="7" s="1"/>
  <c r="Q455" i="7"/>
  <c r="R455" i="7" s="1"/>
  <c r="T455" i="7" s="1" a="1"/>
  <c r="T455" i="7" s="1"/>
  <c r="Q771" i="7"/>
  <c r="R771" i="7" s="1"/>
  <c r="Q667" i="7"/>
  <c r="R667" i="7" s="1"/>
  <c r="T667" i="7" s="1" a="1"/>
  <c r="T667" i="7" s="1"/>
  <c r="Q1008" i="7"/>
  <c r="R1008" i="7" s="1"/>
  <c r="Q1440" i="7"/>
  <c r="R1440" i="7" s="1"/>
  <c r="T1440" i="7" s="1" a="1"/>
  <c r="T1440" i="7" s="1"/>
  <c r="Q1024" i="7"/>
  <c r="R1024" i="7" s="1"/>
  <c r="Q1527" i="7"/>
  <c r="R1527" i="7" s="1"/>
  <c r="Q318" i="7"/>
  <c r="R318" i="7" s="1"/>
  <c r="Q304" i="7"/>
  <c r="R304" i="7" s="1"/>
  <c r="T304" i="7" s="1" a="1"/>
  <c r="T304" i="7" s="1"/>
  <c r="Q427" i="7"/>
  <c r="R427" i="7" s="1"/>
  <c r="T427" i="7" s="1" a="1"/>
  <c r="T427" i="7" s="1"/>
  <c r="Q322" i="7"/>
  <c r="R322" i="7" s="1"/>
  <c r="T322" i="7" s="1" a="1"/>
  <c r="T322" i="7" s="1"/>
  <c r="Q1497" i="7"/>
  <c r="R1497" i="7" s="1"/>
  <c r="Q3" i="7"/>
  <c r="R3" i="7" s="1"/>
  <c r="T3" i="7" s="1" a="1"/>
  <c r="T3" i="7" s="1"/>
  <c r="Q533" i="7"/>
  <c r="R533" i="7" s="1"/>
  <c r="T533" i="7" s="1" a="1"/>
  <c r="T533" i="7" s="1"/>
  <c r="Q104" i="7"/>
  <c r="R104" i="7" s="1"/>
  <c r="T104" i="7" s="1" a="1"/>
  <c r="T104" i="7" s="1"/>
  <c r="Q570" i="7"/>
  <c r="R570" i="7" s="1"/>
  <c r="T570" i="7" s="1" a="1"/>
  <c r="T570" i="7" s="1"/>
  <c r="Q617" i="7"/>
  <c r="R617" i="7" s="1"/>
  <c r="Q1261" i="7"/>
  <c r="R1261" i="7" s="1"/>
  <c r="Q129" i="7"/>
  <c r="R129" i="7" s="1"/>
  <c r="Q156" i="7"/>
  <c r="R156" i="7" s="1"/>
  <c r="Q59" i="7"/>
  <c r="R59" i="7" s="1"/>
  <c r="Q146" i="7"/>
  <c r="R146" i="7" s="1"/>
  <c r="T146" i="7" s="1" a="1"/>
  <c r="T146" i="7" s="1"/>
  <c r="Q1129" i="7"/>
  <c r="R1129" i="7" s="1"/>
  <c r="T1129" i="7" s="1" a="1"/>
  <c r="T1129" i="7" s="1"/>
  <c r="Q1099" i="7"/>
  <c r="R1099" i="7" s="1"/>
  <c r="T1099" i="7" s="1" a="1"/>
  <c r="T1099" i="7" s="1"/>
  <c r="Q469" i="7"/>
  <c r="R469" i="7" s="1"/>
  <c r="T469" i="7" s="1" a="1"/>
  <c r="T469" i="7" s="1"/>
  <c r="Q907" i="7"/>
  <c r="R907" i="7" s="1"/>
  <c r="T907" i="7" s="1" a="1"/>
  <c r="T907" i="7" s="1"/>
  <c r="Q217" i="7"/>
  <c r="R217" i="7" s="1"/>
  <c r="T217" i="7" s="1" a="1"/>
  <c r="T217" i="7" s="1"/>
  <c r="Q356" i="7"/>
  <c r="R356" i="7" s="1"/>
  <c r="T356" i="7" s="1" a="1"/>
  <c r="T356" i="7" s="1"/>
  <c r="Q42" i="7"/>
  <c r="R42" i="7" s="1"/>
  <c r="T42" i="7" s="1" a="1"/>
  <c r="T42" i="7" s="1"/>
  <c r="Q370" i="7"/>
  <c r="R370" i="7" s="1"/>
  <c r="Q62" i="7"/>
  <c r="R62" i="7" s="1"/>
  <c r="T62" i="7" s="1" a="1"/>
  <c r="T62" i="7" s="1"/>
  <c r="Q1014" i="7"/>
  <c r="R1014" i="7" s="1"/>
  <c r="T1014" i="7" s="1" a="1"/>
  <c r="T1014" i="7" s="1"/>
  <c r="Q14" i="7"/>
  <c r="R14" i="7" s="1"/>
  <c r="Q240" i="7"/>
  <c r="R240" i="7" s="1"/>
  <c r="T240" i="7" s="1" a="1"/>
  <c r="T240" i="7" s="1"/>
  <c r="Q675" i="7"/>
  <c r="R675" i="7" s="1"/>
  <c r="T675" i="7" s="1" a="1"/>
  <c r="T675" i="7" s="1"/>
  <c r="Q661" i="7"/>
  <c r="R661" i="7" s="1"/>
  <c r="T661" i="7" s="1" a="1"/>
  <c r="T661" i="7" s="1"/>
  <c r="Q1241" i="7"/>
  <c r="R1241" i="7" s="1"/>
  <c r="T1241" i="7" s="1" a="1"/>
  <c r="T1241" i="7" s="1"/>
  <c r="Q1272" i="7"/>
  <c r="R1272" i="7" s="1"/>
  <c r="T1272" i="7" s="1" a="1"/>
  <c r="T1272" i="7" s="1"/>
  <c r="Q1563" i="7"/>
  <c r="R1563" i="7" s="1"/>
  <c r="T1563" i="7" s="1" a="1"/>
  <c r="T1563" i="7" s="1"/>
  <c r="Q162" i="7"/>
  <c r="R162" i="7" s="1"/>
  <c r="Q516" i="7"/>
  <c r="R516" i="7" s="1"/>
  <c r="Q102" i="7"/>
  <c r="R102" i="7" s="1"/>
  <c r="Q820" i="7"/>
  <c r="R820" i="7" s="1"/>
  <c r="T820" i="7" s="1" a="1"/>
  <c r="T820" i="7" s="1"/>
  <c r="Q936" i="7"/>
  <c r="R936" i="7" s="1"/>
  <c r="Q1362" i="7"/>
  <c r="R1362" i="7" s="1"/>
  <c r="T1362" i="7" s="1" a="1"/>
  <c r="T1362" i="7" s="1"/>
  <c r="Q1275" i="7"/>
  <c r="R1275" i="7" s="1"/>
  <c r="T1275" i="7" s="1" a="1"/>
  <c r="T1275" i="7" s="1"/>
  <c r="Q1980" i="7"/>
  <c r="R1980" i="7" s="1"/>
  <c r="T1980" i="7" s="1" a="1"/>
  <c r="T1980" i="7" s="1"/>
  <c r="Q1950" i="7"/>
  <c r="R1950" i="7" s="1"/>
  <c r="Q1944" i="7"/>
  <c r="R1944" i="7" s="1"/>
  <c r="T1944" i="7" s="1" a="1"/>
  <c r="T1944" i="7" s="1"/>
  <c r="Q1926" i="7"/>
  <c r="R1926" i="7" s="1"/>
  <c r="T1926" i="7" s="1" a="1"/>
  <c r="T1926" i="7" s="1"/>
  <c r="Q1914" i="7"/>
  <c r="R1914" i="7" s="1"/>
  <c r="T1914" i="7" s="1" a="1"/>
  <c r="T1914" i="7" s="1"/>
  <c r="Q1884" i="7"/>
  <c r="R1884" i="7" s="1"/>
  <c r="T1884" i="7" s="1" a="1"/>
  <c r="T1884" i="7" s="1"/>
  <c r="Q1860" i="7"/>
  <c r="R1860" i="7" s="1"/>
  <c r="Q1848" i="7"/>
  <c r="R1848" i="7" s="1"/>
  <c r="T1848" i="7" s="1" a="1"/>
  <c r="T1848" i="7" s="1"/>
  <c r="Q1782" i="7"/>
  <c r="R1782" i="7" s="1"/>
  <c r="T1782" i="7" s="1" a="1"/>
  <c r="T1782" i="7" s="1"/>
  <c r="Q1758" i="7"/>
  <c r="R1758" i="7" s="1"/>
  <c r="T1758" i="7" s="1" a="1"/>
  <c r="T1758" i="7" s="1"/>
  <c r="Q1746" i="7"/>
  <c r="R1746" i="7" s="1"/>
  <c r="T1746" i="7" s="1" a="1"/>
  <c r="T1746" i="7" s="1"/>
  <c r="Q1722" i="7"/>
  <c r="R1722" i="7" s="1"/>
  <c r="T1722" i="7" s="1" a="1"/>
  <c r="T1722" i="7" s="1"/>
  <c r="Q1716" i="7"/>
  <c r="R1716" i="7" s="1"/>
  <c r="T1716" i="7" s="1" a="1"/>
  <c r="T1716" i="7" s="1"/>
  <c r="Q1653" i="7"/>
  <c r="R1653" i="7" s="1"/>
  <c r="T1653" i="7" s="1" a="1"/>
  <c r="T1653" i="7" s="1"/>
  <c r="Q1640" i="7"/>
  <c r="R1640" i="7" s="1"/>
  <c r="T1640" i="7" s="1" a="1"/>
  <c r="T1640" i="7" s="1"/>
  <c r="S1469" i="7"/>
  <c r="S1445" i="7"/>
  <c r="S1421" i="7"/>
  <c r="S1337" i="7"/>
  <c r="S1331" i="7"/>
  <c r="Q923" i="7"/>
  <c r="R923" i="7" s="1"/>
  <c r="T923" i="7" s="1" a="1"/>
  <c r="T923" i="7" s="1"/>
  <c r="S918" i="7"/>
  <c r="S577" i="7"/>
  <c r="Q984" i="7"/>
  <c r="R984" i="7" s="1"/>
  <c r="T984" i="7" s="1" a="1"/>
  <c r="T984" i="7" s="1"/>
  <c r="Q1140" i="7"/>
  <c r="R1140" i="7" s="1"/>
  <c r="Q906" i="7"/>
  <c r="R906" i="7" s="1"/>
  <c r="T906" i="7" s="1" a="1"/>
  <c r="T906" i="7" s="1"/>
  <c r="Q1043" i="7"/>
  <c r="R1043" i="7" s="1"/>
  <c r="Q26" i="7"/>
  <c r="R26" i="7" s="1"/>
  <c r="T26" i="7" s="1" a="1"/>
  <c r="T26" i="7" s="1"/>
  <c r="Q392" i="7"/>
  <c r="R392" i="7" s="1"/>
  <c r="T392" i="7" s="1" a="1"/>
  <c r="T392" i="7" s="1"/>
  <c r="Q124" i="7"/>
  <c r="R124" i="7" s="1"/>
  <c r="Q446" i="7"/>
  <c r="R446" i="7" s="1"/>
  <c r="Q669" i="7"/>
  <c r="R669" i="7" s="1"/>
  <c r="Q605" i="7"/>
  <c r="R605" i="7" s="1"/>
  <c r="T605" i="7" s="1" a="1"/>
  <c r="T605" i="7" s="1"/>
  <c r="Q245" i="7"/>
  <c r="R245" i="7" s="1"/>
  <c r="T245" i="7" s="1" a="1"/>
  <c r="T245" i="7" s="1"/>
  <c r="Q1126" i="7"/>
  <c r="R1126" i="7" s="1"/>
  <c r="T1126" i="7" s="1" a="1"/>
  <c r="T1126" i="7" s="1"/>
  <c r="Q613" i="7"/>
  <c r="R613" i="7" s="1"/>
  <c r="Q365" i="7"/>
  <c r="R365" i="7" s="1"/>
  <c r="T365" i="7" s="1" a="1"/>
  <c r="T365" i="7" s="1"/>
  <c r="Q1250" i="7"/>
  <c r="R1250" i="7" s="1"/>
  <c r="T1250" i="7" s="1" a="1"/>
  <c r="T1250" i="7" s="1"/>
  <c r="Q94" i="7"/>
  <c r="R94" i="7" s="1"/>
  <c r="T94" i="7" s="1" a="1"/>
  <c r="T94" i="7" s="1"/>
  <c r="Q538" i="7"/>
  <c r="R538" i="7" s="1"/>
  <c r="T538" i="7" s="1" a="1"/>
  <c r="T538" i="7" s="1"/>
  <c r="Q900" i="7"/>
  <c r="R900" i="7" s="1"/>
  <c r="T900" i="7" s="1" a="1"/>
  <c r="T900" i="7" s="1"/>
  <c r="Q1204" i="7"/>
  <c r="R1204" i="7" s="1"/>
  <c r="T1204" i="7" s="1" a="1"/>
  <c r="T1204" i="7" s="1"/>
  <c r="Q1239" i="7"/>
  <c r="R1239" i="7" s="1"/>
  <c r="T1239" i="7" s="1" a="1"/>
  <c r="T1239" i="7" s="1"/>
  <c r="Q1415" i="7"/>
  <c r="R1415" i="7" s="1"/>
  <c r="T1415" i="7" s="1" a="1"/>
  <c r="T1415" i="7" s="1"/>
  <c r="Q480" i="7"/>
  <c r="R480" i="7" s="1"/>
  <c r="T480" i="7" s="1" a="1"/>
  <c r="T480" i="7" s="1"/>
  <c r="Q1042" i="7"/>
  <c r="R1042" i="7" s="1"/>
  <c r="T1042" i="7" s="1" a="1"/>
  <c r="T1042" i="7" s="1"/>
  <c r="Q1350" i="7"/>
  <c r="R1350" i="7" s="1"/>
  <c r="Q524" i="7"/>
  <c r="R524" i="7" s="1"/>
  <c r="T524" i="7" s="1" a="1"/>
  <c r="T524" i="7" s="1"/>
  <c r="Q973" i="7"/>
  <c r="R973" i="7" s="1"/>
  <c r="Q880" i="7"/>
  <c r="R880" i="7" s="1"/>
  <c r="Q787" i="7"/>
  <c r="R787" i="7" s="1"/>
  <c r="Q1685" i="7"/>
  <c r="R1685" i="7" s="1"/>
  <c r="Q73" i="7"/>
  <c r="R73" i="7" s="1"/>
  <c r="T73" i="7" s="1" a="1"/>
  <c r="T73" i="7" s="1"/>
  <c r="Q199" i="7"/>
  <c r="R199" i="7" s="1"/>
  <c r="T199" i="7" s="1" a="1"/>
  <c r="T199" i="7" s="1"/>
  <c r="Q170" i="7"/>
  <c r="R170" i="7" s="1"/>
  <c r="T170" i="7" s="1" a="1"/>
  <c r="T170" i="7" s="1"/>
  <c r="Q910" i="7"/>
  <c r="R910" i="7" s="1"/>
  <c r="Q16" i="7"/>
  <c r="R16" i="7" s="1"/>
  <c r="T16" i="7" s="1" a="1"/>
  <c r="T16" i="7" s="1"/>
  <c r="Q35" i="7"/>
  <c r="R35" i="7" s="1"/>
  <c r="T35" i="7" s="1" a="1"/>
  <c r="T35" i="7" s="1"/>
  <c r="Q1525" i="7"/>
  <c r="R1525" i="7" s="1"/>
  <c r="T1525" i="7" s="1" a="1"/>
  <c r="T1525" i="7" s="1"/>
  <c r="Q296" i="7"/>
  <c r="R296" i="7" s="1"/>
  <c r="Q664" i="7"/>
  <c r="R664" i="7" s="1"/>
  <c r="T664" i="7" s="1" a="1"/>
  <c r="T664" i="7" s="1"/>
  <c r="Q331" i="7"/>
  <c r="R331" i="7" s="1"/>
  <c r="T331" i="7" s="1" a="1"/>
  <c r="T331" i="7" s="1"/>
  <c r="Q319" i="7"/>
  <c r="R319" i="7" s="1"/>
  <c r="Q1390" i="7"/>
  <c r="R1390" i="7" s="1"/>
  <c r="T1390" i="7" s="1" a="1"/>
  <c r="T1390" i="7" s="1"/>
  <c r="Q974" i="7"/>
  <c r="R974" i="7" s="1"/>
  <c r="Q975" i="7"/>
  <c r="R975" i="7" s="1"/>
  <c r="T975" i="7" s="1" a="1"/>
  <c r="T975" i="7" s="1"/>
  <c r="Q1159" i="7"/>
  <c r="R1159" i="7" s="1"/>
  <c r="Q1576" i="7"/>
  <c r="R1576" i="7" s="1"/>
  <c r="T1576" i="7" s="1" a="1"/>
  <c r="T1576" i="7" s="1"/>
  <c r="Q1494" i="7"/>
  <c r="R1494" i="7" s="1"/>
  <c r="T1494" i="7" s="1" a="1"/>
  <c r="T1494" i="7" s="1"/>
  <c r="Q1450" i="7"/>
  <c r="R1450" i="7" s="1"/>
  <c r="T1450" i="7" s="1" a="1"/>
  <c r="T1450" i="7" s="1"/>
  <c r="Q1370" i="7"/>
  <c r="R1370" i="7" s="1"/>
  <c r="T1370" i="7" s="1" a="1"/>
  <c r="T1370" i="7" s="1"/>
  <c r="Q1196" i="7"/>
  <c r="R1196" i="7" s="1"/>
  <c r="Q939" i="7"/>
  <c r="R939" i="7" s="1"/>
  <c r="T939" i="7" s="1" a="1"/>
  <c r="T939" i="7" s="1"/>
  <c r="Q954" i="7"/>
  <c r="R954" i="7" s="1"/>
  <c r="S315" i="7"/>
  <c r="Q58" i="7"/>
  <c r="R58" i="7" s="1"/>
  <c r="Q1552" i="7"/>
  <c r="R1552" i="7" s="1"/>
  <c r="T1552" i="7" s="1" a="1"/>
  <c r="T1552" i="7" s="1"/>
  <c r="Q1626" i="7"/>
  <c r="R1626" i="7" s="1"/>
  <c r="T1626" i="7" s="1" a="1"/>
  <c r="T1626" i="7" s="1"/>
  <c r="Q724" i="7"/>
  <c r="R724" i="7" s="1"/>
  <c r="T724" i="7" s="1" a="1"/>
  <c r="T724" i="7" s="1"/>
  <c r="Q838" i="7"/>
  <c r="R838" i="7" s="1"/>
  <c r="T838" i="7" s="1" a="1"/>
  <c r="T838" i="7" s="1"/>
  <c r="Q1602" i="7"/>
  <c r="R1602" i="7" s="1"/>
  <c r="T1602" i="7" s="1" a="1"/>
  <c r="T1602" i="7" s="1"/>
  <c r="Q1625" i="7"/>
  <c r="R1625" i="7" s="1"/>
  <c r="T1625" i="7" s="1" a="1"/>
  <c r="T1625" i="7" s="1"/>
  <c r="Q815" i="7"/>
  <c r="R815" i="7" s="1"/>
  <c r="Q1194" i="7"/>
  <c r="R1194" i="7" s="1"/>
  <c r="T1194" i="7" s="1" a="1"/>
  <c r="T1194" i="7" s="1"/>
  <c r="Q770" i="7"/>
  <c r="R770" i="7" s="1"/>
  <c r="T770" i="7" s="1" a="1"/>
  <c r="T770" i="7" s="1"/>
  <c r="Q1217" i="7"/>
  <c r="R1217" i="7" s="1"/>
  <c r="T1217" i="7" s="1" a="1"/>
  <c r="T1217" i="7" s="1"/>
  <c r="Q207" i="7"/>
  <c r="R207" i="7" s="1"/>
  <c r="Q290" i="7"/>
  <c r="R290" i="7" s="1"/>
  <c r="Q753" i="7"/>
  <c r="R753" i="7" s="1"/>
  <c r="T753" i="7" s="1" a="1"/>
  <c r="T753" i="7" s="1"/>
  <c r="Q350" i="7"/>
  <c r="R350" i="7" s="1"/>
  <c r="Q621" i="7"/>
  <c r="R621" i="7" s="1"/>
  <c r="T621" i="7" s="1" a="1"/>
  <c r="T621" i="7" s="1"/>
  <c r="Q862" i="7"/>
  <c r="R862" i="7" s="1"/>
  <c r="T862" i="7" s="1" a="1"/>
  <c r="T862" i="7" s="1"/>
  <c r="Q1457" i="7"/>
  <c r="R1457" i="7" s="1"/>
  <c r="T1457" i="7" s="1" a="1"/>
  <c r="T1457" i="7" s="1"/>
  <c r="Q437" i="7"/>
  <c r="R437" i="7" s="1"/>
  <c r="T437" i="7" s="1" a="1"/>
  <c r="T437" i="7" s="1"/>
  <c r="Q723" i="7"/>
  <c r="R723" i="7" s="1"/>
  <c r="T723" i="7" s="1" a="1"/>
  <c r="T723" i="7" s="1"/>
  <c r="Q176" i="7"/>
  <c r="R176" i="7" s="1"/>
  <c r="Q1586" i="7"/>
  <c r="R1586" i="7" s="1"/>
  <c r="T1586" i="7" s="1" a="1"/>
  <c r="T1586" i="7" s="1"/>
  <c r="Q1209" i="7"/>
  <c r="R1209" i="7" s="1"/>
  <c r="Q1297" i="7"/>
  <c r="R1297" i="7" s="1"/>
  <c r="T1297" i="7" s="1" a="1"/>
  <c r="T1297" i="7" s="1"/>
  <c r="Q1488" i="7"/>
  <c r="R1488" i="7" s="1"/>
  <c r="T1488" i="7" s="1" a="1"/>
  <c r="T1488" i="7" s="1"/>
  <c r="Q876" i="7"/>
  <c r="R876" i="7" s="1"/>
  <c r="Q241" i="7"/>
  <c r="R241" i="7" s="1"/>
  <c r="T241" i="7" s="1" a="1"/>
  <c r="T241" i="7" s="1"/>
  <c r="Q639" i="7"/>
  <c r="R639" i="7" s="1"/>
  <c r="T639" i="7" s="1" a="1"/>
  <c r="T639" i="7" s="1"/>
  <c r="Q697" i="7"/>
  <c r="R697" i="7" s="1"/>
  <c r="T697" i="7" s="1" a="1"/>
  <c r="T697" i="7" s="1"/>
  <c r="Q1540" i="7"/>
  <c r="R1540" i="7" s="1"/>
  <c r="T1540" i="7" s="1" a="1"/>
  <c r="T1540" i="7" s="1"/>
  <c r="Q391" i="7"/>
  <c r="R391" i="7" s="1"/>
  <c r="T391" i="7" s="1" a="1"/>
  <c r="T391" i="7" s="1"/>
  <c r="Q573" i="7"/>
  <c r="R573" i="7" s="1"/>
  <c r="T573" i="7" s="1" a="1"/>
  <c r="T573" i="7" s="1"/>
  <c r="Q622" i="7"/>
  <c r="R622" i="7" s="1"/>
  <c r="Q1169" i="7"/>
  <c r="R1169" i="7" s="1"/>
  <c r="T1169" i="7" s="1" a="1"/>
  <c r="T1169" i="7" s="1"/>
  <c r="Q69" i="7"/>
  <c r="R69" i="7" s="1"/>
  <c r="T69" i="7" s="1" a="1"/>
  <c r="T69" i="7" s="1"/>
  <c r="Q277" i="7"/>
  <c r="R277" i="7" s="1"/>
  <c r="T277" i="7" s="1" a="1"/>
  <c r="T277" i="7" s="1"/>
  <c r="Q423" i="7"/>
  <c r="R423" i="7" s="1"/>
  <c r="T423" i="7" s="1" a="1"/>
  <c r="T423" i="7" s="1"/>
  <c r="Q418" i="7"/>
  <c r="R418" i="7" s="1"/>
  <c r="T418" i="7" s="1" a="1"/>
  <c r="T418" i="7" s="1"/>
  <c r="Q1119" i="7"/>
  <c r="R1119" i="7" s="1"/>
  <c r="T1119" i="7" s="1" a="1"/>
  <c r="T1119" i="7" s="1"/>
  <c r="Q151" i="7"/>
  <c r="R151" i="7" s="1"/>
  <c r="Q461" i="7"/>
  <c r="R461" i="7" s="1"/>
  <c r="T461" i="7" s="1" a="1"/>
  <c r="T461" i="7" s="1"/>
  <c r="Q1256" i="7"/>
  <c r="R1256" i="7" s="1"/>
  <c r="Q1121" i="7"/>
  <c r="R1121" i="7" s="1"/>
  <c r="T1121" i="7" s="1" a="1"/>
  <c r="T1121" i="7" s="1"/>
  <c r="Q578" i="7"/>
  <c r="R578" i="7" s="1"/>
  <c r="T578" i="7" s="1" a="1"/>
  <c r="T578" i="7" s="1"/>
  <c r="Q1661" i="7"/>
  <c r="R1661" i="7" s="1"/>
  <c r="Q90" i="7"/>
  <c r="R90" i="7" s="1"/>
  <c r="Q1378" i="7"/>
  <c r="R1378" i="7" s="1"/>
  <c r="S56" i="7"/>
  <c r="Q57" i="7"/>
  <c r="R57" i="7" s="1"/>
  <c r="T57" i="7" s="1" a="1"/>
  <c r="T57" i="7" s="1"/>
  <c r="Q808" i="7"/>
  <c r="R808" i="7" s="1"/>
  <c r="T808" i="7" s="1" a="1"/>
  <c r="T808" i="7" s="1"/>
  <c r="Q1650" i="7"/>
  <c r="R1650" i="7" s="1"/>
  <c r="Q1027" i="7"/>
  <c r="R1027" i="7" s="1"/>
  <c r="T1027" i="7" s="1" a="1"/>
  <c r="T1027" i="7" s="1"/>
  <c r="Q1327" i="7"/>
  <c r="R1327" i="7" s="1"/>
  <c r="Q1656" i="7"/>
  <c r="R1656" i="7" s="1"/>
  <c r="Q7" i="7"/>
  <c r="R7" i="7" s="1"/>
  <c r="T7" i="7" s="1" a="1"/>
  <c r="T7" i="7" s="1"/>
  <c r="Q107" i="7"/>
  <c r="R107" i="7" s="1"/>
  <c r="Q1422" i="7"/>
  <c r="R1422" i="7" s="1"/>
  <c r="T1422" i="7" s="1" a="1"/>
  <c r="T1422" i="7" s="1"/>
  <c r="Q1550" i="7"/>
  <c r="R1550" i="7" s="1"/>
  <c r="Q430" i="7"/>
  <c r="R430" i="7" s="1"/>
  <c r="T430" i="7" s="1" a="1"/>
  <c r="T430" i="7" s="1"/>
  <c r="Q1040" i="7"/>
  <c r="R1040" i="7" s="1"/>
  <c r="T1040" i="7" s="1" a="1"/>
  <c r="T1040" i="7" s="1"/>
  <c r="Q264" i="7"/>
  <c r="R264" i="7" s="1"/>
  <c r="T264" i="7" s="1" a="1"/>
  <c r="T264" i="7" s="1"/>
  <c r="Q226" i="7"/>
  <c r="R226" i="7" s="1"/>
  <c r="T226" i="7" s="1" a="1"/>
  <c r="T226" i="7" s="1"/>
  <c r="S776" i="7"/>
  <c r="Q1441" i="7"/>
  <c r="R1441" i="7" s="1"/>
  <c r="T1441" i="7" s="1" a="1"/>
  <c r="T1441" i="7" s="1"/>
  <c r="Q944" i="7"/>
  <c r="R944" i="7" s="1"/>
  <c r="T944" i="7" s="1" a="1"/>
  <c r="T944" i="7" s="1"/>
  <c r="Q1547" i="7"/>
  <c r="R1547" i="7" s="1"/>
  <c r="T1547" i="7" s="1" a="1"/>
  <c r="T1547" i="7" s="1"/>
  <c r="Q12" i="7"/>
  <c r="R12" i="7" s="1"/>
  <c r="T12" i="7" s="1" a="1"/>
  <c r="T12" i="7" s="1"/>
  <c r="Q78" i="7"/>
  <c r="R78" i="7" s="1"/>
  <c r="Q943" i="7"/>
  <c r="R943" i="7" s="1"/>
  <c r="Q1205" i="7"/>
  <c r="R1205" i="7" s="1"/>
  <c r="T1205" i="7" s="1" a="1"/>
  <c r="T1205" i="7" s="1"/>
  <c r="S1687" i="7"/>
  <c r="Q1654" i="7"/>
  <c r="R1654" i="7" s="1"/>
  <c r="Q1615" i="7"/>
  <c r="R1615" i="7" s="1"/>
  <c r="T1615" i="7" s="1" a="1"/>
  <c r="T1615" i="7" s="1"/>
  <c r="S1484" i="7"/>
  <c r="S1476" i="7"/>
  <c r="S1348" i="7"/>
  <c r="S1274" i="7"/>
  <c r="Q1087" i="7"/>
  <c r="R1087" i="7" s="1"/>
  <c r="S979" i="7"/>
  <c r="S367" i="7"/>
  <c r="Q731" i="7"/>
  <c r="R731" i="7" s="1"/>
  <c r="Q1094" i="7"/>
  <c r="R1094" i="7" s="1"/>
  <c r="Q1364" i="7"/>
  <c r="R1364" i="7" s="1"/>
  <c r="T1364" i="7" s="1" a="1"/>
  <c r="T1364" i="7" s="1"/>
  <c r="Q572" i="7"/>
  <c r="R572" i="7" s="1"/>
  <c r="T572" i="7" s="1" a="1"/>
  <c r="T572" i="7" s="1"/>
  <c r="Q1096" i="7"/>
  <c r="R1096" i="7" s="1"/>
  <c r="Q861" i="7"/>
  <c r="R861" i="7" s="1"/>
  <c r="T861" i="7" s="1" a="1"/>
  <c r="T861" i="7" s="1"/>
  <c r="Q1436" i="7"/>
  <c r="R1436" i="7" s="1"/>
  <c r="T1436" i="7" s="1" a="1"/>
  <c r="T1436" i="7" s="1"/>
  <c r="Q768" i="7"/>
  <c r="R768" i="7" s="1"/>
  <c r="Q1373" i="7"/>
  <c r="R1373" i="7" s="1"/>
  <c r="Q506" i="7"/>
  <c r="R506" i="7" s="1"/>
  <c r="Q377" i="7"/>
  <c r="R377" i="7" s="1"/>
  <c r="T377" i="7" s="1" a="1"/>
  <c r="T377" i="7" s="1"/>
  <c r="Q666" i="7"/>
  <c r="R666" i="7" s="1"/>
  <c r="T666" i="7" s="1" a="1"/>
  <c r="T666" i="7" s="1"/>
  <c r="Q1342" i="7"/>
  <c r="R1342" i="7" s="1"/>
  <c r="T1342" i="7" s="1" a="1"/>
  <c r="T1342" i="7" s="1"/>
  <c r="Q161" i="7"/>
  <c r="R161" i="7" s="1"/>
  <c r="Q623" i="7"/>
  <c r="R623" i="7" s="1"/>
  <c r="Q1414" i="7"/>
  <c r="R1414" i="7" s="1"/>
  <c r="T1414" i="7" s="1" a="1"/>
  <c r="T1414" i="7" s="1"/>
  <c r="Q51" i="7"/>
  <c r="R51" i="7" s="1"/>
  <c r="T51" i="7" s="1" a="1"/>
  <c r="T51" i="7" s="1"/>
  <c r="Q49" i="7"/>
  <c r="R49" i="7" s="1"/>
  <c r="Q1232" i="7"/>
  <c r="R1232" i="7" s="1"/>
  <c r="T1232" i="7" s="1" a="1"/>
  <c r="T1232" i="7" s="1"/>
  <c r="Q1544" i="7"/>
  <c r="R1544" i="7" s="1"/>
  <c r="Q219" i="7"/>
  <c r="R219" i="7" s="1"/>
  <c r="T219" i="7" s="1" a="1"/>
  <c r="T219" i="7" s="1"/>
  <c r="Q649" i="7"/>
  <c r="R649" i="7" s="1"/>
  <c r="Q1680" i="7"/>
  <c r="R1680" i="7" s="1"/>
  <c r="T1680" i="7" s="1" a="1"/>
  <c r="T1680" i="7" s="1"/>
  <c r="Q746" i="7"/>
  <c r="R746" i="7" s="1"/>
  <c r="T746" i="7" s="1" a="1"/>
  <c r="T746" i="7" s="1"/>
  <c r="Q1026" i="7"/>
  <c r="R1026" i="7" s="1"/>
  <c r="T1026" i="7" s="1" a="1"/>
  <c r="T1026" i="7" s="1"/>
  <c r="Q23" i="7"/>
  <c r="R23" i="7" s="1"/>
  <c r="T23" i="7" s="1" a="1"/>
  <c r="T23" i="7" s="1"/>
  <c r="Q508" i="7"/>
  <c r="R508" i="7" s="1"/>
  <c r="Q1208" i="7"/>
  <c r="R1208" i="7" s="1"/>
  <c r="T1208" i="7" s="1" a="1"/>
  <c r="T1208" i="7" s="1"/>
  <c r="S239" i="7"/>
  <c r="S214" i="7"/>
  <c r="Q182" i="7"/>
  <c r="R182" i="7" s="1"/>
  <c r="T182" i="7" s="1" a="1"/>
  <c r="T182" i="7" s="1"/>
  <c r="Q299" i="7"/>
  <c r="R299" i="7" s="1"/>
  <c r="T299" i="7" s="1" a="1"/>
  <c r="T299" i="7" s="1"/>
  <c r="Q193" i="7"/>
  <c r="R193" i="7" s="1"/>
  <c r="T193" i="7" s="1" a="1"/>
  <c r="T193" i="7" s="1"/>
  <c r="Q586" i="7"/>
  <c r="R586" i="7" s="1"/>
  <c r="Q353" i="7"/>
  <c r="R353" i="7" s="1"/>
  <c r="Q707" i="7"/>
  <c r="R707" i="7" s="1"/>
  <c r="Q850" i="7"/>
  <c r="R850" i="7" s="1"/>
  <c r="Q140" i="7"/>
  <c r="R140" i="7" s="1"/>
  <c r="T140" i="7" s="1" a="1"/>
  <c r="T140" i="7" s="1"/>
  <c r="Q1467" i="7"/>
  <c r="R1467" i="7" s="1"/>
  <c r="T1467" i="7" s="1" a="1"/>
  <c r="T1467" i="7" s="1"/>
  <c r="Q786" i="7"/>
  <c r="R786" i="7" s="1"/>
  <c r="T786" i="7" s="1" a="1"/>
  <c r="T786" i="7" s="1"/>
  <c r="Q1583" i="7"/>
  <c r="R1583" i="7" s="1"/>
  <c r="T1583" i="7" s="1" a="1"/>
  <c r="T1583" i="7" s="1"/>
  <c r="Q159" i="7"/>
  <c r="R159" i="7" s="1"/>
  <c r="T159" i="7" s="1" a="1"/>
  <c r="T159" i="7" s="1"/>
  <c r="Q555" i="7"/>
  <c r="R555" i="7" s="1"/>
  <c r="T555" i="7" s="1" a="1"/>
  <c r="T555" i="7" s="1"/>
  <c r="Q1312" i="7"/>
  <c r="R1312" i="7" s="1"/>
  <c r="Q246" i="7"/>
  <c r="R246" i="7" s="1"/>
  <c r="T246" i="7" s="1" a="1"/>
  <c r="T246" i="7" s="1"/>
  <c r="Q1118" i="7"/>
  <c r="R1118" i="7" s="1"/>
  <c r="Q1044" i="7"/>
  <c r="R1044" i="7" s="1"/>
  <c r="T1044" i="7" s="1" a="1"/>
  <c r="T1044" i="7" s="1"/>
  <c r="Q962" i="7"/>
  <c r="R962" i="7" s="1"/>
  <c r="Q745" i="7"/>
  <c r="R745" i="7" s="1"/>
  <c r="Q1608" i="7"/>
  <c r="R1608" i="7" s="1"/>
  <c r="T1608" i="7" s="1" a="1"/>
  <c r="T1608" i="7" s="1"/>
  <c r="Q1420" i="7"/>
  <c r="R1420" i="7" s="1"/>
  <c r="T1420" i="7" s="1" a="1"/>
  <c r="T1420" i="7" s="1"/>
  <c r="Q912" i="7"/>
  <c r="R912" i="7" s="1"/>
  <c r="T912" i="7" s="1" a="1"/>
  <c r="T912" i="7" s="1"/>
  <c r="Q31" i="7"/>
  <c r="R31" i="7" s="1"/>
  <c r="T31" i="7" s="1" a="1"/>
  <c r="T31" i="7" s="1"/>
  <c r="Q537" i="7"/>
  <c r="R537" i="7" s="1"/>
  <c r="T537" i="7" s="1" a="1"/>
  <c r="T537" i="7" s="1"/>
  <c r="Q236" i="7"/>
  <c r="R236" i="7" s="1"/>
  <c r="Q421" i="7"/>
  <c r="R421" i="7" s="1"/>
  <c r="Q148" i="7"/>
  <c r="R148" i="7" s="1"/>
  <c r="T148" i="7" s="1" a="1"/>
  <c r="T148" i="7" s="1"/>
  <c r="Q597" i="7"/>
  <c r="R597" i="7" s="1"/>
  <c r="T597" i="7" s="1" a="1"/>
  <c r="T597" i="7" s="1"/>
  <c r="Q987" i="7"/>
  <c r="R987" i="7" s="1"/>
  <c r="Q816" i="7"/>
  <c r="R816" i="7" s="1"/>
  <c r="T816" i="7" s="1" a="1"/>
  <c r="T816" i="7" s="1"/>
  <c r="Q336" i="7"/>
  <c r="R336" i="7" s="1"/>
  <c r="Q426" i="7"/>
  <c r="R426" i="7" s="1"/>
  <c r="T426" i="7" s="1" a="1"/>
  <c r="T426" i="7" s="1"/>
  <c r="Q448" i="7"/>
  <c r="R448" i="7" s="1"/>
  <c r="T448" i="7" s="1" a="1"/>
  <c r="T448" i="7" s="1"/>
  <c r="Q750" i="7"/>
  <c r="R750" i="7" s="1"/>
  <c r="T750" i="7" s="1" a="1"/>
  <c r="T750" i="7" s="1"/>
  <c r="Q1076" i="7"/>
  <c r="R1076" i="7" s="1"/>
  <c r="T1076" i="7" s="1" a="1"/>
  <c r="T1076" i="7" s="1"/>
  <c r="Q875" i="7"/>
  <c r="R875" i="7" s="1"/>
  <c r="Q1603" i="7"/>
  <c r="R1603" i="7" s="1"/>
  <c r="Q1392" i="7"/>
  <c r="R1392" i="7" s="1"/>
  <c r="Q1252" i="7"/>
  <c r="R1252" i="7" s="1"/>
  <c r="T1252" i="7" s="1" a="1"/>
  <c r="T1252" i="7" s="1"/>
  <c r="Q1668" i="7"/>
  <c r="R1668" i="7" s="1"/>
  <c r="T1668" i="7" s="1" a="1"/>
  <c r="T1668" i="7" s="1"/>
  <c r="Q1223" i="7"/>
  <c r="R1223" i="7" s="1"/>
  <c r="T1223" i="7" s="1" a="1"/>
  <c r="T1223" i="7" s="1"/>
  <c r="Q1215" i="7"/>
  <c r="R1215" i="7" s="1"/>
  <c r="T1215" i="7" s="1" a="1"/>
  <c r="T1215" i="7" s="1"/>
  <c r="Q1449" i="7"/>
  <c r="R1449" i="7" s="1"/>
  <c r="T1449" i="7" s="1" a="1"/>
  <c r="T1449" i="7" s="1"/>
  <c r="Q1055" i="7"/>
  <c r="R1055" i="7" s="1"/>
  <c r="T1055" i="7" s="1" a="1"/>
  <c r="T1055" i="7" s="1"/>
  <c r="Q632" i="7"/>
  <c r="R632" i="7" s="1"/>
  <c r="Q991" i="7"/>
  <c r="R991" i="7" s="1"/>
  <c r="Q729" i="7"/>
  <c r="R729" i="7" s="1"/>
  <c r="T729" i="7" s="1" a="1"/>
  <c r="T729" i="7" s="1"/>
  <c r="Q928" i="7"/>
  <c r="R928" i="7" s="1"/>
  <c r="Q1266" i="7"/>
  <c r="R1266" i="7" s="1"/>
  <c r="T1266" i="7" s="1" a="1"/>
  <c r="T1266" i="7" s="1"/>
  <c r="Q416" i="7"/>
  <c r="R416" i="7" s="1"/>
  <c r="Q432" i="7"/>
  <c r="R432" i="7" s="1"/>
  <c r="T432" i="7" s="1" a="1"/>
  <c r="T432" i="7" s="1"/>
  <c r="Q728" i="7"/>
  <c r="R728" i="7" s="1"/>
  <c r="T728" i="7" s="1" a="1"/>
  <c r="T728" i="7" s="1"/>
  <c r="Q1482" i="7"/>
  <c r="R1482" i="7" s="1"/>
  <c r="Q1101" i="7"/>
  <c r="R1101" i="7" s="1"/>
  <c r="Q1352" i="7"/>
  <c r="R1352" i="7" s="1"/>
  <c r="S9" i="7"/>
  <c r="Q404" i="7"/>
  <c r="R404" i="7" s="1"/>
  <c r="T404" i="7" s="1" a="1"/>
  <c r="T404" i="7" s="1"/>
  <c r="Q142" i="7"/>
  <c r="R142" i="7" s="1"/>
  <c r="T142" i="7" s="1" a="1"/>
  <c r="T142" i="7" s="1"/>
  <c r="Q1357" i="7"/>
  <c r="R1357" i="7" s="1"/>
  <c r="Q1429" i="7"/>
  <c r="R1429" i="7" s="1"/>
  <c r="T1429" i="7" s="1" a="1"/>
  <c r="T1429" i="7" s="1"/>
  <c r="Q34" i="7"/>
  <c r="R34" i="7" s="1"/>
  <c r="Q1459" i="7"/>
  <c r="R1459" i="7" s="1"/>
  <c r="T1459" i="7" s="1" a="1"/>
  <c r="T1459" i="7" s="1"/>
  <c r="Q1491" i="7"/>
  <c r="R1491" i="7" s="1"/>
  <c r="T1491" i="7" s="1" a="1"/>
  <c r="T1491" i="7" s="1"/>
  <c r="S275" i="7"/>
  <c r="Q927" i="7"/>
  <c r="R927" i="7" s="1"/>
  <c r="T927" i="7" s="1" a="1"/>
  <c r="T927" i="7" s="1"/>
  <c r="Q919" i="7"/>
  <c r="R919" i="7" s="1"/>
  <c r="T919" i="7" s="1" a="1"/>
  <c r="T919" i="7" s="1"/>
  <c r="Q52" i="7"/>
  <c r="R52" i="7" s="1"/>
  <c r="T52" i="7" s="1" a="1"/>
  <c r="T52" i="7" s="1"/>
  <c r="Q120" i="7"/>
  <c r="R120" i="7" s="1"/>
  <c r="Q1210" i="7"/>
  <c r="R1210" i="7" s="1"/>
  <c r="T1210" i="7" s="1" a="1"/>
  <c r="T1210" i="7" s="1"/>
  <c r="Q1580" i="7"/>
  <c r="R1580" i="7" s="1"/>
  <c r="Q1182" i="7"/>
  <c r="R1182" i="7" s="1"/>
  <c r="T1182" i="7" s="1" a="1"/>
  <c r="T1182" i="7" s="1"/>
  <c r="Q1216" i="7"/>
  <c r="R1216" i="7" s="1"/>
  <c r="T1216" i="7" s="1" a="1"/>
  <c r="T1216" i="7" s="1"/>
  <c r="Q896" i="7"/>
  <c r="R896" i="7" s="1"/>
  <c r="Q891" i="7"/>
  <c r="R891" i="7" s="1"/>
  <c r="T891" i="7" s="1" a="1"/>
  <c r="T891" i="7" s="1"/>
  <c r="Q793" i="7"/>
  <c r="R793" i="7" s="1"/>
  <c r="Q1351" i="7"/>
  <c r="R1351" i="7" s="1"/>
  <c r="T1351" i="7" s="1" a="1"/>
  <c r="T1351" i="7" s="1"/>
  <c r="Q1520" i="7"/>
  <c r="R1520" i="7" s="1"/>
  <c r="Q829" i="7"/>
  <c r="R829" i="7" s="1"/>
  <c r="Q300" i="7"/>
  <c r="R300" i="7" s="1"/>
  <c r="T300" i="7" s="1" a="1"/>
  <c r="T300" i="7" s="1"/>
  <c r="Q435" i="7"/>
  <c r="R435" i="7" s="1"/>
  <c r="T435" i="7" s="1" a="1"/>
  <c r="T435" i="7" s="1"/>
  <c r="Q735" i="7"/>
  <c r="R735" i="7" s="1"/>
  <c r="T735" i="7" s="1" a="1"/>
  <c r="T735" i="7" s="1"/>
  <c r="Q518" i="7"/>
  <c r="R518" i="7" s="1"/>
  <c r="Q1300" i="7"/>
  <c r="R1300" i="7" s="1"/>
  <c r="T1300" i="7" s="1" a="1"/>
  <c r="T1300" i="7" s="1"/>
  <c r="Q1982" i="7"/>
  <c r="R1982" i="7" s="1"/>
  <c r="Q1964" i="7"/>
  <c r="R1964" i="7" s="1"/>
  <c r="T1964" i="7" s="1" a="1"/>
  <c r="T1964" i="7" s="1"/>
  <c r="Q1946" i="7"/>
  <c r="R1946" i="7" s="1"/>
  <c r="Q1940" i="7"/>
  <c r="R1940" i="7" s="1"/>
  <c r="T1940" i="7" s="1" a="1"/>
  <c r="T1940" i="7" s="1"/>
  <c r="Q1922" i="7"/>
  <c r="R1922" i="7" s="1"/>
  <c r="Q1916" i="7"/>
  <c r="R1916" i="7" s="1"/>
  <c r="T1916" i="7" s="1" a="1"/>
  <c r="T1916" i="7" s="1"/>
  <c r="Q1886" i="7"/>
  <c r="R1886" i="7" s="1"/>
  <c r="Q1874" i="7"/>
  <c r="R1874" i="7" s="1"/>
  <c r="T1874" i="7" s="1" a="1"/>
  <c r="T1874" i="7" s="1"/>
  <c r="Q1790" i="7"/>
  <c r="R1790" i="7" s="1"/>
  <c r="T1790" i="7" s="1" a="1"/>
  <c r="T1790" i="7" s="1"/>
  <c r="Q1784" i="7"/>
  <c r="R1784" i="7" s="1"/>
  <c r="T1784" i="7" s="1" a="1"/>
  <c r="T1784" i="7" s="1"/>
  <c r="Q1778" i="7"/>
  <c r="R1778" i="7" s="1"/>
  <c r="Q1748" i="7"/>
  <c r="R1748" i="7" s="1"/>
  <c r="T1748" i="7" s="1" a="1"/>
  <c r="T1748" i="7" s="1"/>
  <c r="Q1712" i="7"/>
  <c r="R1712" i="7" s="1"/>
  <c r="Q1706" i="7"/>
  <c r="R1706" i="7" s="1"/>
  <c r="Q1700" i="7"/>
  <c r="R1700" i="7" s="1"/>
  <c r="T1700" i="7" s="1" a="1"/>
  <c r="T1700" i="7" s="1"/>
  <c r="Q1672" i="7"/>
  <c r="R1672" i="7" s="1"/>
  <c r="S1633" i="7"/>
  <c r="Q1568" i="7"/>
  <c r="R1568" i="7" s="1"/>
  <c r="S1243" i="7"/>
  <c r="S1178" i="7"/>
  <c r="S1528" i="7"/>
  <c r="S1254" i="7"/>
  <c r="Q127" i="7"/>
  <c r="R127" i="7" s="1"/>
  <c r="T127" i="7" s="1" a="1"/>
  <c r="T127" i="7" s="1"/>
  <c r="Q999" i="7"/>
  <c r="R999" i="7" s="1"/>
  <c r="T999" i="7" s="1" a="1"/>
  <c r="T999" i="7" s="1"/>
  <c r="Q144" i="7"/>
  <c r="R144" i="7" s="1"/>
  <c r="Q1077" i="7"/>
  <c r="R1077" i="7" s="1"/>
  <c r="T1077" i="7" s="1" a="1"/>
  <c r="T1077" i="7" s="1"/>
  <c r="Q1486" i="7"/>
  <c r="R1486" i="7" s="1"/>
  <c r="T1486" i="7" s="1" a="1"/>
  <c r="T1486" i="7" s="1"/>
  <c r="Q96" i="7"/>
  <c r="R96" i="7" s="1"/>
  <c r="T96" i="7" s="1" a="1"/>
  <c r="T96" i="7" s="1"/>
  <c r="Q160" i="7"/>
  <c r="R160" i="7" s="1"/>
  <c r="T160" i="7" s="1" a="1"/>
  <c r="T160" i="7" s="1"/>
  <c r="Q964" i="7"/>
  <c r="R964" i="7" s="1"/>
  <c r="Q1007" i="7"/>
  <c r="R1007" i="7" s="1"/>
  <c r="Q91" i="7"/>
  <c r="R91" i="7" s="1"/>
  <c r="T91" i="7" s="1" a="1"/>
  <c r="T91" i="7" s="1"/>
  <c r="Q287" i="7"/>
  <c r="R287" i="7" s="1"/>
  <c r="T287" i="7" s="1" a="1"/>
  <c r="T287" i="7" s="1"/>
  <c r="Q1569" i="7"/>
  <c r="R1569" i="7" s="1"/>
  <c r="T1569" i="7" s="1" a="1"/>
  <c r="T1569" i="7" s="1"/>
  <c r="Q374" i="7"/>
  <c r="R374" i="7" s="1"/>
  <c r="T374" i="7" s="1" a="1"/>
  <c r="T374" i="7" s="1"/>
  <c r="Q600" i="7"/>
  <c r="R600" i="7" s="1"/>
  <c r="Q1394" i="7"/>
  <c r="R1394" i="7" s="1"/>
  <c r="Q439" i="7"/>
  <c r="R439" i="7" s="1"/>
  <c r="T439" i="7" s="1" a="1"/>
  <c r="T439" i="7" s="1"/>
  <c r="Q388" i="7"/>
  <c r="R388" i="7" s="1"/>
  <c r="T388" i="7" s="1" a="1"/>
  <c r="T388" i="7" s="1"/>
  <c r="Q1035" i="7"/>
  <c r="R1035" i="7" s="1"/>
  <c r="T1035" i="7" s="1" a="1"/>
  <c r="T1035" i="7" s="1"/>
  <c r="Q65" i="7"/>
  <c r="R65" i="7" s="1"/>
  <c r="T65" i="7" s="1" a="1"/>
  <c r="T65" i="7" s="1"/>
  <c r="Q660" i="7"/>
  <c r="R660" i="7" s="1"/>
  <c r="Q995" i="7"/>
  <c r="R995" i="7" s="1"/>
  <c r="Q1247" i="7"/>
  <c r="R1247" i="7" s="1"/>
  <c r="Q1375" i="7"/>
  <c r="R1375" i="7" s="1"/>
  <c r="T1375" i="7" s="1" a="1"/>
  <c r="T1375" i="7" s="1"/>
  <c r="Q323" i="7"/>
  <c r="R323" i="7" s="1"/>
  <c r="T323" i="7" s="1" a="1"/>
  <c r="T323" i="7" s="1"/>
  <c r="Q1372" i="7"/>
  <c r="R1372" i="7" s="1"/>
  <c r="T1372" i="7" s="1" a="1"/>
  <c r="T1372" i="7" s="1"/>
  <c r="Q436" i="7"/>
  <c r="R436" i="7" s="1"/>
  <c r="Q1197" i="7"/>
  <c r="R1197" i="7" s="1"/>
  <c r="Q195" i="7"/>
  <c r="R195" i="7" s="1"/>
  <c r="T195" i="7" s="1" a="1"/>
  <c r="T195" i="7" s="1"/>
  <c r="Q479" i="7"/>
  <c r="R479" i="7" s="1"/>
  <c r="Q564" i="7"/>
  <c r="R564" i="7" s="1"/>
  <c r="T564" i="7" s="1" a="1"/>
  <c r="T564" i="7" s="1"/>
  <c r="Q1016" i="7"/>
  <c r="R1016" i="7" s="1"/>
  <c r="Q1393" i="7"/>
  <c r="R1393" i="7" s="1"/>
  <c r="Q775" i="7"/>
  <c r="R775" i="7" s="1"/>
  <c r="Q1025" i="7"/>
  <c r="R1025" i="7" s="1"/>
  <c r="Q966" i="7"/>
  <c r="R966" i="7" s="1"/>
  <c r="Q398" i="7"/>
  <c r="R398" i="7" s="1"/>
  <c r="T398" i="7" s="1" a="1"/>
  <c r="T398" i="7" s="1"/>
  <c r="Q784" i="7"/>
  <c r="R784" i="7" s="1"/>
  <c r="Q1444" i="7"/>
  <c r="R1444" i="7" s="1"/>
  <c r="T1444" i="7" s="1" a="1"/>
  <c r="T1444" i="7" s="1"/>
  <c r="Q466" i="7"/>
  <c r="R466" i="7" s="1"/>
  <c r="T466" i="7" s="1" a="1"/>
  <c r="T466" i="7" s="1"/>
  <c r="Q346" i="7"/>
  <c r="R346" i="7" s="1"/>
  <c r="Q1555" i="7"/>
  <c r="R1555" i="7" s="1"/>
  <c r="T1555" i="7" s="1" a="1"/>
  <c r="T1555" i="7" s="1"/>
  <c r="Q1198" i="7"/>
  <c r="R1198" i="7" s="1"/>
  <c r="T1198" i="7" s="1" a="1"/>
  <c r="T1198" i="7" s="1"/>
  <c r="Q1102" i="7"/>
  <c r="R1102" i="7" s="1"/>
  <c r="Q1235" i="7"/>
  <c r="R1235" i="7" s="1"/>
  <c r="Q444" i="7"/>
  <c r="R444" i="7" s="1"/>
  <c r="Q963" i="7"/>
  <c r="R963" i="7" s="1"/>
  <c r="T963" i="7" s="1" a="1"/>
  <c r="T963" i="7" s="1"/>
  <c r="Q1448" i="7"/>
  <c r="R1448" i="7" s="1"/>
  <c r="T1448" i="7" s="1" a="1"/>
  <c r="T1448" i="7" s="1"/>
  <c r="Q580" i="7"/>
  <c r="R580" i="7" s="1"/>
  <c r="Q396" i="7"/>
  <c r="R396" i="7" s="1"/>
  <c r="T396" i="7" s="1" a="1"/>
  <c r="T396" i="7" s="1"/>
  <c r="Q1143" i="7"/>
  <c r="R1143" i="7" s="1"/>
  <c r="T1143" i="7" s="1" a="1"/>
  <c r="T1143" i="7" s="1"/>
  <c r="Q1594" i="7"/>
  <c r="R1594" i="7" s="1"/>
  <c r="Q671" i="7"/>
  <c r="R671" i="7" s="1"/>
  <c r="T671" i="7" s="1" a="1"/>
  <c r="T671" i="7" s="1"/>
  <c r="Q1187" i="7"/>
  <c r="R1187" i="7" s="1"/>
  <c r="T1187" i="7" s="1" a="1"/>
  <c r="T1187" i="7" s="1"/>
  <c r="Q1202" i="7"/>
  <c r="R1202" i="7" s="1"/>
  <c r="Q651" i="7"/>
  <c r="R651" i="7" s="1"/>
  <c r="Q406" i="7"/>
  <c r="R406" i="7" s="1"/>
  <c r="Q935" i="7"/>
  <c r="R935" i="7" s="1"/>
  <c r="Q1667" i="7"/>
  <c r="R1667" i="7" s="1"/>
  <c r="Q1131" i="7"/>
  <c r="R1131" i="7" s="1"/>
  <c r="Q1380" i="7"/>
  <c r="R1380" i="7" s="1"/>
  <c r="T1380" i="7" s="1" a="1"/>
  <c r="T1380" i="7" s="1"/>
  <c r="Q1144" i="7"/>
  <c r="R1144" i="7" s="1"/>
  <c r="T1144" i="7" s="1" a="1"/>
  <c r="T1144" i="7" s="1"/>
  <c r="Q1573" i="7"/>
  <c r="R1573" i="7" s="1"/>
  <c r="Q1237" i="7"/>
  <c r="R1237" i="7" s="1"/>
  <c r="Q1515" i="7"/>
  <c r="R1515" i="7" s="1"/>
  <c r="T1515" i="7" s="1" a="1"/>
  <c r="T1515" i="7" s="1"/>
  <c r="Q295" i="7"/>
  <c r="R295" i="7" s="1"/>
  <c r="T295" i="7" s="1" a="1"/>
  <c r="T295" i="7" s="1"/>
  <c r="Q200" i="7"/>
  <c r="R200" i="7" s="1"/>
  <c r="Q665" i="7"/>
  <c r="R665" i="7" s="1"/>
  <c r="Q1226" i="7"/>
  <c r="R1226" i="7" s="1"/>
  <c r="T1226" i="7" s="1" a="1"/>
  <c r="T1226" i="7" s="1"/>
  <c r="S949" i="7"/>
  <c r="Q536" i="7"/>
  <c r="R536" i="7" s="1"/>
  <c r="T536" i="7" s="1" a="1"/>
  <c r="T536" i="7" s="1"/>
  <c r="Q343" i="7"/>
  <c r="R343" i="7" s="1"/>
  <c r="Q1688" i="7"/>
  <c r="R1688" i="7" s="1"/>
  <c r="T1688" i="7" s="1" a="1"/>
  <c r="T1688" i="7" s="1"/>
  <c r="S1681" i="7"/>
  <c r="Q1666" i="7"/>
  <c r="R1666" i="7" s="1"/>
  <c r="S1466" i="7"/>
  <c r="S1397" i="7"/>
  <c r="S1267" i="7"/>
  <c r="Q1262" i="7"/>
  <c r="R1262" i="7" s="1"/>
  <c r="Q1258" i="7"/>
  <c r="R1258" i="7" s="1"/>
  <c r="T1258" i="7" s="1" a="1"/>
  <c r="T1258" i="7" s="1"/>
  <c r="S848" i="7"/>
  <c r="Q749" i="7"/>
  <c r="R749" i="7" s="1"/>
  <c r="T749" i="7" s="1" a="1"/>
  <c r="T749" i="7" s="1"/>
  <c r="Q43" i="7"/>
  <c r="R43" i="7" s="1"/>
  <c r="Q1010" i="7"/>
  <c r="R1010" i="7" s="1"/>
  <c r="Q1219" i="7"/>
  <c r="R1219" i="7" s="1"/>
  <c r="T1219" i="7" s="1" a="1"/>
  <c r="T1219" i="7" s="1"/>
  <c r="Q351" i="7"/>
  <c r="R351" i="7" s="1"/>
  <c r="T351" i="7" s="1" a="1"/>
  <c r="T351" i="7" s="1"/>
  <c r="Q763" i="7"/>
  <c r="R763" i="7" s="1"/>
  <c r="T763" i="7" s="1" a="1"/>
  <c r="T763" i="7" s="1"/>
  <c r="Q762" i="7"/>
  <c r="R762" i="7" s="1"/>
  <c r="T762" i="7" s="1" a="1"/>
  <c r="T762" i="7" s="1"/>
  <c r="Q1332" i="7"/>
  <c r="R1332" i="7" s="1"/>
  <c r="T1332" i="7" s="1" a="1"/>
  <c r="T1332" i="7" s="1"/>
  <c r="Q1548" i="7"/>
  <c r="R1548" i="7" s="1"/>
  <c r="T1548" i="7" s="1" a="1"/>
  <c r="T1548" i="7" s="1"/>
  <c r="Q901" i="7"/>
  <c r="R901" i="7" s="1"/>
  <c r="T901" i="7" s="1" a="1"/>
  <c r="T901" i="7" s="1"/>
  <c r="Q1166" i="7"/>
  <c r="R1166" i="7" s="1"/>
  <c r="Q419" i="7"/>
  <c r="R419" i="7" s="1"/>
  <c r="T419" i="7" s="1" a="1"/>
  <c r="T419" i="7" s="1"/>
  <c r="Q478" i="7"/>
  <c r="R478" i="7" s="1"/>
  <c r="T478" i="7" s="1" a="1"/>
  <c r="T478" i="7" s="1"/>
  <c r="Q248" i="7"/>
  <c r="R248" i="7" s="1"/>
  <c r="Q687" i="7"/>
  <c r="R687" i="7" s="1"/>
  <c r="Q766" i="7"/>
  <c r="R766" i="7" s="1"/>
  <c r="Q1071" i="7"/>
  <c r="R1071" i="7" s="1"/>
  <c r="T1071" i="7" s="1" a="1"/>
  <c r="T1071" i="7" s="1"/>
  <c r="Q722" i="7"/>
  <c r="R722" i="7" s="1"/>
  <c r="Q252" i="7"/>
  <c r="R252" i="7" s="1"/>
  <c r="Q338" i="7"/>
  <c r="R338" i="7" s="1"/>
  <c r="T338" i="7" s="1" a="1"/>
  <c r="T338" i="7" s="1"/>
  <c r="Q496" i="7"/>
  <c r="R496" i="7" s="1"/>
  <c r="T496" i="7" s="1" a="1"/>
  <c r="T496" i="7" s="1"/>
  <c r="Q981" i="7"/>
  <c r="R981" i="7" s="1"/>
  <c r="T981" i="7" s="1" a="1"/>
  <c r="T981" i="7" s="1"/>
  <c r="Q1107" i="7"/>
  <c r="R1107" i="7" s="1"/>
  <c r="T1107" i="7" s="1" a="1"/>
  <c r="T1107" i="7" s="1"/>
  <c r="Q403" i="7"/>
  <c r="R403" i="7" s="1"/>
  <c r="Q668" i="7"/>
  <c r="R668" i="7" s="1"/>
  <c r="T668" i="7" s="1" a="1"/>
  <c r="T668" i="7" s="1"/>
  <c r="Q878" i="7"/>
  <c r="R878" i="7" s="1"/>
  <c r="Q996" i="7"/>
  <c r="R996" i="7" s="1"/>
  <c r="T996" i="7" s="1" a="1"/>
  <c r="T996" i="7" s="1"/>
  <c r="Q349" i="7"/>
  <c r="R349" i="7" s="1"/>
  <c r="Q1180" i="7"/>
  <c r="R1180" i="7" s="1"/>
  <c r="T1180" i="7" s="1" a="1"/>
  <c r="T1180" i="7" s="1"/>
  <c r="Q122" i="7"/>
  <c r="R122" i="7" s="1"/>
  <c r="T122" i="7" s="1" a="1"/>
  <c r="T122" i="7" s="1"/>
  <c r="Q840" i="7"/>
  <c r="R840" i="7" s="1"/>
  <c r="Q604" i="7"/>
  <c r="R604" i="7" s="1"/>
  <c r="Q1031" i="7"/>
  <c r="R1031" i="7" s="1"/>
  <c r="T1031" i="7" s="1" a="1"/>
  <c r="T1031" i="7" s="1"/>
  <c r="Q674" i="7"/>
  <c r="R674" i="7" s="1"/>
  <c r="Q1061" i="7"/>
  <c r="R1061" i="7" s="1"/>
  <c r="Q1100" i="7"/>
  <c r="R1100" i="7" s="1"/>
  <c r="Q789" i="7"/>
  <c r="R789" i="7" s="1"/>
  <c r="T789" i="7" s="1" a="1"/>
  <c r="T789" i="7" s="1"/>
  <c r="Q1095" i="7"/>
  <c r="R1095" i="7" s="1"/>
  <c r="T1095" i="7" s="1" a="1"/>
  <c r="T1095" i="7" s="1"/>
  <c r="Q1174" i="7"/>
  <c r="R1174" i="7" s="1"/>
  <c r="T1174" i="7" s="1" a="1"/>
  <c r="T1174" i="7" s="1"/>
  <c r="Q66" i="7"/>
  <c r="R66" i="7" s="1"/>
  <c r="Q492" i="7"/>
  <c r="R492" i="7" s="1"/>
  <c r="Q986" i="7"/>
  <c r="R986" i="7" s="1"/>
  <c r="T986" i="7" s="1" a="1"/>
  <c r="T986" i="7" s="1"/>
  <c r="Q72" i="7"/>
  <c r="R72" i="7" s="1"/>
  <c r="T72" i="7" s="1" a="1"/>
  <c r="T72" i="7" s="1"/>
  <c r="Q1546" i="7"/>
  <c r="R1546" i="7" s="1"/>
  <c r="Q179" i="7"/>
  <c r="R179" i="7" s="1"/>
  <c r="Q266" i="7"/>
  <c r="R266" i="7" s="1"/>
  <c r="Q361" i="7"/>
  <c r="R361" i="7" s="1"/>
  <c r="Q595" i="7"/>
  <c r="R595" i="7" s="1"/>
  <c r="T595" i="7" s="1" a="1"/>
  <c r="T595" i="7" s="1"/>
  <c r="Q1325" i="7"/>
  <c r="R1325" i="7" s="1"/>
  <c r="T1325" i="7" s="1" a="1"/>
  <c r="T1325" i="7" s="1"/>
  <c r="Q227" i="7"/>
  <c r="R227" i="7" s="1"/>
  <c r="T227" i="7" s="1" a="1"/>
  <c r="T227" i="7" s="1"/>
  <c r="Q1554" i="7"/>
  <c r="R1554" i="7" s="1"/>
  <c r="T1554" i="7" s="1" a="1"/>
  <c r="T1554" i="7" s="1"/>
  <c r="Q276" i="7"/>
  <c r="R276" i="7" s="1"/>
  <c r="T276" i="7" s="1" a="1"/>
  <c r="T276" i="7" s="1"/>
  <c r="Q262" i="7"/>
  <c r="R262" i="7" s="1"/>
  <c r="T262" i="7" s="1" a="1"/>
  <c r="T262" i="7" s="1"/>
  <c r="Q957" i="7"/>
  <c r="R957" i="7" s="1"/>
  <c r="Q1092" i="7"/>
  <c r="R1092" i="7" s="1"/>
  <c r="T1092" i="7" s="1" a="1"/>
  <c r="T1092" i="7" s="1"/>
  <c r="Q711" i="7"/>
  <c r="R711" i="7" s="1"/>
  <c r="Q821" i="7"/>
  <c r="R821" i="7" s="1"/>
  <c r="T821" i="7" s="1" a="1"/>
  <c r="T821" i="7" s="1"/>
  <c r="Q22" i="7"/>
  <c r="R22" i="7" s="1"/>
  <c r="T22" i="7" s="1" a="1"/>
  <c r="T22" i="7" s="1"/>
  <c r="Q410" i="7"/>
  <c r="R410" i="7" s="1"/>
  <c r="T410" i="7" s="1" a="1"/>
  <c r="T410" i="7" s="1"/>
  <c r="Q1416" i="7"/>
  <c r="R1416" i="7" s="1"/>
  <c r="T1416" i="7" s="1" a="1"/>
  <c r="T1416" i="7" s="1"/>
  <c r="Q1108" i="7"/>
  <c r="R1108" i="7" s="1"/>
  <c r="T1108" i="7" s="1" a="1"/>
  <c r="T1108" i="7" s="1"/>
  <c r="Q643" i="7"/>
  <c r="R643" i="7" s="1"/>
  <c r="T643" i="7" s="1" a="1"/>
  <c r="T643" i="7" s="1"/>
  <c r="Q1516" i="7"/>
  <c r="R1516" i="7" s="1"/>
  <c r="T1516" i="7" s="1" a="1"/>
  <c r="T1516" i="7" s="1"/>
  <c r="Q941" i="7"/>
  <c r="R941" i="7" s="1"/>
  <c r="Q1191" i="7"/>
  <c r="R1191" i="7" s="1"/>
  <c r="T1191" i="7" s="1" a="1"/>
  <c r="T1191" i="7" s="1"/>
  <c r="Q877" i="7"/>
  <c r="R877" i="7" s="1"/>
  <c r="T877" i="7" s="1" a="1"/>
  <c r="T877" i="7" s="1"/>
  <c r="Q128" i="7"/>
  <c r="R128" i="7" s="1"/>
  <c r="Q1644" i="7"/>
  <c r="R1644" i="7" s="1"/>
  <c r="T1644" i="7" s="1" a="1"/>
  <c r="T1644" i="7" s="1"/>
  <c r="Q1446" i="7"/>
  <c r="R1446" i="7" s="1"/>
  <c r="T1446" i="7" s="1" a="1"/>
  <c r="T1446" i="7" s="1"/>
  <c r="Q1505" i="7"/>
  <c r="R1505" i="7" s="1"/>
  <c r="T1505" i="7" s="1" a="1"/>
  <c r="T1505" i="7" s="1"/>
  <c r="Q658" i="7"/>
  <c r="R658" i="7" s="1"/>
  <c r="T658" i="7" s="1" a="1"/>
  <c r="T658" i="7" s="1"/>
  <c r="Q616" i="7"/>
  <c r="R616" i="7" s="1"/>
  <c r="T616" i="7" s="1" a="1"/>
  <c r="T616" i="7" s="1"/>
  <c r="S490" i="7"/>
  <c r="S75" i="7"/>
  <c r="Q212" i="7"/>
  <c r="R212" i="7" s="1"/>
  <c r="Q657" i="7"/>
  <c r="R657" i="7" s="1"/>
  <c r="Q662" i="7"/>
  <c r="R662" i="7" s="1"/>
  <c r="Q958" i="7"/>
  <c r="R958" i="7" s="1"/>
  <c r="Q857" i="7"/>
  <c r="R857" i="7" s="1"/>
  <c r="T857" i="7" s="1" a="1"/>
  <c r="T857" i="7" s="1"/>
  <c r="Q379" i="7"/>
  <c r="R379" i="7" s="1"/>
  <c r="Q645" i="7"/>
  <c r="R645" i="7" s="1"/>
  <c r="T645" i="7" s="1" a="1"/>
  <c r="T645" i="7" s="1"/>
  <c r="Q1172" i="7"/>
  <c r="R1172" i="7" s="1"/>
  <c r="Q451" i="7"/>
  <c r="R451" i="7" s="1"/>
  <c r="Q1268" i="7"/>
  <c r="R1268" i="7" s="1"/>
  <c r="T1268" i="7" s="1" a="1"/>
  <c r="T1268" i="7" s="1"/>
  <c r="Q1335" i="7"/>
  <c r="R1335" i="7" s="1"/>
  <c r="Q313" i="7"/>
  <c r="R313" i="7" s="1"/>
  <c r="T313" i="7" s="1" a="1"/>
  <c r="T313" i="7" s="1"/>
  <c r="Q863" i="7"/>
  <c r="R863" i="7" s="1"/>
  <c r="Q1336" i="7"/>
  <c r="R1336" i="7" s="1"/>
  <c r="Q218" i="7"/>
  <c r="R218" i="7" s="1"/>
  <c r="T218" i="7" s="1" a="1"/>
  <c r="T218" i="7" s="1"/>
  <c r="Q684" i="7"/>
  <c r="R684" i="7" s="1"/>
  <c r="T684" i="7" s="1" a="1"/>
  <c r="T684" i="7" s="1"/>
  <c r="Q748" i="7"/>
  <c r="R748" i="7" s="1"/>
  <c r="Q1212" i="7"/>
  <c r="R1212" i="7" s="1"/>
  <c r="Q670" i="7"/>
  <c r="R670" i="7" s="1"/>
  <c r="T670" i="7" s="1" a="1"/>
  <c r="T670" i="7" s="1"/>
  <c r="Q682" i="7"/>
  <c r="R682" i="7" s="1"/>
  <c r="T682" i="7" s="1" a="1"/>
  <c r="T682" i="7" s="1"/>
  <c r="Q817" i="7"/>
  <c r="R817" i="7" s="1"/>
  <c r="Q1136" i="7"/>
  <c r="R1136" i="7" s="1"/>
  <c r="T1136" i="7" s="1" a="1"/>
  <c r="T1136" i="7" s="1"/>
  <c r="Q1460" i="7"/>
  <c r="R1460" i="7" s="1"/>
  <c r="T1460" i="7" s="1" a="1"/>
  <c r="T1460" i="7" s="1"/>
  <c r="Q310" i="7"/>
  <c r="R310" i="7" s="1"/>
  <c r="Q1039" i="7"/>
  <c r="R1039" i="7" s="1"/>
  <c r="T1039" i="7" s="1" a="1"/>
  <c r="T1039" i="7" s="1"/>
  <c r="Q1567" i="7"/>
  <c r="R1567" i="7" s="1"/>
  <c r="Q408" i="7"/>
  <c r="R408" i="7" s="1"/>
  <c r="Q872" i="7"/>
  <c r="R872" i="7" s="1"/>
  <c r="Q1002" i="7"/>
  <c r="R1002" i="7" s="1"/>
  <c r="Q1183" i="7"/>
  <c r="R1183" i="7" s="1"/>
  <c r="Q835" i="7"/>
  <c r="R835" i="7" s="1"/>
  <c r="T835" i="7" s="1" a="1"/>
  <c r="T835" i="7" s="1"/>
  <c r="Q1556" i="7"/>
  <c r="R1556" i="7" s="1"/>
  <c r="Q476" i="7"/>
  <c r="R476" i="7" s="1"/>
  <c r="T476" i="7" s="1" a="1"/>
  <c r="T476" i="7" s="1"/>
  <c r="Q977" i="7"/>
  <c r="R977" i="7" s="1"/>
  <c r="Q198" i="7"/>
  <c r="R198" i="7" s="1"/>
  <c r="Q970" i="7"/>
  <c r="R970" i="7" s="1"/>
  <c r="Q1410" i="7"/>
  <c r="R1410" i="7" s="1"/>
  <c r="Q1349" i="7"/>
  <c r="R1349" i="7" s="1"/>
  <c r="T1349" i="7" s="1" a="1"/>
  <c r="T1349" i="7" s="1"/>
  <c r="Q487" i="7"/>
  <c r="R487" i="7" s="1"/>
  <c r="Q415" i="7"/>
  <c r="R415" i="7" s="1"/>
  <c r="Q510" i="7"/>
  <c r="R510" i="7" s="1"/>
  <c r="Q965" i="7"/>
  <c r="R965" i="7" s="1"/>
  <c r="Q1231" i="7"/>
  <c r="R1231" i="7" s="1"/>
  <c r="Q286" i="7"/>
  <c r="R286" i="7" s="1"/>
  <c r="T286" i="7" s="1" a="1"/>
  <c r="T286" i="7" s="1"/>
  <c r="Q933" i="7"/>
  <c r="R933" i="7" s="1"/>
  <c r="T933" i="7" s="1" a="1"/>
  <c r="T933" i="7" s="1"/>
  <c r="Q81" i="7"/>
  <c r="R81" i="7" s="1"/>
  <c r="T81" i="7" s="1" a="1"/>
  <c r="T81" i="7" s="1"/>
  <c r="Q169" i="7"/>
  <c r="R169" i="7" s="1"/>
  <c r="T169" i="7" s="1" a="1"/>
  <c r="T169" i="7" s="1"/>
  <c r="Q871" i="7"/>
  <c r="R871" i="7" s="1"/>
  <c r="Q1063" i="7"/>
  <c r="R1063" i="7" s="1"/>
  <c r="T1063" i="7" s="1" a="1"/>
  <c r="T1063" i="7" s="1"/>
  <c r="Q1046" i="7"/>
  <c r="R1046" i="7" s="1"/>
  <c r="Q1462" i="7"/>
  <c r="R1462" i="7" s="1"/>
  <c r="Q21" i="7"/>
  <c r="R21" i="7" s="1"/>
  <c r="T21" i="7" s="1" a="1"/>
  <c r="T21" i="7" s="1"/>
  <c r="Q83" i="7"/>
  <c r="R83" i="7" s="1"/>
  <c r="T83" i="7" s="1" a="1"/>
  <c r="T83" i="7" s="1"/>
  <c r="Q522" i="7"/>
  <c r="R522" i="7" s="1"/>
  <c r="Q274" i="7"/>
  <c r="R274" i="7" s="1"/>
  <c r="T274" i="7" s="1" a="1"/>
  <c r="T274" i="7" s="1"/>
  <c r="Q809" i="7"/>
  <c r="R809" i="7" s="1"/>
  <c r="Q847" i="7"/>
  <c r="R847" i="7" s="1"/>
  <c r="T847" i="7" s="1" a="1"/>
  <c r="T847" i="7" s="1"/>
  <c r="Q372" i="7"/>
  <c r="R372" i="7" s="1"/>
  <c r="T372" i="7" s="1" a="1"/>
  <c r="T372" i="7" s="1"/>
  <c r="Q1081" i="7"/>
  <c r="R1081" i="7" s="1"/>
  <c r="Q1122" i="7"/>
  <c r="R1122" i="7" s="1"/>
  <c r="T1122" i="7" s="1" a="1"/>
  <c r="T1122" i="7" s="1"/>
  <c r="Q1609" i="7"/>
  <c r="R1609" i="7" s="1"/>
  <c r="Q690" i="7"/>
  <c r="R690" i="7" s="1"/>
  <c r="T690" i="7" s="1" a="1"/>
  <c r="T690" i="7" s="1"/>
  <c r="Q1052" i="7"/>
  <c r="R1052" i="7" s="1"/>
  <c r="Q1560" i="7"/>
  <c r="R1560" i="7" s="1"/>
  <c r="T1560" i="7" s="1" a="1"/>
  <c r="T1560" i="7" s="1"/>
  <c r="Q1285" i="7"/>
  <c r="R1285" i="7" s="1"/>
  <c r="T1285" i="7" s="1" a="1"/>
  <c r="T1285" i="7" s="1"/>
  <c r="Q1278" i="7"/>
  <c r="R1278" i="7" s="1"/>
  <c r="Q462" i="7"/>
  <c r="R462" i="7" s="1"/>
  <c r="T462" i="7" s="1" a="1"/>
  <c r="T462" i="7" s="1"/>
  <c r="Q1059" i="7"/>
  <c r="R1059" i="7" s="1"/>
  <c r="Q593" i="7"/>
  <c r="R593" i="7" s="1"/>
  <c r="T593" i="7" s="1" a="1"/>
  <c r="T593" i="7" s="1"/>
  <c r="Q802" i="7"/>
  <c r="R802" i="7" s="1"/>
  <c r="T802" i="7" s="1" a="1"/>
  <c r="T802" i="7" s="1"/>
  <c r="Q402" i="7"/>
  <c r="R402" i="7" s="1"/>
  <c r="T402" i="7" s="1" a="1"/>
  <c r="T402" i="7" s="1"/>
  <c r="Q1260" i="7"/>
  <c r="R1260" i="7" s="1"/>
  <c r="T1260" i="7" s="1" a="1"/>
  <c r="T1260" i="7" s="1"/>
  <c r="Q283" i="7"/>
  <c r="R283" i="7" s="1"/>
  <c r="T283" i="7" s="1" a="1"/>
  <c r="T283" i="7" s="1"/>
  <c r="Q1171" i="7"/>
  <c r="R1171" i="7" s="1"/>
  <c r="T1171" i="7" s="1" a="1"/>
  <c r="T1171" i="7" s="1"/>
  <c r="Q721" i="7"/>
  <c r="R721" i="7" s="1"/>
  <c r="T721" i="7" s="1" a="1"/>
  <c r="T721" i="7" s="1"/>
  <c r="Q917" i="7"/>
  <c r="R917" i="7" s="1"/>
  <c r="Q20" i="7"/>
  <c r="R20" i="7" s="1"/>
  <c r="T20" i="7" s="1" a="1"/>
  <c r="T20" i="7" s="1"/>
  <c r="Q213" i="7"/>
  <c r="R213" i="7" s="1"/>
  <c r="T213" i="7" s="1" a="1"/>
  <c r="T213" i="7" s="1"/>
  <c r="Q796" i="7"/>
  <c r="R796" i="7" s="1"/>
  <c r="Q1983" i="7"/>
  <c r="R1983" i="7" s="1"/>
  <c r="T1983" i="7" s="1" a="1"/>
  <c r="T1983" i="7" s="1"/>
  <c r="Q1977" i="7"/>
  <c r="R1977" i="7" s="1"/>
  <c r="Q1971" i="7"/>
  <c r="R1971" i="7" s="1"/>
  <c r="Q1953" i="7"/>
  <c r="R1953" i="7" s="1"/>
  <c r="Q1947" i="7"/>
  <c r="R1947" i="7" s="1"/>
  <c r="T1947" i="7" s="1" a="1"/>
  <c r="T1947" i="7" s="1"/>
  <c r="Q1935" i="7"/>
  <c r="R1935" i="7" s="1"/>
  <c r="Q1929" i="7"/>
  <c r="R1929" i="7" s="1"/>
  <c r="T1929" i="7" s="1" a="1"/>
  <c r="T1929" i="7" s="1"/>
  <c r="Q1911" i="7"/>
  <c r="R1911" i="7" s="1"/>
  <c r="Q1893" i="7"/>
  <c r="R1893" i="7" s="1"/>
  <c r="T1893" i="7" s="1" a="1"/>
  <c r="T1893" i="7" s="1"/>
  <c r="Q1875" i="7"/>
  <c r="R1875" i="7" s="1"/>
  <c r="T1875" i="7" s="1" a="1"/>
  <c r="T1875" i="7" s="1"/>
  <c r="Q1863" i="7"/>
  <c r="R1863" i="7" s="1"/>
  <c r="Q1857" i="7"/>
  <c r="R1857" i="7" s="1"/>
  <c r="Q1827" i="7"/>
  <c r="R1827" i="7" s="1"/>
  <c r="T1827" i="7" s="1" a="1"/>
  <c r="T1827" i="7" s="1"/>
  <c r="Q1821" i="7"/>
  <c r="R1821" i="7" s="1"/>
  <c r="Q1815" i="7"/>
  <c r="R1815" i="7" s="1"/>
  <c r="Q1803" i="7"/>
  <c r="R1803" i="7" s="1"/>
  <c r="Q1779" i="7"/>
  <c r="R1779" i="7" s="1"/>
  <c r="Q1761" i="7"/>
  <c r="R1761" i="7" s="1"/>
  <c r="Q1749" i="7"/>
  <c r="R1749" i="7" s="1"/>
  <c r="Q1719" i="7"/>
  <c r="R1719" i="7" s="1"/>
  <c r="Q1713" i="7"/>
  <c r="R1713" i="7" s="1"/>
  <c r="Q1663" i="7"/>
  <c r="R1663" i="7" s="1"/>
  <c r="S1651" i="7"/>
  <c r="Q1529" i="7"/>
  <c r="R1529" i="7" s="1"/>
  <c r="T1529" i="7" s="1" a="1"/>
  <c r="T1529" i="7" s="1"/>
  <c r="Q1269" i="7"/>
  <c r="R1269" i="7" s="1"/>
  <c r="T1269" i="7" s="1" a="1"/>
  <c r="T1269" i="7" s="1"/>
  <c r="Q1234" i="7"/>
  <c r="R1234" i="7" s="1"/>
  <c r="T1234" i="7" s="1" a="1"/>
  <c r="T1234" i="7" s="1"/>
  <c r="Q1218" i="7"/>
  <c r="R1218" i="7" s="1"/>
  <c r="S1549" i="7"/>
  <c r="Q303" i="7"/>
  <c r="R303" i="7" s="1"/>
  <c r="T303" i="7" s="1" a="1"/>
  <c r="T303" i="7" s="1"/>
  <c r="Q887" i="7"/>
  <c r="R887" i="7" s="1"/>
  <c r="Q992" i="7"/>
  <c r="R992" i="7" s="1"/>
  <c r="Q1255" i="7"/>
  <c r="R1255" i="7" s="1"/>
  <c r="Q428" i="7"/>
  <c r="R428" i="7" s="1"/>
  <c r="Q389" i="7"/>
  <c r="R389" i="7" s="1"/>
  <c r="T389" i="7" s="1" a="1"/>
  <c r="T389" i="7" s="1"/>
  <c r="Q1284" i="7"/>
  <c r="R1284" i="7" s="1"/>
  <c r="T1284" i="7" s="1" a="1"/>
  <c r="T1284" i="7" s="1"/>
  <c r="Q1341" i="7"/>
  <c r="R1341" i="7" s="1"/>
  <c r="T1341" i="7" s="1" a="1"/>
  <c r="T1341" i="7" s="1"/>
  <c r="Q158" i="7"/>
  <c r="R158" i="7" s="1"/>
  <c r="T158" i="7" s="1" a="1"/>
  <c r="T158" i="7" s="1"/>
  <c r="Q271" i="7"/>
  <c r="R271" i="7" s="1"/>
  <c r="Q1090" i="7"/>
  <c r="R1090" i="7" s="1"/>
  <c r="Q1050" i="7"/>
  <c r="R1050" i="7" s="1"/>
  <c r="T1050" i="7" s="1" a="1"/>
  <c r="T1050" i="7" s="1"/>
  <c r="Q1279" i="7"/>
  <c r="R1279" i="7" s="1"/>
  <c r="T1279" i="7" s="1" a="1"/>
  <c r="T1279" i="7" s="1"/>
  <c r="Q1318" i="7"/>
  <c r="R1318" i="7" s="1"/>
  <c r="T1318" i="7" s="1" a="1"/>
  <c r="T1318" i="7" s="1"/>
  <c r="Q1137" i="7"/>
  <c r="R1137" i="7" s="1"/>
  <c r="Q1184" i="7"/>
  <c r="R1184" i="7" s="1"/>
  <c r="T1184" i="7" s="1" a="1"/>
  <c r="T1184" i="7" s="1"/>
  <c r="Q114" i="7"/>
  <c r="R114" i="7" s="1"/>
  <c r="Q475" i="7"/>
  <c r="R475" i="7" s="1"/>
  <c r="T475" i="7" s="1" a="1"/>
  <c r="T475" i="7" s="1"/>
  <c r="Q694" i="7"/>
  <c r="R694" i="7" s="1"/>
  <c r="T694" i="7" s="1" a="1"/>
  <c r="T694" i="7" s="1"/>
  <c r="Q1636" i="7"/>
  <c r="R1636" i="7" s="1"/>
  <c r="T1636" i="7" s="1" a="1"/>
  <c r="T1636" i="7" s="1"/>
  <c r="Q113" i="7"/>
  <c r="R113" i="7" s="1"/>
  <c r="T113" i="7" s="1" a="1"/>
  <c r="T113" i="7" s="1"/>
  <c r="Q1150" i="7"/>
  <c r="R1150" i="7" s="1"/>
  <c r="T1150" i="7" s="1" a="1"/>
  <c r="T1150" i="7" s="1"/>
  <c r="Q1395" i="7"/>
  <c r="R1395" i="7" s="1"/>
  <c r="Q232" i="7"/>
  <c r="R232" i="7" s="1"/>
  <c r="T232" i="7" s="1" a="1"/>
  <c r="T232" i="7" s="1"/>
  <c r="Q363" i="7"/>
  <c r="R363" i="7" s="1"/>
  <c r="T363" i="7" s="1" a="1"/>
  <c r="T363" i="7" s="1"/>
  <c r="Q183" i="7"/>
  <c r="R183" i="7" s="1"/>
  <c r="T183" i="7" s="1" a="1"/>
  <c r="T183" i="7" s="1"/>
  <c r="Q1017" i="7"/>
  <c r="R1017" i="7" s="1"/>
  <c r="T1017" i="7" s="1" a="1"/>
  <c r="T1017" i="7" s="1"/>
  <c r="Q549" i="7"/>
  <c r="R549" i="7" s="1"/>
  <c r="T549" i="7" s="1" a="1"/>
  <c r="T549" i="7" s="1"/>
  <c r="Q952" i="7"/>
  <c r="R952" i="7" s="1"/>
  <c r="Q205" i="7"/>
  <c r="R205" i="7" s="1"/>
  <c r="T205" i="7" s="1" a="1"/>
  <c r="T205" i="7" s="1"/>
  <c r="Q525" i="7"/>
  <c r="R525" i="7" s="1"/>
  <c r="T525" i="7" s="1" a="1"/>
  <c r="T525" i="7" s="1"/>
  <c r="Q1036" i="7"/>
  <c r="R1036" i="7" s="1"/>
  <c r="T1036" i="7" s="1" a="1"/>
  <c r="T1036" i="7" s="1"/>
  <c r="Q844" i="7"/>
  <c r="R844" i="7" s="1"/>
  <c r="Q1587" i="7"/>
  <c r="R1587" i="7" s="1"/>
  <c r="Q210" i="7"/>
  <c r="R210" i="7" s="1"/>
  <c r="T210" i="7" s="1" a="1"/>
  <c r="T210" i="7" s="1"/>
  <c r="Q601" i="7"/>
  <c r="R601" i="7" s="1"/>
  <c r="Q656" i="7"/>
  <c r="R656" i="7" s="1"/>
  <c r="Q752" i="7"/>
  <c r="R752" i="7" s="1"/>
  <c r="T752" i="7" s="1" a="1"/>
  <c r="T752" i="7" s="1"/>
  <c r="Q942" i="7"/>
  <c r="R942" i="7" s="1"/>
  <c r="T942" i="7" s="1" a="1"/>
  <c r="T942" i="7" s="1"/>
  <c r="Q1085" i="7"/>
  <c r="R1085" i="7" s="1"/>
  <c r="T1085" i="7" s="1" a="1"/>
  <c r="T1085" i="7" s="1"/>
  <c r="Q1438" i="7"/>
  <c r="R1438" i="7" s="1"/>
  <c r="T1438" i="7" s="1" a="1"/>
  <c r="T1438" i="7" s="1"/>
  <c r="Q1303" i="7"/>
  <c r="R1303" i="7" s="1"/>
  <c r="T1303" i="7" s="1" a="1"/>
  <c r="T1303" i="7" s="1"/>
  <c r="Q1674" i="7"/>
  <c r="R1674" i="7" s="1"/>
  <c r="T1674" i="7" s="1" a="1"/>
  <c r="T1674" i="7" s="1"/>
  <c r="Q1015" i="7"/>
  <c r="R1015" i="7" s="1"/>
  <c r="T1015" i="7" s="1" a="1"/>
  <c r="T1015" i="7" s="1"/>
  <c r="Q614" i="7"/>
  <c r="R614" i="7" s="1"/>
  <c r="T614" i="7" s="1" a="1"/>
  <c r="T614" i="7" s="1"/>
  <c r="Q882" i="7"/>
  <c r="R882" i="7" s="1"/>
  <c r="Q1381" i="7"/>
  <c r="R1381" i="7" s="1"/>
  <c r="Q1141" i="7"/>
  <c r="R1141" i="7" s="1"/>
  <c r="Q618" i="7"/>
  <c r="R618" i="7" s="1"/>
  <c r="T618" i="7" s="1" a="1"/>
  <c r="T618" i="7" s="1"/>
  <c r="Q541" i="7"/>
  <c r="R541" i="7" s="1"/>
  <c r="Q1048" i="7"/>
  <c r="R1048" i="7" s="1"/>
  <c r="T1048" i="7" s="1" a="1"/>
  <c r="T1048" i="7" s="1"/>
  <c r="Q1189" i="7"/>
  <c r="R1189" i="7" s="1"/>
  <c r="Q803" i="7"/>
  <c r="R803" i="7" s="1"/>
  <c r="T803" i="7" s="1" a="1"/>
  <c r="T803" i="7" s="1"/>
  <c r="Q828" i="7"/>
  <c r="R828" i="7" s="1"/>
  <c r="T828" i="7" s="1" a="1"/>
  <c r="T828" i="7" s="1"/>
  <c r="Q282" i="7"/>
  <c r="R282" i="7" s="1"/>
  <c r="Q400" i="7"/>
  <c r="R400" i="7" s="1"/>
  <c r="Q1566" i="7"/>
  <c r="R1566" i="7" s="1"/>
  <c r="T1566" i="7" s="1" a="1"/>
  <c r="T1566" i="7" s="1"/>
  <c r="Q208" i="7"/>
  <c r="R208" i="7" s="1"/>
  <c r="T208" i="7" s="1" a="1"/>
  <c r="T208" i="7" s="1"/>
  <c r="Q269" i="7"/>
  <c r="R269" i="7" s="1"/>
  <c r="Q579" i="7"/>
  <c r="R579" i="7" s="1"/>
  <c r="T579" i="7" s="1" a="1"/>
  <c r="T579" i="7" s="1"/>
  <c r="Q797" i="7"/>
  <c r="R797" i="7" s="1"/>
  <c r="T797" i="7" s="1" a="1"/>
  <c r="T797" i="7" s="1"/>
  <c r="Q858" i="7"/>
  <c r="R858" i="7" s="1"/>
  <c r="Q53" i="7"/>
  <c r="R53" i="7" s="1"/>
  <c r="Q482" i="7"/>
  <c r="R482" i="7" s="1"/>
  <c r="Q70" i="7"/>
  <c r="R70" i="7" s="1"/>
  <c r="Q732" i="7"/>
  <c r="R732" i="7" s="1"/>
  <c r="T732" i="7" s="1" a="1"/>
  <c r="T732" i="7" s="1"/>
  <c r="Q92" i="7"/>
  <c r="R92" i="7" s="1"/>
  <c r="T92" i="7" s="1" a="1"/>
  <c r="T92" i="7" s="1"/>
  <c r="Q582" i="7"/>
  <c r="R582" i="7" s="1"/>
  <c r="T582" i="7" s="1" a="1"/>
  <c r="T582" i="7" s="1"/>
  <c r="Q626" i="7"/>
  <c r="R626" i="7" s="1"/>
  <c r="T626" i="7" s="1" a="1"/>
  <c r="T626" i="7" s="1"/>
  <c r="Q833" i="7"/>
  <c r="R833" i="7" s="1"/>
  <c r="Q337" i="7"/>
  <c r="R337" i="7" s="1"/>
  <c r="Q548" i="7"/>
  <c r="R548" i="7" s="1"/>
  <c r="T548" i="7" s="1" a="1"/>
  <c r="T548" i="7" s="1"/>
  <c r="Q807" i="7"/>
  <c r="R807" i="7" s="1"/>
  <c r="Q1551" i="7"/>
  <c r="R1551" i="7" s="1"/>
  <c r="Q827" i="7"/>
  <c r="R827" i="7" s="1"/>
  <c r="T827" i="7" s="1" a="1"/>
  <c r="T827" i="7" s="1"/>
  <c r="Q1155" i="7"/>
  <c r="R1155" i="7" s="1"/>
  <c r="T1155" i="7" s="1" a="1"/>
  <c r="T1155" i="7" s="1"/>
  <c r="Q1543" i="7"/>
  <c r="R1543" i="7" s="1"/>
  <c r="T1543" i="7" s="1" a="1"/>
  <c r="T1543" i="7" s="1"/>
  <c r="Q1472" i="7"/>
  <c r="R1472" i="7" s="1"/>
  <c r="T1472" i="7" s="1" a="1"/>
  <c r="T1472" i="7" s="1"/>
  <c r="Q175" i="7"/>
  <c r="R175" i="7" s="1"/>
  <c r="T175" i="7" s="1" a="1"/>
  <c r="T175" i="7" s="1"/>
  <c r="Q629" i="7"/>
  <c r="R629" i="7" s="1"/>
  <c r="Q1213" i="7"/>
  <c r="R1213" i="7" s="1"/>
  <c r="T1213" i="7" s="1" a="1"/>
  <c r="T1213" i="7" s="1"/>
  <c r="Q897" i="7"/>
  <c r="R897" i="7" s="1"/>
  <c r="Q1315" i="7"/>
  <c r="R1315" i="7" s="1"/>
  <c r="Q60" i="7"/>
  <c r="R60" i="7" s="1"/>
  <c r="T60" i="7" s="1" a="1"/>
  <c r="T60" i="7" s="1"/>
  <c r="Q782" i="7"/>
  <c r="R782" i="7" s="1"/>
  <c r="Q535" i="7"/>
  <c r="R535" i="7" s="1"/>
  <c r="T535" i="7" s="1" a="1"/>
  <c r="T535" i="7" s="1"/>
  <c r="Q903" i="7"/>
  <c r="R903" i="7" s="1"/>
  <c r="T903" i="7" s="1" a="1"/>
  <c r="T903" i="7" s="1"/>
  <c r="Q1265" i="7"/>
  <c r="R1265" i="7" s="1"/>
  <c r="T1265" i="7" s="1" a="1"/>
  <c r="T1265" i="7" s="1"/>
  <c r="Q530" i="7"/>
  <c r="R530" i="7" s="1"/>
  <c r="T530" i="7" s="1" a="1"/>
  <c r="T530" i="7" s="1"/>
  <c r="Q1242" i="7"/>
  <c r="R1242" i="7" s="1"/>
  <c r="T1242" i="7" s="1" a="1"/>
  <c r="T1242" i="7" s="1"/>
  <c r="Q1511" i="7"/>
  <c r="R1511" i="7" s="1"/>
  <c r="T1511" i="7" s="1" a="1"/>
  <c r="T1511" i="7" s="1"/>
  <c r="Q6" i="7"/>
  <c r="R6" i="7" s="1"/>
  <c r="Q553" i="7"/>
  <c r="R553" i="7" s="1"/>
  <c r="T553" i="7" s="1" a="1"/>
  <c r="T553" i="7" s="1"/>
  <c r="Q1206" i="7"/>
  <c r="R1206" i="7" s="1"/>
  <c r="Q532" i="7"/>
  <c r="R532" i="7" s="1"/>
  <c r="T532" i="7" s="1" a="1"/>
  <c r="T532" i="7" s="1"/>
  <c r="Q1012" i="7"/>
  <c r="R1012" i="7" s="1"/>
  <c r="T1012" i="7" s="1" a="1"/>
  <c r="T1012" i="7" s="1"/>
  <c r="Q164" i="7"/>
  <c r="R164" i="7" s="1"/>
  <c r="Q1005" i="7"/>
  <c r="R1005" i="7" s="1"/>
  <c r="Q150" i="7"/>
  <c r="R150" i="7" s="1"/>
  <c r="T150" i="7" s="1" a="1"/>
  <c r="T150" i="7" s="1"/>
  <c r="Q806" i="7"/>
  <c r="R806" i="7" s="1"/>
  <c r="T806" i="7" s="1" a="1"/>
  <c r="T806" i="7" s="1"/>
  <c r="Q889" i="7"/>
  <c r="R889" i="7" s="1"/>
  <c r="T889" i="7" s="1" a="1"/>
  <c r="T889" i="7" s="1"/>
  <c r="Q123" i="7"/>
  <c r="R123" i="7" s="1"/>
  <c r="Q29" i="7"/>
  <c r="R29" i="7" s="1"/>
  <c r="Q1083" i="7"/>
  <c r="R1083" i="7" s="1"/>
  <c r="T1083" i="7" s="1" a="1"/>
  <c r="T1083" i="7" s="1"/>
  <c r="Q1320" i="7"/>
  <c r="R1320" i="7" s="1"/>
  <c r="T1320" i="7" s="1" a="1"/>
  <c r="T1320" i="7" s="1"/>
  <c r="Q291" i="7"/>
  <c r="R291" i="7" s="1"/>
  <c r="T291" i="7" s="1" a="1"/>
  <c r="T291" i="7" s="1"/>
  <c r="Q1233" i="7"/>
  <c r="R1233" i="7" s="1"/>
  <c r="Q526" i="7"/>
  <c r="R526" i="7" s="1"/>
  <c r="T526" i="7" s="1" a="1"/>
  <c r="T526" i="7" s="1"/>
  <c r="Q364" i="7"/>
  <c r="R364" i="7" s="1"/>
  <c r="Q221" i="7"/>
  <c r="R221" i="7" s="1"/>
  <c r="Q1386" i="7"/>
  <c r="R1386" i="7" s="1"/>
  <c r="T1386" i="7" s="1" a="1"/>
  <c r="T1386" i="7" s="1"/>
  <c r="Q103" i="7"/>
  <c r="R103" i="7" s="1"/>
  <c r="T103" i="7" s="1" a="1"/>
  <c r="T103" i="7" s="1"/>
  <c r="Q513" i="7"/>
  <c r="R513" i="7" s="1"/>
  <c r="T513" i="7" s="1" a="1"/>
  <c r="T513" i="7" s="1"/>
  <c r="Q358" i="7"/>
  <c r="R358" i="7" s="1"/>
  <c r="T358" i="7" s="1" a="1"/>
  <c r="T358" i="7" s="1"/>
  <c r="Q1643" i="7"/>
  <c r="R1643" i="7" s="1"/>
  <c r="T1643" i="7" s="1" a="1"/>
  <c r="T1643" i="7" s="1"/>
  <c r="Q562" i="7"/>
  <c r="R562" i="7" s="1"/>
  <c r="T562" i="7" s="1" a="1"/>
  <c r="T562" i="7" s="1"/>
  <c r="Q985" i="7"/>
  <c r="R985" i="7" s="1"/>
  <c r="T985" i="7" s="1" a="1"/>
  <c r="T985" i="7" s="1"/>
  <c r="Q333" i="7"/>
  <c r="R333" i="7" s="1"/>
  <c r="T333" i="7" s="1" a="1"/>
  <c r="T333" i="7" s="1"/>
  <c r="Q481" i="7"/>
  <c r="R481" i="7" s="1"/>
  <c r="Q554" i="7"/>
  <c r="R554" i="7" s="1"/>
  <c r="T554" i="7" s="1" a="1"/>
  <c r="T554" i="7" s="1"/>
  <c r="Q1065" i="7"/>
  <c r="R1065" i="7" s="1"/>
  <c r="T1065" i="7" s="1" a="1"/>
  <c r="T1065" i="7" s="1"/>
  <c r="Q512" i="7"/>
  <c r="R512" i="7" s="1"/>
  <c r="Q678" i="7"/>
  <c r="R678" i="7" s="1"/>
  <c r="T678" i="7" s="1" a="1"/>
  <c r="T678" i="7" s="1"/>
  <c r="S1669" i="7"/>
  <c r="S1649" i="7"/>
  <c r="Q1634" i="7"/>
  <c r="R1634" i="7" s="1"/>
  <c r="Q1407" i="7"/>
  <c r="R1407" i="7" s="1"/>
  <c r="T1407" i="7" s="1" a="1"/>
  <c r="T1407" i="7" s="1"/>
  <c r="Q1062" i="7"/>
  <c r="R1062" i="7" s="1"/>
  <c r="T1062" i="7" s="1" a="1"/>
  <c r="T1062" i="7" s="1"/>
  <c r="Q990" i="7"/>
  <c r="R990" i="7" s="1"/>
  <c r="T990" i="7" s="1" a="1"/>
  <c r="T990" i="7" s="1"/>
  <c r="Q968" i="7"/>
  <c r="R968" i="7" s="1"/>
  <c r="T968" i="7" s="1" a="1"/>
  <c r="T968" i="7" s="1"/>
  <c r="S1619" i="7"/>
  <c r="S1289" i="7"/>
  <c r="S934" i="7"/>
  <c r="S673" i="7"/>
  <c r="S1607" i="7"/>
  <c r="S1574" i="7"/>
  <c r="S1571" i="7"/>
  <c r="S1502" i="7"/>
  <c r="S1499" i="7"/>
  <c r="S1483" i="7"/>
  <c r="S1385" i="7"/>
  <c r="S801" i="7"/>
  <c r="S761" i="7"/>
  <c r="S1346" i="7"/>
  <c r="S1343" i="7"/>
  <c r="S1597" i="7"/>
  <c r="S1561" i="7"/>
  <c r="S1489" i="7"/>
  <c r="S1301" i="7"/>
  <c r="S1248" i="7"/>
  <c r="S529" i="7"/>
  <c r="S1053" i="7"/>
  <c r="S1045" i="7"/>
  <c r="S1117" i="7"/>
  <c r="S1056" i="7"/>
  <c r="S868" i="7"/>
  <c r="S1120" i="7"/>
  <c r="S216" i="7"/>
  <c r="S1079" i="7"/>
  <c r="S373" i="7"/>
  <c r="S778" i="7"/>
  <c r="S485" i="7"/>
  <c r="S929" i="7"/>
  <c r="S1006" i="7"/>
  <c r="S534" i="7"/>
  <c r="S739" i="7"/>
  <c r="S540" i="7"/>
  <c r="S717" i="7"/>
  <c r="S561" i="7"/>
  <c r="S611" i="7"/>
  <c r="S599" i="7"/>
  <c r="S259" i="7"/>
  <c r="S380" i="7"/>
  <c r="S112" i="7"/>
  <c r="S222" i="7"/>
  <c r="S719" i="7"/>
  <c r="S352" i="7"/>
  <c r="S477" i="7"/>
  <c r="S324" i="7"/>
  <c r="S235" i="7"/>
  <c r="S457" i="7"/>
  <c r="S387" i="7"/>
  <c r="S609" i="7"/>
  <c r="S369" i="7"/>
  <c r="S317" i="7"/>
  <c r="S137" i="7"/>
  <c r="S265" i="7"/>
  <c r="S441" i="7"/>
  <c r="S192" i="7"/>
  <c r="S256" i="7"/>
  <c r="S184" i="7"/>
  <c r="S157" i="7"/>
  <c r="S143" i="7"/>
  <c r="S76" i="7"/>
  <c r="S28" i="7"/>
  <c r="S47" i="7"/>
  <c r="S524" i="7" l="1"/>
  <c r="S2" i="7"/>
  <c r="S83" i="7"/>
  <c r="S1001" i="7"/>
  <c r="S88" i="7"/>
  <c r="S1610" i="7"/>
  <c r="S364" i="7"/>
  <c r="T364" i="7" a="1"/>
  <c r="T364" i="7" s="1"/>
  <c r="S1667" i="7"/>
  <c r="T1667" i="7" a="1"/>
  <c r="T1667" i="7" s="1"/>
  <c r="S1043" i="7"/>
  <c r="T1043" i="7" a="1"/>
  <c r="T1043" i="7" s="1"/>
  <c r="S1679" i="7"/>
  <c r="T1679" i="7" a="1"/>
  <c r="T1679" i="7" s="1"/>
  <c r="S279" i="7"/>
  <c r="T279" i="7" a="1"/>
  <c r="T279" i="7" s="1"/>
  <c r="S1899" i="7"/>
  <c r="T1899" i="7" a="1"/>
  <c r="T1899" i="7" s="1"/>
  <c r="S48" i="7"/>
  <c r="T48" i="7" a="1"/>
  <c r="T48" i="7" s="1"/>
  <c r="S1286" i="7"/>
  <c r="T1286" i="7" a="1"/>
  <c r="T1286" i="7" s="1"/>
  <c r="S1558" i="7"/>
  <c r="T1558" i="7" a="1"/>
  <c r="T1558" i="7" s="1"/>
  <c r="S1763" i="7"/>
  <c r="T1763" i="7" a="1"/>
  <c r="T1763" i="7" s="1"/>
  <c r="S702" i="7"/>
  <c r="T702" i="7" a="1"/>
  <c r="T702" i="7" s="1"/>
  <c r="S1114" i="7"/>
  <c r="T1114" i="7" a="1"/>
  <c r="T1114" i="7" s="1"/>
  <c r="S695" i="7"/>
  <c r="T695" i="7" a="1"/>
  <c r="T695" i="7" s="1"/>
  <c r="S1804" i="7"/>
  <c r="T1804" i="7" a="1"/>
  <c r="T1804" i="7" s="1"/>
  <c r="S1972" i="7"/>
  <c r="T1972" i="7" a="1"/>
  <c r="T1972" i="7" s="1"/>
  <c r="S444" i="7"/>
  <c r="T444" i="7" a="1"/>
  <c r="T444" i="7" s="1"/>
  <c r="S954" i="7"/>
  <c r="T954" i="7" a="1"/>
  <c r="T954" i="7" s="1"/>
  <c r="S1434" i="7"/>
  <c r="T1434" i="7" a="1"/>
  <c r="T1434" i="7" s="1"/>
  <c r="S1637" i="7"/>
  <c r="T1637" i="7" a="1"/>
  <c r="T1637" i="7" s="1"/>
  <c r="S1128" i="7"/>
  <c r="T1128" i="7" a="1"/>
  <c r="T1128" i="7" s="1"/>
  <c r="S130" i="7"/>
  <c r="T130" i="7" a="1"/>
  <c r="T130" i="7" s="1"/>
  <c r="S1943" i="7"/>
  <c r="T1943" i="7" a="1"/>
  <c r="T1943" i="7" s="1"/>
  <c r="S908" i="7"/>
  <c r="T908" i="7" a="1"/>
  <c r="T908" i="7" s="1"/>
  <c r="S481" i="7"/>
  <c r="T481" i="7" a="1"/>
  <c r="T481" i="7" s="1"/>
  <c r="S1381" i="7"/>
  <c r="T1381" i="7" a="1"/>
  <c r="T1381" i="7" s="1"/>
  <c r="S1815" i="7"/>
  <c r="T1815" i="7" a="1"/>
  <c r="T1815" i="7" s="1"/>
  <c r="S1100" i="7"/>
  <c r="T1100" i="7" a="1"/>
  <c r="T1100" i="7" s="1"/>
  <c r="S1235" i="7"/>
  <c r="T1235" i="7" a="1"/>
  <c r="T1235" i="7" s="1"/>
  <c r="S829" i="7"/>
  <c r="T829" i="7" a="1"/>
  <c r="T829" i="7" s="1"/>
  <c r="S1140" i="7"/>
  <c r="T1140" i="7" a="1"/>
  <c r="T1140" i="7" s="1"/>
  <c r="S328" i="7"/>
  <c r="T328" i="7" a="1"/>
  <c r="T328" i="7" s="1"/>
  <c r="S1172" i="7"/>
  <c r="T1172" i="7" a="1"/>
  <c r="T1172" i="7" s="1"/>
  <c r="S506" i="7"/>
  <c r="T506" i="7" a="1"/>
  <c r="T506" i="7" s="1"/>
  <c r="S107" i="7"/>
  <c r="T107" i="7" a="1"/>
  <c r="T107" i="7" s="1"/>
  <c r="S815" i="7"/>
  <c r="T815" i="7" a="1"/>
  <c r="T815" i="7" s="1"/>
  <c r="S1350" i="7"/>
  <c r="T1350" i="7" a="1"/>
  <c r="T1350" i="7" s="1"/>
  <c r="S181" i="7"/>
  <c r="T181" i="7" a="1"/>
  <c r="T181" i="7" s="1"/>
  <c r="S581" i="7"/>
  <c r="T581" i="7" a="1"/>
  <c r="T581" i="7" s="1"/>
  <c r="S220" i="7"/>
  <c r="T220" i="7" a="1"/>
  <c r="T220" i="7" s="1"/>
  <c r="S571" i="7"/>
  <c r="T571" i="7" a="1"/>
  <c r="T571" i="7" s="1"/>
  <c r="S1038" i="7"/>
  <c r="T1038" i="7" a="1"/>
  <c r="T1038" i="7" s="1"/>
  <c r="S110" i="7"/>
  <c r="T110" i="7" a="1"/>
  <c r="T110" i="7" s="1"/>
  <c r="S1998" i="7"/>
  <c r="T1998" i="7" a="1"/>
  <c r="T1998" i="7" s="1"/>
  <c r="S1816" i="7"/>
  <c r="T1816" i="7" a="1"/>
  <c r="T1816" i="7" s="1"/>
  <c r="S1132" i="7"/>
  <c r="T1132" i="7" a="1"/>
  <c r="T1132" i="7" s="1"/>
  <c r="S400" i="7"/>
  <c r="T400" i="7" a="1"/>
  <c r="T400" i="7" s="1"/>
  <c r="S1231" i="7"/>
  <c r="T1231" i="7" a="1"/>
  <c r="T1231" i="7" s="1"/>
  <c r="S512" i="7"/>
  <c r="T512" i="7" a="1"/>
  <c r="T512" i="7" s="1"/>
  <c r="S221" i="7"/>
  <c r="T221" i="7" a="1"/>
  <c r="T221" i="7" s="1"/>
  <c r="S1005" i="7"/>
  <c r="T1005" i="7" a="1"/>
  <c r="T1005" i="7" s="1"/>
  <c r="S1551" i="7"/>
  <c r="T1551" i="7" a="1"/>
  <c r="T1551" i="7" s="1"/>
  <c r="S858" i="7"/>
  <c r="T858" i="7" a="1"/>
  <c r="T858" i="7" s="1"/>
  <c r="S541" i="7"/>
  <c r="T541" i="7" a="1"/>
  <c r="T541" i="7" s="1"/>
  <c r="S887" i="7"/>
  <c r="T887" i="7" a="1"/>
  <c r="T887" i="7" s="1"/>
  <c r="S1761" i="7"/>
  <c r="T1761" i="7" a="1"/>
  <c r="T1761" i="7" s="1"/>
  <c r="S1935" i="7"/>
  <c r="T1935" i="7" a="1"/>
  <c r="T1935" i="7" s="1"/>
  <c r="S1609" i="7"/>
  <c r="T1609" i="7" a="1"/>
  <c r="T1609" i="7" s="1"/>
  <c r="S1410" i="7"/>
  <c r="T1410" i="7" a="1"/>
  <c r="T1410" i="7" s="1"/>
  <c r="S863" i="7"/>
  <c r="T863" i="7" a="1"/>
  <c r="T863" i="7" s="1"/>
  <c r="S212" i="7"/>
  <c r="T212" i="7" a="1"/>
  <c r="T212" i="7" s="1"/>
  <c r="S687" i="7"/>
  <c r="T687" i="7" a="1"/>
  <c r="T687" i="7" s="1"/>
  <c r="S1010" i="7"/>
  <c r="T1010" i="7" a="1"/>
  <c r="T1010" i="7" s="1"/>
  <c r="S343" i="7"/>
  <c r="T343" i="7" a="1"/>
  <c r="T343" i="7" s="1"/>
  <c r="S1131" i="7"/>
  <c r="T1131" i="7" a="1"/>
  <c r="T1131" i="7" s="1"/>
  <c r="S966" i="7"/>
  <c r="T966" i="7" a="1"/>
  <c r="T966" i="7" s="1"/>
  <c r="S1387" i="7"/>
  <c r="S632" i="7"/>
  <c r="T632" i="7" a="1"/>
  <c r="T632" i="7" s="1"/>
  <c r="S508" i="7"/>
  <c r="T508" i="7" a="1"/>
  <c r="T508" i="7" s="1"/>
  <c r="S623" i="7"/>
  <c r="T623" i="7" a="1"/>
  <c r="T623" i="7" s="1"/>
  <c r="S290" i="7"/>
  <c r="T290" i="7" a="1"/>
  <c r="T290" i="7" s="1"/>
  <c r="S58" i="7"/>
  <c r="T58" i="7" a="1"/>
  <c r="T58" i="7" s="1"/>
  <c r="S1685" i="7"/>
  <c r="T1685" i="7" a="1"/>
  <c r="T1685" i="7" s="1"/>
  <c r="S1456" i="7"/>
  <c r="T1456" i="7" a="1"/>
  <c r="T1456" i="7" s="1"/>
  <c r="S1334" i="7"/>
  <c r="T1334" i="7" a="1"/>
  <c r="T1334" i="7" s="1"/>
  <c r="S932" i="7"/>
  <c r="T932" i="7" a="1"/>
  <c r="T932" i="7" s="1"/>
  <c r="S517" i="7"/>
  <c r="T517" i="7" a="1"/>
  <c r="T517" i="7" s="1"/>
  <c r="S1305" i="7"/>
  <c r="T1305" i="7" a="1"/>
  <c r="T1305" i="7" s="1"/>
  <c r="S565" i="7"/>
  <c r="T565" i="7" a="1"/>
  <c r="T565" i="7" s="1"/>
  <c r="S607" i="7"/>
  <c r="T607" i="7" a="1"/>
  <c r="T607" i="7" s="1"/>
  <c r="S1329" i="7"/>
  <c r="T1329" i="7" a="1"/>
  <c r="T1329" i="7" s="1"/>
  <c r="S1796" i="7"/>
  <c r="T1796" i="7" a="1"/>
  <c r="T1796" i="7" s="1"/>
  <c r="S307" i="7"/>
  <c r="T307" i="7" a="1"/>
  <c r="T307" i="7" s="1"/>
  <c r="S1599" i="7"/>
  <c r="T1599" i="7" a="1"/>
  <c r="T1599" i="7" s="1"/>
  <c r="S873" i="7"/>
  <c r="T873" i="7" a="1"/>
  <c r="T873" i="7" s="1"/>
  <c r="S456" i="7"/>
  <c r="T456" i="7" a="1"/>
  <c r="T456" i="7" s="1"/>
  <c r="S1382" i="7"/>
  <c r="T1382" i="7" a="1"/>
  <c r="T1382" i="7" s="1"/>
  <c r="S79" i="7"/>
  <c r="T79" i="7" a="1"/>
  <c r="T79" i="7" s="1"/>
  <c r="S1277" i="7"/>
  <c r="T1277" i="7" a="1"/>
  <c r="T1277" i="7" s="1"/>
  <c r="S281" i="7"/>
  <c r="T281" i="7" a="1"/>
  <c r="T281" i="7" s="1"/>
  <c r="S1019" i="7"/>
  <c r="T1019" i="7" a="1"/>
  <c r="T1019" i="7" s="1"/>
  <c r="S1618" i="7"/>
  <c r="T1618" i="7" a="1"/>
  <c r="T1618" i="7" s="1"/>
  <c r="S1430" i="7"/>
  <c r="T1430" i="7" a="1"/>
  <c r="T1430" i="7" s="1"/>
  <c r="S1657" i="7"/>
  <c r="T1657" i="7" a="1"/>
  <c r="T1657" i="7" s="1"/>
  <c r="S576" i="7"/>
  <c r="T576" i="7" a="1"/>
  <c r="T576" i="7" s="1"/>
  <c r="S751" i="7"/>
  <c r="T751" i="7" a="1"/>
  <c r="T751" i="7" s="1"/>
  <c r="S1304" i="7"/>
  <c r="T1304" i="7" a="1"/>
  <c r="T1304" i="7" s="1"/>
  <c r="S326" i="7"/>
  <c r="T326" i="7" a="1"/>
  <c r="T326" i="7" s="1"/>
  <c r="S1760" i="7"/>
  <c r="T1760" i="7" a="1"/>
  <c r="T1760" i="7" s="1"/>
  <c r="S568" i="7"/>
  <c r="T568" i="7" a="1"/>
  <c r="T568" i="7" s="1"/>
  <c r="S545" i="7"/>
  <c r="T545" i="7" a="1"/>
  <c r="T545" i="7" s="1"/>
  <c r="S503" i="7"/>
  <c r="T503" i="7" a="1"/>
  <c r="T503" i="7" s="1"/>
  <c r="S1870" i="7"/>
  <c r="T1870" i="7" a="1"/>
  <c r="T1870" i="7" s="1"/>
  <c r="S1347" i="7"/>
  <c r="T1347" i="7" a="1"/>
  <c r="T1347" i="7" s="1"/>
  <c r="S1942" i="7"/>
  <c r="T1942" i="7" a="1"/>
  <c r="T1942" i="7" s="1"/>
  <c r="S1829" i="7"/>
  <c r="T1829" i="7" a="1"/>
  <c r="T1829" i="7" s="1"/>
  <c r="S310" i="7"/>
  <c r="T310" i="7" a="1"/>
  <c r="T310" i="7" s="1"/>
  <c r="S248" i="7"/>
  <c r="T248" i="7" a="1"/>
  <c r="T248" i="7" s="1"/>
  <c r="S1654" i="7"/>
  <c r="T1654" i="7" a="1"/>
  <c r="T1654" i="7" s="1"/>
  <c r="S319" i="7"/>
  <c r="T319" i="7" a="1"/>
  <c r="T319" i="7" s="1"/>
  <c r="S2001" i="7"/>
  <c r="T2001" i="7" a="1"/>
  <c r="T2001" i="7" s="1"/>
  <c r="S890" i="7"/>
  <c r="T890" i="7" a="1"/>
  <c r="T890" i="7" s="1"/>
  <c r="S1755" i="7"/>
  <c r="T1755" i="7" a="1"/>
  <c r="T1755" i="7" s="1"/>
  <c r="S332" i="7"/>
  <c r="T332" i="7" a="1"/>
  <c r="T332" i="7" s="1"/>
  <c r="S273" i="7"/>
  <c r="T273" i="7" a="1"/>
  <c r="T273" i="7" s="1"/>
  <c r="S1141" i="7"/>
  <c r="T1141" i="7" a="1"/>
  <c r="T1141" i="7" s="1"/>
  <c r="S775" i="7"/>
  <c r="T775" i="7" a="1"/>
  <c r="T775" i="7" s="1"/>
  <c r="S336" i="7"/>
  <c r="T336" i="7" a="1"/>
  <c r="T336" i="7" s="1"/>
  <c r="S1378" i="7"/>
  <c r="T1378" i="7" a="1"/>
  <c r="T1378" i="7" s="1"/>
  <c r="S362" i="7"/>
  <c r="T362" i="7" a="1"/>
  <c r="T362" i="7" s="1"/>
  <c r="S921" i="7"/>
  <c r="T921" i="7" a="1"/>
  <c r="T921" i="7" s="1"/>
  <c r="S442" i="7"/>
  <c r="T442" i="7" a="1"/>
  <c r="T442" i="7" s="1"/>
  <c r="S819" i="7"/>
  <c r="T819" i="7" a="1"/>
  <c r="T819" i="7" s="1"/>
  <c r="S1082" i="7"/>
  <c r="T1082" i="7" a="1"/>
  <c r="T1082" i="7" s="1"/>
  <c r="S1887" i="7"/>
  <c r="T1887" i="7" a="1"/>
  <c r="T1887" i="7" s="1"/>
  <c r="S337" i="7"/>
  <c r="T337" i="7" a="1"/>
  <c r="T337" i="7" s="1"/>
  <c r="S1395" i="7"/>
  <c r="T1395" i="7" a="1"/>
  <c r="T1395" i="7" s="1"/>
  <c r="S406" i="7"/>
  <c r="T406" i="7" a="1"/>
  <c r="T406" i="7" s="1"/>
  <c r="S1886" i="7"/>
  <c r="T1886" i="7" a="1"/>
  <c r="T1886" i="7" s="1"/>
  <c r="S653" i="7"/>
  <c r="T653" i="7" a="1"/>
  <c r="T653" i="7" s="1"/>
  <c r="S1195" i="7"/>
  <c r="T1195" i="7" a="1"/>
  <c r="T1195" i="7" s="1"/>
  <c r="S511" i="7"/>
  <c r="T511" i="7" a="1"/>
  <c r="T511" i="7" s="1"/>
  <c r="S1176" i="7"/>
  <c r="T1176" i="7" a="1"/>
  <c r="T1176" i="7" s="1"/>
  <c r="S1340" i="7"/>
  <c r="T1340" i="7" a="1"/>
  <c r="T1340" i="7" s="1"/>
  <c r="S1480" i="7"/>
  <c r="T1480" i="7" a="1"/>
  <c r="T1480" i="7" s="1"/>
  <c r="S1458" i="7"/>
  <c r="T1458" i="7" a="1"/>
  <c r="T1458" i="7" s="1"/>
  <c r="S1510" i="7"/>
  <c r="T1510" i="7" a="1"/>
  <c r="T1510" i="7" s="1"/>
  <c r="S1423" i="7"/>
  <c r="T1423" i="7" a="1"/>
  <c r="T1423" i="7" s="1"/>
  <c r="S993" i="7"/>
  <c r="T993" i="7" a="1"/>
  <c r="T993" i="7" s="1"/>
  <c r="S30" i="7"/>
  <c r="T30" i="7" a="1"/>
  <c r="T30" i="7" s="1"/>
  <c r="S118" i="7"/>
  <c r="T118" i="7" a="1"/>
  <c r="T118" i="7" s="1"/>
  <c r="S1737" i="7"/>
  <c r="T1737" i="7" a="1"/>
  <c r="T1737" i="7" s="1"/>
  <c r="S383" i="7"/>
  <c r="T383" i="7" a="1"/>
  <c r="T383" i="7" s="1"/>
  <c r="S1353" i="7"/>
  <c r="T1353" i="7" a="1"/>
  <c r="T1353" i="7" s="1"/>
  <c r="S1592" i="7"/>
  <c r="T1592" i="7" a="1"/>
  <c r="T1592" i="7" s="1"/>
  <c r="S1662" i="7"/>
  <c r="T1662" i="7" a="1"/>
  <c r="T1662" i="7" s="1"/>
  <c r="S25" i="7"/>
  <c r="T25" i="7" a="1"/>
  <c r="T25" i="7" s="1"/>
  <c r="S431" i="7"/>
  <c r="T431" i="7" a="1"/>
  <c r="T431" i="7" s="1"/>
  <c r="S772" i="7"/>
  <c r="T772" i="7" a="1"/>
  <c r="T772" i="7" s="1"/>
  <c r="S588" i="7"/>
  <c r="T588" i="7" a="1"/>
  <c r="T588" i="7" s="1"/>
  <c r="S1882" i="7"/>
  <c r="T1882" i="7" a="1"/>
  <c r="T1882" i="7" s="1"/>
  <c r="S1925" i="7"/>
  <c r="T1925" i="7" a="1"/>
  <c r="T1925" i="7" s="1"/>
  <c r="S1756" i="7"/>
  <c r="T1756" i="7" a="1"/>
  <c r="T1756" i="7" s="1"/>
  <c r="S723" i="7"/>
  <c r="S1206" i="7"/>
  <c r="T1206" i="7" a="1"/>
  <c r="T1206" i="7" s="1"/>
  <c r="S897" i="7"/>
  <c r="T897" i="7" a="1"/>
  <c r="T897" i="7" s="1"/>
  <c r="S833" i="7"/>
  <c r="T833" i="7" a="1"/>
  <c r="T833" i="7" s="1"/>
  <c r="S882" i="7"/>
  <c r="T882" i="7" a="1"/>
  <c r="T882" i="7" s="1"/>
  <c r="S1587" i="7"/>
  <c r="T1587" i="7" a="1"/>
  <c r="T1587" i="7" s="1"/>
  <c r="S271" i="7"/>
  <c r="T271" i="7" a="1"/>
  <c r="T271" i="7" s="1"/>
  <c r="S1821" i="7"/>
  <c r="T1821" i="7" a="1"/>
  <c r="T1821" i="7" s="1"/>
  <c r="S1977" i="7"/>
  <c r="T1977" i="7" a="1"/>
  <c r="T1977" i="7" s="1"/>
  <c r="S817" i="7"/>
  <c r="T817" i="7" a="1"/>
  <c r="T817" i="7" s="1"/>
  <c r="S451" i="7"/>
  <c r="T451" i="7" a="1"/>
  <c r="T451" i="7" s="1"/>
  <c r="S361" i="7"/>
  <c r="T361" i="7" a="1"/>
  <c r="T361" i="7" s="1"/>
  <c r="S1061" i="7"/>
  <c r="T1061" i="7" a="1"/>
  <c r="T1061" i="7" s="1"/>
  <c r="S1166" i="7"/>
  <c r="T1166" i="7" a="1"/>
  <c r="T1166" i="7" s="1"/>
  <c r="S665" i="7"/>
  <c r="T665" i="7" a="1"/>
  <c r="T665" i="7" s="1"/>
  <c r="S651" i="7"/>
  <c r="T651" i="7" a="1"/>
  <c r="T651" i="7" s="1"/>
  <c r="S1102" i="7"/>
  <c r="T1102" i="7" a="1"/>
  <c r="T1102" i="7" s="1"/>
  <c r="S1016" i="7"/>
  <c r="T1016" i="7" a="1"/>
  <c r="T1016" i="7" s="1"/>
  <c r="S1568" i="7"/>
  <c r="T1568" i="7" a="1"/>
  <c r="T1568" i="7" s="1"/>
  <c r="S1520" i="7"/>
  <c r="T1520" i="7" a="1"/>
  <c r="T1520" i="7" s="1"/>
  <c r="S1482" i="7"/>
  <c r="T1482" i="7" a="1"/>
  <c r="T1482" i="7" s="1"/>
  <c r="S987" i="7"/>
  <c r="T987" i="7" a="1"/>
  <c r="T987" i="7" s="1"/>
  <c r="S353" i="7"/>
  <c r="T353" i="7" a="1"/>
  <c r="T353" i="7" s="1"/>
  <c r="S943" i="7"/>
  <c r="T943" i="7" a="1"/>
  <c r="T943" i="7" s="1"/>
  <c r="S1661" i="7"/>
  <c r="T1661" i="7" a="1"/>
  <c r="T1661" i="7" s="1"/>
  <c r="S622" i="7"/>
  <c r="T622" i="7" a="1"/>
  <c r="T622" i="7" s="1"/>
  <c r="S176" i="7"/>
  <c r="T176" i="7" a="1"/>
  <c r="T176" i="7" s="1"/>
  <c r="S1196" i="7"/>
  <c r="T1196" i="7" a="1"/>
  <c r="T1196" i="7" s="1"/>
  <c r="S296" i="7"/>
  <c r="T296" i="7" a="1"/>
  <c r="T296" i="7" s="1"/>
  <c r="S613" i="7"/>
  <c r="T613" i="7" a="1"/>
  <c r="T613" i="7" s="1"/>
  <c r="S1474" i="7"/>
  <c r="T1474" i="7" a="1"/>
  <c r="T1474" i="7" s="1"/>
  <c r="S884" i="7"/>
  <c r="T884" i="7" a="1"/>
  <c r="T884" i="7" s="1"/>
  <c r="S1724" i="7"/>
  <c r="T1724" i="7" a="1"/>
  <c r="T1724" i="7" s="1"/>
  <c r="S676" i="7"/>
  <c r="T676" i="7" a="1"/>
  <c r="T676" i="7" s="1"/>
  <c r="S1413" i="7"/>
  <c r="T1413" i="7" a="1"/>
  <c r="T1413" i="7" s="1"/>
  <c r="S1707" i="7"/>
  <c r="T1707" i="7" a="1"/>
  <c r="T1707" i="7" s="1"/>
  <c r="S698" i="7"/>
  <c r="T698" i="7" a="1"/>
  <c r="T698" i="7" s="1"/>
  <c r="S1115" i="7"/>
  <c r="T1115" i="7" a="1"/>
  <c r="T1115" i="7" s="1"/>
  <c r="S450" i="7"/>
  <c r="T450" i="7" a="1"/>
  <c r="T450" i="7" s="1"/>
  <c r="S686" i="7"/>
  <c r="T686" i="7" a="1"/>
  <c r="T686" i="7" s="1"/>
  <c r="S17" i="7"/>
  <c r="T17" i="7" a="1"/>
  <c r="T17" i="7" s="1"/>
  <c r="S452" i="7"/>
  <c r="T452" i="7" a="1"/>
  <c r="T452" i="7" s="1"/>
  <c r="S1251" i="7"/>
  <c r="T1251" i="7" a="1"/>
  <c r="T1251" i="7" s="1"/>
  <c r="S433" i="7"/>
  <c r="T433" i="7" a="1"/>
  <c r="T433" i="7" s="1"/>
  <c r="S1028" i="7"/>
  <c r="T1028" i="7" a="1"/>
  <c r="T1028" i="7" s="1"/>
  <c r="S654" i="7"/>
  <c r="T654" i="7" a="1"/>
  <c r="T654" i="7" s="1"/>
  <c r="S898" i="7"/>
  <c r="T898" i="7" a="1"/>
  <c r="T898" i="7" s="1"/>
  <c r="S1165" i="7"/>
  <c r="T1165" i="7" a="1"/>
  <c r="T1165" i="7" s="1"/>
  <c r="S855" i="7"/>
  <c r="T855" i="7" a="1"/>
  <c r="T855" i="7" s="1"/>
  <c r="S899" i="7"/>
  <c r="T899" i="7" a="1"/>
  <c r="T899" i="7" s="1"/>
  <c r="S859" i="7"/>
  <c r="T859" i="7" a="1"/>
  <c r="T859" i="7" s="1"/>
  <c r="S764" i="7"/>
  <c r="T764" i="7" a="1"/>
  <c r="T764" i="7" s="1"/>
  <c r="S1604" i="7"/>
  <c r="T1604" i="7" a="1"/>
  <c r="T1604" i="7" s="1"/>
  <c r="S1273" i="7"/>
  <c r="T1273" i="7" a="1"/>
  <c r="T1273" i="7" s="1"/>
  <c r="S1058" i="7"/>
  <c r="T1058" i="7" a="1"/>
  <c r="T1058" i="7" s="1"/>
  <c r="S1898" i="7"/>
  <c r="T1898" i="7" a="1"/>
  <c r="T1898" i="7" s="1"/>
  <c r="S211" i="7"/>
  <c r="T211" i="7" a="1"/>
  <c r="T211" i="7" s="1"/>
  <c r="S108" i="7"/>
  <c r="T108" i="7" a="1"/>
  <c r="T108" i="7" s="1"/>
  <c r="S1098" i="7"/>
  <c r="T1098" i="7" a="1"/>
  <c r="T1098" i="7" s="1"/>
  <c r="S1049" i="7"/>
  <c r="T1049" i="7" a="1"/>
  <c r="T1049" i="7" s="1"/>
  <c r="S1727" i="7"/>
  <c r="T1727" i="7" a="1"/>
  <c r="T1727" i="7" s="1"/>
  <c r="S109" i="7"/>
  <c r="T109" i="7" a="1"/>
  <c r="T109" i="7" s="1"/>
  <c r="S489" i="7"/>
  <c r="T489" i="7" a="1"/>
  <c r="T489" i="7" s="1"/>
  <c r="S1498" i="7"/>
  <c r="T1498" i="7" a="1"/>
  <c r="T1498" i="7" s="1"/>
  <c r="S769" i="7"/>
  <c r="T769" i="7" a="1"/>
  <c r="T769" i="7" s="1"/>
  <c r="S1281" i="7"/>
  <c r="T1281" i="7" a="1"/>
  <c r="T1281" i="7" s="1"/>
  <c r="S1598" i="7"/>
  <c r="T1598" i="7" a="1"/>
  <c r="T1598" i="7" s="1"/>
  <c r="S860" i="7"/>
  <c r="T860" i="7" a="1"/>
  <c r="T860" i="7" s="1"/>
  <c r="S164" i="7"/>
  <c r="T164" i="7" a="1"/>
  <c r="T164" i="7" s="1"/>
  <c r="S656" i="7"/>
  <c r="T656" i="7" a="1"/>
  <c r="T656" i="7" s="1"/>
  <c r="S1779" i="7"/>
  <c r="T1779" i="7" a="1"/>
  <c r="T1779" i="7" s="1"/>
  <c r="S970" i="7"/>
  <c r="T970" i="7" a="1"/>
  <c r="T970" i="7" s="1"/>
  <c r="S878" i="7"/>
  <c r="T878" i="7" a="1"/>
  <c r="T878" i="7" s="1"/>
  <c r="S203" i="7"/>
  <c r="T203" i="7" a="1"/>
  <c r="T203" i="7" s="1"/>
  <c r="S1103" i="7"/>
  <c r="T1103" i="7" a="1"/>
  <c r="T1103" i="7" s="1"/>
  <c r="S1257" i="7"/>
  <c r="T1257" i="7" a="1"/>
  <c r="T1257" i="7" s="1"/>
  <c r="S1919" i="7"/>
  <c r="T1919" i="7" a="1"/>
  <c r="T1919" i="7" s="1"/>
  <c r="S1081" i="7"/>
  <c r="T1081" i="7" a="1"/>
  <c r="T1081" i="7" s="1"/>
  <c r="S935" i="7"/>
  <c r="T935" i="7" a="1"/>
  <c r="T935" i="7" s="1"/>
  <c r="S1007" i="7"/>
  <c r="T1007" i="7" a="1"/>
  <c r="T1007" i="7" s="1"/>
  <c r="S1352" i="7"/>
  <c r="T1352" i="7" a="1"/>
  <c r="T1352" i="7" s="1"/>
  <c r="S731" i="7"/>
  <c r="T731" i="7" a="1"/>
  <c r="T731" i="7" s="1"/>
  <c r="S1209" i="7"/>
  <c r="T1209" i="7" a="1"/>
  <c r="T1209" i="7" s="1"/>
  <c r="S880" i="7"/>
  <c r="T880" i="7" a="1"/>
  <c r="T880" i="7" s="1"/>
  <c r="S895" i="7"/>
  <c r="T895" i="7" a="1"/>
  <c r="T895" i="7" s="1"/>
  <c r="S138" i="7"/>
  <c r="T138" i="7" a="1"/>
  <c r="T138" i="7" s="1"/>
  <c r="S558" i="7"/>
  <c r="T558" i="7" a="1"/>
  <c r="T558" i="7" s="1"/>
  <c r="S1630" i="7"/>
  <c r="T1630" i="7" a="1"/>
  <c r="T1630" i="7" s="1"/>
  <c r="S1847" i="7"/>
  <c r="T1847" i="7" a="1"/>
  <c r="T1847" i="7" s="1"/>
  <c r="S1315" i="7"/>
  <c r="T1315" i="7" a="1"/>
  <c r="T1315" i="7" s="1"/>
  <c r="S1218" i="7"/>
  <c r="T1218" i="7" a="1"/>
  <c r="T1218" i="7" s="1"/>
  <c r="S403" i="7"/>
  <c r="T403" i="7" a="1"/>
  <c r="T403" i="7" s="1"/>
  <c r="S1393" i="7"/>
  <c r="T1393" i="7" a="1"/>
  <c r="T1393" i="7" s="1"/>
  <c r="S1550" i="7"/>
  <c r="T1550" i="7" a="1"/>
  <c r="T1550" i="7" s="1"/>
  <c r="S663" i="7"/>
  <c r="T663" i="7" a="1"/>
  <c r="T663" i="7" s="1"/>
  <c r="S809" i="7"/>
  <c r="T809" i="7" a="1"/>
  <c r="T809" i="7" s="1"/>
  <c r="S674" i="7"/>
  <c r="T674" i="7" a="1"/>
  <c r="T674" i="7" s="1"/>
  <c r="S1087" i="7"/>
  <c r="T1087" i="7" a="1"/>
  <c r="T1087" i="7" s="1"/>
  <c r="S1994" i="7"/>
  <c r="T1994" i="7" a="1"/>
  <c r="T1994" i="7" s="1"/>
  <c r="S196" i="7"/>
  <c r="T196" i="7" a="1"/>
  <c r="T196" i="7" s="1"/>
  <c r="S225" i="7"/>
  <c r="T225" i="7" a="1"/>
  <c r="T225" i="7" s="1"/>
  <c r="S468" i="7"/>
  <c r="T468" i="7" a="1"/>
  <c r="T468" i="7" s="1"/>
  <c r="S355" i="7"/>
  <c r="T355" i="7" a="1"/>
  <c r="T355" i="7" s="1"/>
  <c r="S306" i="7"/>
  <c r="T306" i="7" a="1"/>
  <c r="T306" i="7" s="1"/>
  <c r="S1097" i="7"/>
  <c r="T1097" i="7" a="1"/>
  <c r="T1097" i="7" s="1"/>
  <c r="S1851" i="7"/>
  <c r="T1851" i="7" a="1"/>
  <c r="T1851" i="7" s="1"/>
  <c r="S629" i="7"/>
  <c r="T629" i="7" a="1"/>
  <c r="T629" i="7" s="1"/>
  <c r="S1857" i="7"/>
  <c r="T1857" i="7" a="1"/>
  <c r="T1857" i="7" s="1"/>
  <c r="S1672" i="7"/>
  <c r="T1672" i="7" a="1"/>
  <c r="T1672" i="7" s="1"/>
  <c r="S1376" i="7"/>
  <c r="T1376" i="7" a="1"/>
  <c r="T1376" i="7" s="1"/>
  <c r="S186" i="7"/>
  <c r="T186" i="7" a="1"/>
  <c r="T186" i="7" s="1"/>
  <c r="S29" i="7"/>
  <c r="T29" i="7" a="1"/>
  <c r="T29" i="7" s="1"/>
  <c r="S1863" i="7"/>
  <c r="T1863" i="7" a="1"/>
  <c r="T1863" i="7" s="1"/>
  <c r="S522" i="7"/>
  <c r="T522" i="7" a="1"/>
  <c r="T522" i="7" s="1"/>
  <c r="S1212" i="7"/>
  <c r="T1212" i="7" a="1"/>
  <c r="T1212" i="7" s="1"/>
  <c r="S1546" i="7"/>
  <c r="T1546" i="7" a="1"/>
  <c r="T1546" i="7" s="1"/>
  <c r="S346" i="7"/>
  <c r="T346" i="7" a="1"/>
  <c r="T346" i="7" s="1"/>
  <c r="S416" i="7"/>
  <c r="T416" i="7" a="1"/>
  <c r="T416" i="7" s="1"/>
  <c r="S1312" i="7"/>
  <c r="T1312" i="7" a="1"/>
  <c r="T1312" i="7" s="1"/>
  <c r="S951" i="7"/>
  <c r="T951" i="7" a="1"/>
  <c r="T951" i="7" s="1"/>
  <c r="S458" i="7"/>
  <c r="T458" i="7" a="1"/>
  <c r="T458" i="7" s="1"/>
  <c r="S646" i="7"/>
  <c r="T646" i="7" a="1"/>
  <c r="T646" i="7" s="1"/>
  <c r="S1513" i="7"/>
  <c r="T1513" i="7" a="1"/>
  <c r="T1513" i="7" s="1"/>
  <c r="S354" i="7"/>
  <c r="T354" i="7" a="1"/>
  <c r="T354" i="7" s="1"/>
  <c r="S498" i="7"/>
  <c r="T498" i="7" a="1"/>
  <c r="T498" i="7" s="1"/>
  <c r="S1833" i="7"/>
  <c r="T1833" i="7" a="1"/>
  <c r="T1833" i="7" s="1"/>
  <c r="S831" i="7"/>
  <c r="T831" i="7" a="1"/>
  <c r="T831" i="7" s="1"/>
  <c r="S1359" i="7"/>
  <c r="T1359" i="7" a="1"/>
  <c r="T1359" i="7" s="1"/>
  <c r="S105" i="7"/>
  <c r="T105" i="7" a="1"/>
  <c r="T105" i="7" s="1"/>
  <c r="S1849" i="7"/>
  <c r="S263" i="7"/>
  <c r="T263" i="7" a="1"/>
  <c r="T263" i="7" s="1"/>
  <c r="S1389" i="7"/>
  <c r="T1389" i="7" a="1"/>
  <c r="T1389" i="7" s="1"/>
  <c r="S1831" i="7"/>
  <c r="T1831" i="7" a="1"/>
  <c r="T1831" i="7" s="1"/>
  <c r="S123" i="7"/>
  <c r="T123" i="7" a="1"/>
  <c r="T123" i="7" s="1"/>
  <c r="S1002" i="7"/>
  <c r="T1002" i="7" a="1"/>
  <c r="T1002" i="7" s="1"/>
  <c r="S128" i="7"/>
  <c r="T128" i="7" a="1"/>
  <c r="T128" i="7" s="1"/>
  <c r="S840" i="7"/>
  <c r="T840" i="7" a="1"/>
  <c r="T840" i="7" s="1"/>
  <c r="S1706" i="7"/>
  <c r="T1706" i="7" a="1"/>
  <c r="T1706" i="7" s="1"/>
  <c r="S1603" i="7"/>
  <c r="T1603" i="7" a="1"/>
  <c r="T1603" i="7" s="1"/>
  <c r="S1327" i="7"/>
  <c r="T1327" i="7" a="1"/>
  <c r="T1327" i="7" s="1"/>
  <c r="S910" i="7"/>
  <c r="T910" i="7" a="1"/>
  <c r="T910" i="7" s="1"/>
  <c r="S669" i="7"/>
  <c r="T669" i="7" a="1"/>
  <c r="T669" i="7" s="1"/>
  <c r="S129" i="7"/>
  <c r="T129" i="7" a="1"/>
  <c r="T129" i="7" s="1"/>
  <c r="S1527" i="7"/>
  <c r="T1527" i="7" a="1"/>
  <c r="T1527" i="7" s="1"/>
  <c r="S1221" i="7"/>
  <c r="T1221" i="7" a="1"/>
  <c r="T1221" i="7" s="1"/>
  <c r="S1020" i="7"/>
  <c r="T1020" i="7" a="1"/>
  <c r="T1020" i="7" s="1"/>
  <c r="S1670" i="7"/>
  <c r="T1670" i="7" a="1"/>
  <c r="T1670" i="7" s="1"/>
  <c r="S527" i="7"/>
  <c r="T527" i="7" a="1"/>
  <c r="T527" i="7" s="1"/>
  <c r="S285" i="7"/>
  <c r="T285" i="7" a="1"/>
  <c r="T285" i="7" s="1"/>
  <c r="S781" i="7"/>
  <c r="T781" i="7" a="1"/>
  <c r="T781" i="7" s="1"/>
  <c r="S194" i="7"/>
  <c r="T194" i="7" a="1"/>
  <c r="T194" i="7" s="1"/>
  <c r="S1809" i="7"/>
  <c r="T1809" i="7" a="1"/>
  <c r="T1809" i="7" s="1"/>
  <c r="S1665" i="7"/>
  <c r="T1665" i="7" a="1"/>
  <c r="T1665" i="7" s="1"/>
  <c r="S971" i="7"/>
  <c r="T971" i="7" a="1"/>
  <c r="T971" i="7" s="1"/>
  <c r="S173" i="7"/>
  <c r="T173" i="7" a="1"/>
  <c r="T173" i="7" s="1"/>
  <c r="S1230" i="7"/>
  <c r="T1230" i="7" a="1"/>
  <c r="T1230" i="7" s="1"/>
  <c r="S1086" i="7"/>
  <c r="T1086" i="7" a="1"/>
  <c r="T1086" i="7" s="1"/>
  <c r="S116" i="7"/>
  <c r="T116" i="7" a="1"/>
  <c r="T116" i="7" s="1"/>
  <c r="S1768" i="7"/>
  <c r="T1768" i="7" a="1"/>
  <c r="T1768" i="7" s="1"/>
  <c r="S584" i="7"/>
  <c r="T584" i="7" a="1"/>
  <c r="T584" i="7" s="1"/>
  <c r="S357" i="7"/>
  <c r="T357" i="7" a="1"/>
  <c r="T357" i="7" s="1"/>
  <c r="S1064" i="7"/>
  <c r="T1064" i="7" a="1"/>
  <c r="T1064" i="7" s="1"/>
  <c r="S71" i="7"/>
  <c r="T71" i="7" a="1"/>
  <c r="T71" i="7" s="1"/>
  <c r="S998" i="7"/>
  <c r="T998" i="7" a="1"/>
  <c r="T998" i="7" s="1"/>
  <c r="S1684" i="7"/>
  <c r="T1684" i="7" a="1"/>
  <c r="T1684" i="7" s="1"/>
  <c r="S1960" i="7"/>
  <c r="T1960" i="7" a="1"/>
  <c r="T1960" i="7" s="1"/>
  <c r="S43" i="7"/>
  <c r="T43" i="7" a="1"/>
  <c r="T43" i="7" s="1"/>
  <c r="S1025" i="7"/>
  <c r="T1025" i="7" a="1"/>
  <c r="T1025" i="7" s="1"/>
  <c r="S787" i="7"/>
  <c r="T787" i="7" a="1"/>
  <c r="T787" i="7" s="1"/>
  <c r="S1820" i="7"/>
  <c r="T1820" i="7" a="1"/>
  <c r="T1820" i="7" s="1"/>
  <c r="S913" i="7"/>
  <c r="T913" i="7" a="1"/>
  <c r="T913" i="7" s="1"/>
  <c r="S301" i="7"/>
  <c r="T301" i="7" a="1"/>
  <c r="T301" i="7" s="1"/>
  <c r="S1072" i="7"/>
  <c r="T1072" i="7" a="1"/>
  <c r="T1072" i="7" s="1"/>
  <c r="S790" i="7"/>
  <c r="T790" i="7" a="1"/>
  <c r="T790" i="7" s="1"/>
  <c r="S683" i="7"/>
  <c r="T683" i="7" a="1"/>
  <c r="T683" i="7" s="1"/>
  <c r="S601" i="7"/>
  <c r="T601" i="7" a="1"/>
  <c r="T601" i="7" s="1"/>
  <c r="S1953" i="7"/>
  <c r="T1953" i="7" a="1"/>
  <c r="T1953" i="7" s="1"/>
  <c r="S1335" i="7"/>
  <c r="T1335" i="7" a="1"/>
  <c r="T1335" i="7" s="1"/>
  <c r="S995" i="7"/>
  <c r="T995" i="7" a="1"/>
  <c r="T995" i="7" s="1"/>
  <c r="S850" i="7"/>
  <c r="T850" i="7" a="1"/>
  <c r="T850" i="7" s="1"/>
  <c r="S292" i="7"/>
  <c r="T292" i="7" a="1"/>
  <c r="T292" i="7" s="1"/>
  <c r="S1660" i="7"/>
  <c r="T1660" i="7" a="1"/>
  <c r="T1660" i="7" s="1"/>
  <c r="S1306" i="7"/>
  <c r="T1306" i="7" a="1"/>
  <c r="T1306" i="7" s="1"/>
  <c r="S909" i="7"/>
  <c r="T909" i="7" a="1"/>
  <c r="T909" i="7" s="1"/>
  <c r="S1894" i="7"/>
  <c r="T1894" i="7" a="1"/>
  <c r="T1894" i="7" s="1"/>
  <c r="S1090" i="7"/>
  <c r="T1090" i="7" a="1"/>
  <c r="T1090" i="7" s="1"/>
  <c r="S964" i="7"/>
  <c r="T964" i="7" a="1"/>
  <c r="T964" i="7" s="1"/>
  <c r="S1101" i="7"/>
  <c r="T1101" i="7" a="1"/>
  <c r="T1101" i="7" s="1"/>
  <c r="S707" i="7"/>
  <c r="T707" i="7" a="1"/>
  <c r="T707" i="7" s="1"/>
  <c r="S90" i="7"/>
  <c r="T90" i="7" a="1"/>
  <c r="T90" i="7" s="1"/>
  <c r="S973" i="7"/>
  <c r="T973" i="7" a="1"/>
  <c r="T973" i="7" s="1"/>
  <c r="S1950" i="7"/>
  <c r="T1950" i="7" a="1"/>
  <c r="T1950" i="7" s="1"/>
  <c r="S1497" i="7"/>
  <c r="T1497" i="7" a="1"/>
  <c r="T1497" i="7" s="1"/>
  <c r="S1922" i="7"/>
  <c r="T1922" i="7" a="1"/>
  <c r="T1922" i="7" s="1"/>
  <c r="S1118" i="7"/>
  <c r="T1118" i="7" a="1"/>
  <c r="T1118" i="7" s="1"/>
  <c r="S1009" i="7"/>
  <c r="T1009" i="7" a="1"/>
  <c r="T1009" i="7" s="1"/>
  <c r="S1264" i="7"/>
  <c r="T1264" i="7" a="1"/>
  <c r="T1264" i="7" s="1"/>
  <c r="S947" i="7"/>
  <c r="T947" i="7" a="1"/>
  <c r="T947" i="7" s="1"/>
  <c r="S839" i="7"/>
  <c r="T839" i="7" a="1"/>
  <c r="T839" i="7" s="1"/>
  <c r="S633" i="7"/>
  <c r="T633" i="7" a="1"/>
  <c r="T633" i="7" s="1"/>
  <c r="S1958" i="7"/>
  <c r="T1958" i="7" a="1"/>
  <c r="T1958" i="7" s="1"/>
  <c r="S1418" i="7"/>
  <c r="T1418" i="7" a="1"/>
  <c r="T1418" i="7" s="1"/>
  <c r="S980" i="7"/>
  <c r="T980" i="7" a="1"/>
  <c r="T980" i="7" s="1"/>
  <c r="S940" i="7"/>
  <c r="T940" i="7" a="1"/>
  <c r="T940" i="7" s="1"/>
  <c r="S1967" i="7"/>
  <c r="T1967" i="7" a="1"/>
  <c r="T1967" i="7" s="1"/>
  <c r="S479" i="7"/>
  <c r="T479" i="7" a="1"/>
  <c r="T479" i="7" s="1"/>
  <c r="S793" i="7"/>
  <c r="T793" i="7" a="1"/>
  <c r="T793" i="7" s="1"/>
  <c r="S59" i="7"/>
  <c r="T59" i="7" a="1"/>
  <c r="T59" i="7" s="1"/>
  <c r="S135" i="7"/>
  <c r="T135" i="7" a="1"/>
  <c r="T135" i="7" s="1"/>
  <c r="S1622" i="7"/>
  <c r="T1622" i="7" a="1"/>
  <c r="T1622" i="7" s="1"/>
  <c r="S834" i="7"/>
  <c r="T834" i="7" a="1"/>
  <c r="T834" i="7" s="1"/>
  <c r="S131" i="7"/>
  <c r="T131" i="7" a="1"/>
  <c r="T131" i="7" s="1"/>
  <c r="S1941" i="7"/>
  <c r="T1941" i="7" a="1"/>
  <c r="T1941" i="7" s="1"/>
  <c r="S1702" i="7"/>
  <c r="T1702" i="7" a="1"/>
  <c r="T1702" i="7" s="1"/>
  <c r="S449" i="7"/>
  <c r="S965" i="7"/>
  <c r="T965" i="7" a="1"/>
  <c r="T965" i="7" s="1"/>
  <c r="S379" i="7"/>
  <c r="T379" i="7" a="1"/>
  <c r="T379" i="7" s="1"/>
  <c r="S930" i="7"/>
  <c r="T930" i="7" a="1"/>
  <c r="T930" i="7" s="1"/>
  <c r="S1850" i="7"/>
  <c r="T1850" i="7" a="1"/>
  <c r="T1850" i="7" s="1"/>
  <c r="S229" i="7"/>
  <c r="T229" i="7" a="1"/>
  <c r="T229" i="7" s="1"/>
  <c r="S699" i="7"/>
  <c r="T699" i="7" a="1"/>
  <c r="T699" i="7" s="1"/>
  <c r="S1995" i="7"/>
  <c r="T1995" i="7" a="1"/>
  <c r="T1995" i="7" s="1"/>
  <c r="S1545" i="7"/>
  <c r="T1545" i="7" a="1"/>
  <c r="T1545" i="7" s="1"/>
  <c r="S1023" i="7"/>
  <c r="T1023" i="7" a="1"/>
  <c r="T1023" i="7" s="1"/>
  <c r="S371" i="7"/>
  <c r="T371" i="7" a="1"/>
  <c r="T371" i="7" s="1"/>
  <c r="S551" i="7"/>
  <c r="T551" i="7" a="1"/>
  <c r="T551" i="7" s="1"/>
  <c r="S1750" i="7"/>
  <c r="T1750" i="7" a="1"/>
  <c r="T1750" i="7" s="1"/>
  <c r="S748" i="7"/>
  <c r="T748" i="7" a="1"/>
  <c r="T748" i="7" s="1"/>
  <c r="S1594" i="7"/>
  <c r="T1594" i="7" a="1"/>
  <c r="T1594" i="7" s="1"/>
  <c r="S1394" i="7"/>
  <c r="T1394" i="7" a="1"/>
  <c r="T1394" i="7" s="1"/>
  <c r="S34" i="7"/>
  <c r="T34" i="7" a="1"/>
  <c r="T34" i="7" s="1"/>
  <c r="S236" i="7"/>
  <c r="T236" i="7" a="1"/>
  <c r="T236" i="7" s="1"/>
  <c r="S12" i="7"/>
  <c r="S420" i="7"/>
  <c r="S857" i="7"/>
  <c r="S70" i="7"/>
  <c r="T70" i="7" a="1"/>
  <c r="T70" i="7" s="1"/>
  <c r="S952" i="7"/>
  <c r="T952" i="7" a="1"/>
  <c r="T952" i="7" s="1"/>
  <c r="S114" i="7"/>
  <c r="T114" i="7" a="1"/>
  <c r="T114" i="7" s="1"/>
  <c r="S428" i="7"/>
  <c r="T428" i="7" a="1"/>
  <c r="T428" i="7" s="1"/>
  <c r="S1713" i="7"/>
  <c r="T1713" i="7" a="1"/>
  <c r="T1713" i="7" s="1"/>
  <c r="S917" i="7"/>
  <c r="T917" i="7" a="1"/>
  <c r="T917" i="7" s="1"/>
  <c r="S415" i="7"/>
  <c r="T415" i="7" a="1"/>
  <c r="T415" i="7" s="1"/>
  <c r="S872" i="7"/>
  <c r="T872" i="7" a="1"/>
  <c r="T872" i="7" s="1"/>
  <c r="S958" i="7"/>
  <c r="T958" i="7" a="1"/>
  <c r="T958" i="7" s="1"/>
  <c r="S957" i="7"/>
  <c r="T957" i="7" a="1"/>
  <c r="T957" i="7" s="1"/>
  <c r="S722" i="7"/>
  <c r="T722" i="7" a="1"/>
  <c r="T722" i="7" s="1"/>
  <c r="S1666" i="7"/>
  <c r="T1666" i="7" a="1"/>
  <c r="T1666" i="7" s="1"/>
  <c r="S1573" i="7"/>
  <c r="T1573" i="7" a="1"/>
  <c r="T1573" i="7" s="1"/>
  <c r="S436" i="7"/>
  <c r="T436" i="7" a="1"/>
  <c r="T436" i="7" s="1"/>
  <c r="S600" i="7"/>
  <c r="T600" i="7" a="1"/>
  <c r="T600" i="7" s="1"/>
  <c r="S1712" i="7"/>
  <c r="T1712" i="7" a="1"/>
  <c r="T1712" i="7" s="1"/>
  <c r="S1982" i="7"/>
  <c r="T1982" i="7" a="1"/>
  <c r="T1982" i="7" s="1"/>
  <c r="S928" i="7"/>
  <c r="T928" i="7" a="1"/>
  <c r="T928" i="7" s="1"/>
  <c r="S875" i="7"/>
  <c r="T875" i="7" a="1"/>
  <c r="T875" i="7" s="1"/>
  <c r="S49" i="7"/>
  <c r="T49" i="7" a="1"/>
  <c r="T49" i="7" s="1"/>
  <c r="S151" i="7"/>
  <c r="T151" i="7" a="1"/>
  <c r="T151" i="7" s="1"/>
  <c r="S1159" i="7"/>
  <c r="T1159" i="7" a="1"/>
  <c r="T1159" i="7" s="1"/>
  <c r="S446" i="7"/>
  <c r="T446" i="7" a="1"/>
  <c r="T446" i="7" s="1"/>
  <c r="S102" i="7"/>
  <c r="T102" i="7" a="1"/>
  <c r="T102" i="7" s="1"/>
  <c r="S370" i="7"/>
  <c r="T370" i="7" a="1"/>
  <c r="T370" i="7" s="1"/>
  <c r="S1261" i="7"/>
  <c r="T1261" i="7" a="1"/>
  <c r="T1261" i="7" s="1"/>
  <c r="S1024" i="7"/>
  <c r="T1024" i="7" a="1"/>
  <c r="T1024" i="7" s="1"/>
  <c r="S677" i="7"/>
  <c r="T677" i="7" a="1"/>
  <c r="T677" i="7" s="1"/>
  <c r="S1526" i="7"/>
  <c r="S851" i="7"/>
  <c r="T851" i="7" a="1"/>
  <c r="T851" i="7" s="1"/>
  <c r="S1658" i="7"/>
  <c r="T1658" i="7" a="1"/>
  <c r="T1658" i="7" s="1"/>
  <c r="S1383" i="7"/>
  <c r="T1383" i="7" a="1"/>
  <c r="T1383" i="7" s="1"/>
  <c r="S1970" i="7"/>
  <c r="T1970" i="7" a="1"/>
  <c r="T1970" i="7" s="1"/>
  <c r="S308" i="7"/>
  <c r="T308" i="7" a="1"/>
  <c r="T308" i="7" s="1"/>
  <c r="S1507" i="7"/>
  <c r="T1507" i="7" a="1"/>
  <c r="T1507" i="7" s="1"/>
  <c r="S1298" i="7"/>
  <c r="T1298" i="7" a="1"/>
  <c r="T1298" i="7" s="1"/>
  <c r="S1533" i="7"/>
  <c r="T1533" i="7" a="1"/>
  <c r="T1533" i="7" s="1"/>
  <c r="S1173" i="7"/>
  <c r="T1173" i="7" a="1"/>
  <c r="T1173" i="7" s="1"/>
  <c r="S1073" i="7"/>
  <c r="T1073" i="7" a="1"/>
  <c r="T1073" i="7" s="1"/>
  <c r="S1774" i="7"/>
  <c r="T1774" i="7" a="1"/>
  <c r="T1774" i="7" s="1"/>
  <c r="S634" i="7"/>
  <c r="T634" i="7" a="1"/>
  <c r="T634" i="7" s="1"/>
  <c r="S805" i="7"/>
  <c r="T805" i="7" a="1"/>
  <c r="T805" i="7" s="1"/>
  <c r="S799" i="7"/>
  <c r="T799" i="7" a="1"/>
  <c r="T799" i="7" s="1"/>
  <c r="S345" i="7"/>
  <c r="T345" i="7" a="1"/>
  <c r="T345" i="7" s="1"/>
  <c r="S794" i="7"/>
  <c r="T794" i="7" a="1"/>
  <c r="T794" i="7" s="1"/>
  <c r="S1295" i="7"/>
  <c r="T1295" i="7" a="1"/>
  <c r="T1295" i="7" s="1"/>
  <c r="S54" i="7"/>
  <c r="T54" i="7" a="1"/>
  <c r="T54" i="7" s="1"/>
  <c r="S1845" i="7"/>
  <c r="T1845" i="7" a="1"/>
  <c r="T1845" i="7" s="1"/>
  <c r="S342" i="7"/>
  <c r="T342" i="7" a="1"/>
  <c r="T342" i="7" s="1"/>
  <c r="S515" i="7"/>
  <c r="T515" i="7" a="1"/>
  <c r="T515" i="7" s="1"/>
  <c r="S832" i="7"/>
  <c r="T832" i="7" a="1"/>
  <c r="T832" i="7" s="1"/>
  <c r="S1934" i="7"/>
  <c r="T1934" i="7" a="1"/>
  <c r="T1934" i="7" s="1"/>
  <c r="S335" i="7"/>
  <c r="T335" i="7" a="1"/>
  <c r="T335" i="7" s="1"/>
  <c r="S1732" i="7"/>
  <c r="T1732" i="7" a="1"/>
  <c r="T1732" i="7" s="1"/>
  <c r="S1735" i="7"/>
  <c r="T1735" i="7" a="1"/>
  <c r="T1735" i="7" s="1"/>
  <c r="S782" i="7"/>
  <c r="T782" i="7" a="1"/>
  <c r="T782" i="7" s="1"/>
  <c r="S871" i="7"/>
  <c r="T871" i="7" a="1"/>
  <c r="T871" i="7" s="1"/>
  <c r="S1094" i="7"/>
  <c r="T1094" i="7" a="1"/>
  <c r="T1094" i="7" s="1"/>
  <c r="S648" i="7"/>
  <c r="T648" i="7" a="1"/>
  <c r="T648" i="7" s="1"/>
  <c r="S853" i="7"/>
  <c r="T853" i="7" a="1"/>
  <c r="T853" i="7" s="1"/>
  <c r="S824" i="7"/>
  <c r="T824" i="7" a="1"/>
  <c r="T824" i="7" s="1"/>
  <c r="S1177" i="7"/>
  <c r="T1177" i="7" a="1"/>
  <c r="T1177" i="7" s="1"/>
  <c r="S309" i="7"/>
  <c r="T309" i="7" a="1"/>
  <c r="T309" i="7" s="1"/>
  <c r="S445" i="7"/>
  <c r="T445" i="7" a="1"/>
  <c r="T445" i="7" s="1"/>
  <c r="S948" i="7"/>
  <c r="T948" i="7" a="1"/>
  <c r="T948" i="7" s="1"/>
  <c r="S866" i="7"/>
  <c r="T866" i="7" a="1"/>
  <c r="T866" i="7" s="1"/>
  <c r="S1803" i="7"/>
  <c r="T1803" i="7" a="1"/>
  <c r="T1803" i="7" s="1"/>
  <c r="S198" i="7"/>
  <c r="T198" i="7" a="1"/>
  <c r="T198" i="7" s="1"/>
  <c r="S745" i="7"/>
  <c r="T745" i="7" a="1"/>
  <c r="T745" i="7" s="1"/>
  <c r="S1401" i="7"/>
  <c r="T1401" i="7" a="1"/>
  <c r="T1401" i="7" s="1"/>
  <c r="S1880" i="7"/>
  <c r="T1880" i="7" a="1"/>
  <c r="T1880" i="7" s="1"/>
  <c r="S1041" i="7"/>
  <c r="T1041" i="7" a="1"/>
  <c r="T1041" i="7" s="1"/>
  <c r="S759" i="7"/>
  <c r="T759" i="7" a="1"/>
  <c r="T759" i="7" s="1"/>
  <c r="S1233" i="7"/>
  <c r="T1233" i="7" a="1"/>
  <c r="T1233" i="7" s="1"/>
  <c r="S269" i="7"/>
  <c r="T269" i="7" a="1"/>
  <c r="T269" i="7" s="1"/>
  <c r="S962" i="7"/>
  <c r="T962" i="7" a="1"/>
  <c r="T962" i="7" s="1"/>
  <c r="S844" i="7"/>
  <c r="T844" i="7" a="1"/>
  <c r="T844" i="7" s="1"/>
  <c r="S1556" i="7"/>
  <c r="T1556" i="7" a="1"/>
  <c r="T1556" i="7" s="1"/>
  <c r="S266" i="7"/>
  <c r="T266" i="7" a="1"/>
  <c r="T266" i="7" s="1"/>
  <c r="S200" i="7"/>
  <c r="T200" i="7" a="1"/>
  <c r="T200" i="7" s="1"/>
  <c r="S649" i="7"/>
  <c r="T649" i="7" a="1"/>
  <c r="T649" i="7" s="1"/>
  <c r="S93" i="7"/>
  <c r="T93" i="7" a="1"/>
  <c r="T93" i="7" s="1"/>
  <c r="S1747" i="7"/>
  <c r="T1747" i="7" a="1"/>
  <c r="T1747" i="7" s="1"/>
  <c r="S1839" i="7"/>
  <c r="T1839" i="7" a="1"/>
  <c r="T1839" i="7" s="1"/>
  <c r="S166" i="7"/>
  <c r="T166" i="7" a="1"/>
  <c r="T166" i="7" s="1"/>
  <c r="S849" i="7"/>
  <c r="T849" i="7" a="1"/>
  <c r="T849" i="7" s="1"/>
  <c r="S692" i="7"/>
  <c r="T692" i="7" a="1"/>
  <c r="T692" i="7" s="1"/>
  <c r="S174" i="7"/>
  <c r="T174" i="7" a="1"/>
  <c r="T174" i="7" s="1"/>
  <c r="S1986" i="7"/>
  <c r="T1986" i="7" a="1"/>
  <c r="T1986" i="7" s="1"/>
  <c r="S6" i="7"/>
  <c r="T6" i="7" a="1"/>
  <c r="T6" i="7" s="1"/>
  <c r="S514" i="7"/>
  <c r="T514" i="7" a="1"/>
  <c r="T514" i="7" s="1"/>
  <c r="S386" i="7"/>
  <c r="T386" i="7" a="1"/>
  <c r="T386" i="7" s="1"/>
  <c r="S905" i="7"/>
  <c r="T905" i="7" a="1"/>
  <c r="T905" i="7" s="1"/>
  <c r="S1600" i="7"/>
  <c r="T1600" i="7" a="1"/>
  <c r="T1600" i="7" s="1"/>
  <c r="S1974" i="7"/>
  <c r="T1974" i="7" a="1"/>
  <c r="T1974" i="7" s="1"/>
  <c r="S368" i="7"/>
  <c r="T368" i="7" a="1"/>
  <c r="T368" i="7" s="1"/>
  <c r="S11" i="7"/>
  <c r="T11" i="7" a="1"/>
  <c r="T11" i="7" s="1"/>
  <c r="S1037" i="7"/>
  <c r="T1037" i="7" a="1"/>
  <c r="T1037" i="7" s="1"/>
  <c r="S1797" i="7"/>
  <c r="T1797" i="7" a="1"/>
  <c r="T1797" i="7" s="1"/>
  <c r="S1811" i="7"/>
  <c r="T1811" i="7" a="1"/>
  <c r="T1811" i="7" s="1"/>
  <c r="S282" i="7"/>
  <c r="T282" i="7" a="1"/>
  <c r="T282" i="7" s="1"/>
  <c r="S421" i="7"/>
  <c r="T421" i="7" a="1"/>
  <c r="T421" i="7" s="1"/>
  <c r="S768" i="7"/>
  <c r="T768" i="7" a="1"/>
  <c r="T768" i="7" s="1"/>
  <c r="S1256" i="7"/>
  <c r="T1256" i="7" a="1"/>
  <c r="T1256" i="7" s="1"/>
  <c r="S156" i="7"/>
  <c r="T156" i="7" a="1"/>
  <c r="T156" i="7" s="1"/>
  <c r="S8" i="7"/>
  <c r="T8" i="7" a="1"/>
  <c r="T8" i="7" s="1"/>
  <c r="S959" i="7"/>
  <c r="T959" i="7" a="1"/>
  <c r="T959" i="7" s="1"/>
  <c r="S155" i="7"/>
  <c r="T155" i="7" a="1"/>
  <c r="T155" i="7" s="1"/>
  <c r="S705" i="7"/>
  <c r="T705" i="7" a="1"/>
  <c r="T705" i="7" s="1"/>
  <c r="S1034" i="7"/>
  <c r="T1034" i="7" a="1"/>
  <c r="T1034" i="7" s="1"/>
  <c r="S783" i="7"/>
  <c r="T783" i="7" a="1"/>
  <c r="T783" i="7" s="1"/>
  <c r="S1030" i="7"/>
  <c r="T1030" i="7" a="1"/>
  <c r="T1030" i="7" s="1"/>
  <c r="S1742" i="7"/>
  <c r="T1742" i="7" a="1"/>
  <c r="T1742" i="7" s="1"/>
  <c r="S1634" i="7"/>
  <c r="T1634" i="7" a="1"/>
  <c r="T1634" i="7" s="1"/>
  <c r="S1663" i="7"/>
  <c r="T1663" i="7" a="1"/>
  <c r="T1663" i="7" s="1"/>
  <c r="S510" i="7"/>
  <c r="T510" i="7" a="1"/>
  <c r="T510" i="7" s="1"/>
  <c r="S252" i="7"/>
  <c r="T252" i="7" a="1"/>
  <c r="T252" i="7" s="1"/>
  <c r="S1237" i="7"/>
  <c r="T1237" i="7" a="1"/>
  <c r="T1237" i="7" s="1"/>
  <c r="S1197" i="7"/>
  <c r="T1197" i="7" a="1"/>
  <c r="T1197" i="7" s="1"/>
  <c r="S144" i="7"/>
  <c r="T144" i="7" a="1"/>
  <c r="T144" i="7" s="1"/>
  <c r="S896" i="7"/>
  <c r="T896" i="7" a="1"/>
  <c r="T896" i="7" s="1"/>
  <c r="S20" i="7"/>
  <c r="S1026" i="7"/>
  <c r="S1031" i="7"/>
  <c r="S482" i="7"/>
  <c r="T482" i="7" a="1"/>
  <c r="T482" i="7" s="1"/>
  <c r="S1189" i="7"/>
  <c r="T1189" i="7" a="1"/>
  <c r="T1189" i="7" s="1"/>
  <c r="S1255" i="7"/>
  <c r="T1255" i="7" a="1"/>
  <c r="T1255" i="7" s="1"/>
  <c r="S1719" i="7"/>
  <c r="T1719" i="7" a="1"/>
  <c r="T1719" i="7" s="1"/>
  <c r="S1911" i="7"/>
  <c r="T1911" i="7" a="1"/>
  <c r="T1911" i="7" s="1"/>
  <c r="S1052" i="7"/>
  <c r="T1052" i="7" a="1"/>
  <c r="T1052" i="7" s="1"/>
  <c r="S1462" i="7"/>
  <c r="T1462" i="7" a="1"/>
  <c r="T1462" i="7" s="1"/>
  <c r="S487" i="7"/>
  <c r="T487" i="7" a="1"/>
  <c r="T487" i="7" s="1"/>
  <c r="S408" i="7"/>
  <c r="T408" i="7" a="1"/>
  <c r="T408" i="7" s="1"/>
  <c r="S662" i="7"/>
  <c r="T662" i="7" a="1"/>
  <c r="T662" i="7" s="1"/>
  <c r="S492" i="7"/>
  <c r="T492" i="7" a="1"/>
  <c r="T492" i="7" s="1"/>
  <c r="S784" i="7"/>
  <c r="T784" i="7" a="1"/>
  <c r="T784" i="7" s="1"/>
  <c r="S1357" i="7"/>
  <c r="T1357" i="7" a="1"/>
  <c r="T1357" i="7" s="1"/>
  <c r="S1096" i="7"/>
  <c r="T1096" i="7" a="1"/>
  <c r="T1096" i="7" s="1"/>
  <c r="S1557" i="7"/>
  <c r="S1650" i="7"/>
  <c r="T1650" i="7" a="1"/>
  <c r="T1650" i="7" s="1"/>
  <c r="S350" i="7"/>
  <c r="T350" i="7" a="1"/>
  <c r="T350" i="7" s="1"/>
  <c r="S124" i="7"/>
  <c r="T124" i="7" a="1"/>
  <c r="T124" i="7" s="1"/>
  <c r="S1860" i="7"/>
  <c r="T1860" i="7" a="1"/>
  <c r="T1860" i="7" s="1"/>
  <c r="S516" i="7"/>
  <c r="T516" i="7" a="1"/>
  <c r="T516" i="7" s="1"/>
  <c r="S617" i="7"/>
  <c r="T617" i="7" a="1"/>
  <c r="T617" i="7" s="1"/>
  <c r="S1124" i="7"/>
  <c r="T1124" i="7" a="1"/>
  <c r="T1124" i="7" s="1"/>
  <c r="S1029" i="7"/>
  <c r="T1029" i="7" a="1"/>
  <c r="T1029" i="7" s="1"/>
  <c r="S325" i="7"/>
  <c r="T325" i="7" a="1"/>
  <c r="T325" i="7" s="1"/>
  <c r="S1179" i="7"/>
  <c r="T1179" i="7" a="1"/>
  <c r="T1179" i="7" s="1"/>
  <c r="S172" i="7"/>
  <c r="T172" i="7" a="1"/>
  <c r="T172" i="7" s="1"/>
  <c r="S1424" i="7"/>
  <c r="T1424" i="7" a="1"/>
  <c r="T1424" i="7" s="1"/>
  <c r="S1757" i="7"/>
  <c r="T1757" i="7" a="1"/>
  <c r="T1757" i="7" s="1"/>
  <c r="S1645" i="7"/>
  <c r="T1645" i="7" a="1"/>
  <c r="T1645" i="7" s="1"/>
  <c r="S180" i="7"/>
  <c r="T180" i="7" a="1"/>
  <c r="T180" i="7" s="1"/>
  <c r="S191" i="7"/>
  <c r="T191" i="7" a="1"/>
  <c r="T191" i="7" s="1"/>
  <c r="S1814" i="7"/>
  <c r="T1814" i="7" a="1"/>
  <c r="T1814" i="7" s="1"/>
  <c r="S1616" i="7"/>
  <c r="T1616" i="7" a="1"/>
  <c r="T1616" i="7" s="1"/>
  <c r="S488" i="7"/>
  <c r="T488" i="7" a="1"/>
  <c r="T488" i="7" s="1"/>
  <c r="S1881" i="7"/>
  <c r="T1881" i="7" a="1"/>
  <c r="T1881" i="7" s="1"/>
  <c r="S1452" i="7"/>
  <c r="T1452" i="7" a="1"/>
  <c r="T1452" i="7" s="1"/>
  <c r="S716" i="7"/>
  <c r="T716" i="7" a="1"/>
  <c r="T716" i="7" s="1"/>
  <c r="S638" i="7"/>
  <c r="T638" i="7" a="1"/>
  <c r="T638" i="7" s="1"/>
  <c r="S504" i="7"/>
  <c r="T504" i="7" a="1"/>
  <c r="T504" i="7" s="1"/>
  <c r="S1406" i="7"/>
  <c r="T1406" i="7" a="1"/>
  <c r="T1406" i="7" s="1"/>
  <c r="S1442" i="7"/>
  <c r="T1442" i="7" a="1"/>
  <c r="T1442" i="7" s="1"/>
  <c r="S1810" i="7"/>
  <c r="T1810" i="7" a="1"/>
  <c r="T1810" i="7" s="1"/>
  <c r="S1885" i="7"/>
  <c r="T1885" i="7" a="1"/>
  <c r="T1885" i="7" s="1"/>
  <c r="S1895" i="7"/>
  <c r="T1895" i="7" a="1"/>
  <c r="T1895" i="7" s="1"/>
  <c r="S807" i="7"/>
  <c r="T807" i="7" a="1"/>
  <c r="T807" i="7" s="1"/>
  <c r="S1247" i="7"/>
  <c r="T1247" i="7" a="1"/>
  <c r="T1247" i="7" s="1"/>
  <c r="S120" i="7"/>
  <c r="T120" i="7" a="1"/>
  <c r="T120" i="7" s="1"/>
  <c r="S161" i="7"/>
  <c r="T161" i="7" a="1"/>
  <c r="T161" i="7" s="1"/>
  <c r="S207" i="7"/>
  <c r="T207" i="7" a="1"/>
  <c r="T207" i="7" s="1"/>
  <c r="S771" i="7"/>
  <c r="T771" i="7" a="1"/>
  <c r="T771" i="7" s="1"/>
  <c r="S1263" i="7"/>
  <c r="T1263" i="7" a="1"/>
  <c r="T1263" i="7" s="1"/>
  <c r="S1135" i="7"/>
  <c r="T1135" i="7" a="1"/>
  <c r="T1135" i="7" s="1"/>
  <c r="S1632" i="7"/>
  <c r="T1632" i="7" a="1"/>
  <c r="T1632" i="7" s="1"/>
  <c r="S1238" i="7"/>
  <c r="T1238" i="7" a="1"/>
  <c r="T1238" i="7" s="1"/>
  <c r="S1299" i="7"/>
  <c r="T1299" i="7" a="1"/>
  <c r="T1299" i="7" s="1"/>
  <c r="S1698" i="7"/>
  <c r="T1698" i="7" a="1"/>
  <c r="T1698" i="7" s="1"/>
  <c r="S946" i="7"/>
  <c r="T946" i="7" a="1"/>
  <c r="T946" i="7" s="1"/>
  <c r="S329" i="7"/>
  <c r="T329" i="7" a="1"/>
  <c r="T329" i="7" s="1"/>
  <c r="S598" i="7"/>
  <c r="T598" i="7" a="1"/>
  <c r="T598" i="7" s="1"/>
  <c r="S1066" i="7"/>
  <c r="T1066" i="7" a="1"/>
  <c r="T1066" i="7" s="1"/>
  <c r="S1403" i="7"/>
  <c r="T1403" i="7" a="1"/>
  <c r="T1403" i="7" s="1"/>
  <c r="S1127" i="7"/>
  <c r="T1127" i="7" a="1"/>
  <c r="T1127" i="7" s="1"/>
  <c r="S1971" i="7"/>
  <c r="T1971" i="7" a="1"/>
  <c r="T1971" i="7" s="1"/>
  <c r="S977" i="7"/>
  <c r="T977" i="7" a="1"/>
  <c r="T977" i="7" s="1"/>
  <c r="S660" i="7"/>
  <c r="T660" i="7" a="1"/>
  <c r="T660" i="7" s="1"/>
  <c r="S1059" i="7"/>
  <c r="T1059" i="7" a="1"/>
  <c r="T1059" i="7" s="1"/>
  <c r="S1262" i="7"/>
  <c r="T1262" i="7" a="1"/>
  <c r="T1262" i="7" s="1"/>
  <c r="S1202" i="7"/>
  <c r="T1202" i="7" a="1"/>
  <c r="T1202" i="7" s="1"/>
  <c r="S586" i="7"/>
  <c r="T586" i="7" a="1"/>
  <c r="T586" i="7" s="1"/>
  <c r="S78" i="7"/>
  <c r="T78" i="7" a="1"/>
  <c r="T78" i="7" s="1"/>
  <c r="S278" i="7"/>
  <c r="T278" i="7" a="1"/>
  <c r="T278" i="7" s="1"/>
  <c r="S893" i="7"/>
  <c r="T893" i="7" a="1"/>
  <c r="T893" i="7" s="1"/>
  <c r="S754" i="7"/>
  <c r="T754" i="7" a="1"/>
  <c r="T754" i="7" s="1"/>
  <c r="S471" i="7"/>
  <c r="T471" i="7" a="1"/>
  <c r="T471" i="7" s="1"/>
  <c r="S425" i="7"/>
  <c r="T425" i="7" a="1"/>
  <c r="T425" i="7" s="1"/>
  <c r="S796" i="7"/>
  <c r="T796" i="7" a="1"/>
  <c r="T796" i="7" s="1"/>
  <c r="S179" i="7"/>
  <c r="T179" i="7" a="1"/>
  <c r="T179" i="7" s="1"/>
  <c r="S1373" i="7"/>
  <c r="T1373" i="7" a="1"/>
  <c r="T1373" i="7" s="1"/>
  <c r="S14" i="7"/>
  <c r="T14" i="7" a="1"/>
  <c r="T14" i="7" s="1"/>
  <c r="S1149" i="7"/>
  <c r="T1149" i="7" a="1"/>
  <c r="T1149" i="7" s="1"/>
  <c r="S523" i="7"/>
  <c r="T523" i="7" a="1"/>
  <c r="T523" i="7" s="1"/>
  <c r="S1864" i="7"/>
  <c r="T1864" i="7" a="1"/>
  <c r="T1864" i="7" s="1"/>
  <c r="S713" i="7"/>
  <c r="T713" i="7" a="1"/>
  <c r="T713" i="7" s="1"/>
  <c r="S704" i="7"/>
  <c r="T704" i="7" a="1"/>
  <c r="T704" i="7" s="1"/>
  <c r="S1236" i="7"/>
  <c r="T1236" i="7" a="1"/>
  <c r="T1236" i="7" s="1"/>
  <c r="S1564" i="7"/>
  <c r="T1564" i="7" a="1"/>
  <c r="T1564" i="7" s="1"/>
  <c r="S1278" i="7"/>
  <c r="T1278" i="7" a="1"/>
  <c r="T1278" i="7" s="1"/>
  <c r="S1183" i="7"/>
  <c r="T1183" i="7" a="1"/>
  <c r="T1183" i="7" s="1"/>
  <c r="S711" i="7"/>
  <c r="T711" i="7" a="1"/>
  <c r="T711" i="7" s="1"/>
  <c r="S604" i="7"/>
  <c r="T604" i="7" a="1"/>
  <c r="T604" i="7" s="1"/>
  <c r="S1946" i="7"/>
  <c r="T1946" i="7" a="1"/>
  <c r="T1946" i="7" s="1"/>
  <c r="S1392" i="7"/>
  <c r="T1392" i="7" a="1"/>
  <c r="T1392" i="7" s="1"/>
  <c r="S1544" i="7"/>
  <c r="T1544" i="7" a="1"/>
  <c r="T1544" i="7" s="1"/>
  <c r="S1656" i="7"/>
  <c r="T1656" i="7" a="1"/>
  <c r="T1656" i="7" s="1"/>
  <c r="S936" i="7"/>
  <c r="T936" i="7" a="1"/>
  <c r="T936" i="7" s="1"/>
  <c r="S318" i="7"/>
  <c r="T318" i="7" a="1"/>
  <c r="T318" i="7" s="1"/>
  <c r="S1319" i="7"/>
  <c r="S53" i="7"/>
  <c r="T53" i="7" a="1"/>
  <c r="T53" i="7" s="1"/>
  <c r="S1137" i="7"/>
  <c r="T1137" i="7" a="1"/>
  <c r="T1137" i="7" s="1"/>
  <c r="S992" i="7"/>
  <c r="T992" i="7" a="1"/>
  <c r="T992" i="7" s="1"/>
  <c r="S1749" i="7"/>
  <c r="T1749" i="7" a="1"/>
  <c r="T1749" i="7" s="1"/>
  <c r="S1046" i="7"/>
  <c r="T1046" i="7" a="1"/>
  <c r="T1046" i="7" s="1"/>
  <c r="S1567" i="7"/>
  <c r="T1567" i="7" a="1"/>
  <c r="T1567" i="7" s="1"/>
  <c r="S1336" i="7"/>
  <c r="T1336" i="7" a="1"/>
  <c r="T1336" i="7" s="1"/>
  <c r="S657" i="7"/>
  <c r="T657" i="7" a="1"/>
  <c r="T657" i="7" s="1"/>
  <c r="S941" i="7"/>
  <c r="T941" i="7" a="1"/>
  <c r="T941" i="7" s="1"/>
  <c r="S66" i="7"/>
  <c r="T66" i="7" a="1"/>
  <c r="T66" i="7" s="1"/>
  <c r="S349" i="7"/>
  <c r="T349" i="7" a="1"/>
  <c r="T349" i="7" s="1"/>
  <c r="S766" i="7"/>
  <c r="T766" i="7" a="1"/>
  <c r="T766" i="7" s="1"/>
  <c r="S580" i="7"/>
  <c r="T580" i="7" a="1"/>
  <c r="T580" i="7" s="1"/>
  <c r="S1778" i="7"/>
  <c r="T1778" i="7" a="1"/>
  <c r="T1778" i="7" s="1"/>
  <c r="S518" i="7"/>
  <c r="T518" i="7" a="1"/>
  <c r="T518" i="7" s="1"/>
  <c r="S1580" i="7"/>
  <c r="T1580" i="7" a="1"/>
  <c r="T1580" i="7" s="1"/>
  <c r="S991" i="7"/>
  <c r="T991" i="7" a="1"/>
  <c r="T991" i="7" s="1"/>
  <c r="S1565" i="7"/>
  <c r="S876" i="7"/>
  <c r="T876" i="7" a="1"/>
  <c r="T876" i="7" s="1"/>
  <c r="S974" i="7"/>
  <c r="T974" i="7" a="1"/>
  <c r="T974" i="7" s="1"/>
  <c r="S162" i="7"/>
  <c r="T162" i="7" a="1"/>
  <c r="T162" i="7" s="1"/>
  <c r="S1008" i="7"/>
  <c r="T1008" i="7" a="1"/>
  <c r="T1008" i="7" s="1"/>
  <c r="S187" i="7"/>
  <c r="T187" i="7" a="1"/>
  <c r="T187" i="7" s="1"/>
  <c r="S757" i="7"/>
  <c r="T757" i="7" a="1"/>
  <c r="T757" i="7" s="1"/>
  <c r="S681" i="7"/>
  <c r="T681" i="7" a="1"/>
  <c r="T681" i="7" s="1"/>
  <c r="S1109" i="7"/>
  <c r="T1109" i="7" a="1"/>
  <c r="T1109" i="7" s="1"/>
  <c r="S1822" i="7"/>
  <c r="T1822" i="7" a="1"/>
  <c r="T1822" i="7" s="1"/>
  <c r="S1419" i="7"/>
  <c r="T1419" i="7" a="1"/>
  <c r="T1419" i="7" s="1"/>
  <c r="S1134" i="7"/>
  <c r="T1134" i="7" a="1"/>
  <c r="T1134" i="7" s="1"/>
  <c r="S1959" i="7"/>
  <c r="T1959" i="7" a="1"/>
  <c r="T1959" i="7" s="1"/>
  <c r="S1492" i="7"/>
  <c r="T1492" i="7" a="1"/>
  <c r="T1492" i="7" s="1"/>
  <c r="S505" i="7"/>
  <c r="T505" i="7" a="1"/>
  <c r="T505" i="7" s="1"/>
  <c r="S84" i="7"/>
  <c r="T84" i="7" a="1"/>
  <c r="T84" i="7" s="1"/>
  <c r="S881" i="7"/>
  <c r="T881" i="7" a="1"/>
  <c r="T881" i="7" s="1"/>
  <c r="S976" i="7"/>
  <c r="T976" i="7" a="1"/>
  <c r="T976" i="7" s="1"/>
  <c r="S773" i="7"/>
  <c r="T773" i="7" a="1"/>
  <c r="T773" i="7" s="1"/>
  <c r="S1471" i="7"/>
  <c r="T1471" i="7" a="1"/>
  <c r="T1471" i="7" s="1"/>
  <c r="S1910" i="7"/>
  <c r="T1910" i="7" a="1"/>
  <c r="T1910" i="7" s="1"/>
  <c r="S1153" i="7"/>
  <c r="T1153" i="7" a="1"/>
  <c r="T1153" i="7" s="1"/>
  <c r="S843" i="7"/>
  <c r="T843" i="7" a="1"/>
  <c r="T843" i="7" s="1"/>
  <c r="S874" i="7"/>
  <c r="T874" i="7" a="1"/>
  <c r="T874" i="7" s="1"/>
  <c r="S253" i="7"/>
  <c r="T253" i="7" a="1"/>
  <c r="T253" i="7" s="1"/>
  <c r="S1104" i="7"/>
  <c r="T1104" i="7" a="1"/>
  <c r="T1104" i="7" s="1"/>
  <c r="S1123" i="7"/>
  <c r="T1123" i="7" a="1"/>
  <c r="T1123" i="7" s="1"/>
  <c r="S1869" i="7"/>
  <c r="T1869" i="7" a="1"/>
  <c r="T1869" i="7" s="1"/>
  <c r="S467" i="7"/>
  <c r="T467" i="7" a="1"/>
  <c r="T467" i="7" s="1"/>
  <c r="S1808" i="7"/>
  <c r="T1808" i="7" a="1"/>
  <c r="T1808" i="7" s="1"/>
  <c r="S647" i="7"/>
  <c r="T647" i="7" a="1"/>
  <c r="T647" i="7" s="1"/>
  <c r="S972" i="7"/>
  <c r="T972" i="7" a="1"/>
  <c r="T972" i="7" s="1"/>
  <c r="S24" i="7"/>
  <c r="T24" i="7" a="1"/>
  <c r="T24" i="7" s="1"/>
  <c r="S100" i="7"/>
  <c r="T100" i="7" a="1"/>
  <c r="T100" i="7" s="1"/>
  <c r="S1781" i="7"/>
  <c r="T1781" i="7" a="1"/>
  <c r="T1781" i="7" s="1"/>
  <c r="S1733" i="7"/>
  <c r="T1733" i="7" a="1"/>
  <c r="T1733" i="7" s="1"/>
  <c r="S808" i="7"/>
  <c r="S209" i="7"/>
  <c r="S1465" i="7"/>
  <c r="S606" i="7"/>
  <c r="S1759" i="7"/>
  <c r="S96" i="7"/>
  <c r="S1161" i="7"/>
  <c r="S1807" i="7"/>
  <c r="S672" i="7"/>
  <c r="S911" i="7"/>
  <c r="S1852" i="7"/>
  <c r="S311" i="7"/>
  <c r="S1801" i="7"/>
  <c r="S113" i="7"/>
  <c r="S295" i="7"/>
  <c r="S721" i="7"/>
  <c r="S1496" i="7"/>
  <c r="S641" i="7"/>
  <c r="S1799" i="7"/>
  <c r="S756" i="7"/>
  <c r="S1966" i="7"/>
  <c r="S210" i="7"/>
  <c r="S640" i="7"/>
  <c r="S132" i="7"/>
  <c r="S706" i="7"/>
  <c r="S1453" i="7"/>
  <c r="S407" i="7"/>
  <c r="S1366" i="7"/>
  <c r="S429" i="7"/>
  <c r="S1486" i="7"/>
  <c r="S1363" i="7"/>
  <c r="S554" i="7"/>
  <c r="S1322" i="7"/>
  <c r="S856" i="7"/>
  <c r="S1575" i="7"/>
  <c r="S603" i="7"/>
  <c r="S552" i="7"/>
  <c r="S718" i="7"/>
  <c r="S742" i="7"/>
  <c r="S1409" i="7"/>
  <c r="S982" i="7"/>
  <c r="S1203" i="7"/>
  <c r="S1355" i="7"/>
  <c r="S1771" i="7"/>
  <c r="S219" i="7"/>
  <c r="S1170" i="7"/>
  <c r="S892" i="7"/>
  <c r="S1902" i="7"/>
  <c r="S22" i="7"/>
  <c r="S1896" i="7"/>
  <c r="S642" i="7"/>
  <c r="S87" i="7"/>
  <c r="S1957" i="7"/>
  <c r="S1490" i="7"/>
  <c r="S1754" i="7"/>
  <c r="S298" i="7"/>
  <c r="S573" i="7"/>
  <c r="S846" i="7"/>
  <c r="S438" i="7"/>
  <c r="S1250" i="7"/>
  <c r="S690" i="7"/>
  <c r="S777" i="7"/>
  <c r="S770" i="7"/>
  <c r="S1772" i="7"/>
  <c r="S1915" i="7"/>
  <c r="S65" i="7"/>
  <c r="S1018" i="7"/>
  <c r="S470" i="7"/>
  <c r="S594" i="7"/>
  <c r="S1535" i="7"/>
  <c r="S432" i="7"/>
  <c r="S61" i="7"/>
  <c r="S475" i="7"/>
  <c r="S299" i="7"/>
  <c r="S72" i="7"/>
  <c r="S133" i="7"/>
  <c r="S391" i="7"/>
  <c r="S232" i="7"/>
  <c r="S989" i="7"/>
  <c r="S1182" i="7"/>
  <c r="S1730" i="7"/>
  <c r="S453" i="7"/>
  <c r="S1266" i="7"/>
  <c r="S1116" i="7"/>
  <c r="S591" i="7"/>
  <c r="S206" i="7"/>
  <c r="S234" i="7"/>
  <c r="S684" i="7"/>
  <c r="S1349" i="7"/>
  <c r="S153" i="7"/>
  <c r="S619" i="7"/>
  <c r="S430" i="7"/>
  <c r="S1586" i="7"/>
  <c r="S1402" i="7"/>
  <c r="S984" i="7"/>
  <c r="S1784" i="7"/>
  <c r="S215" i="7"/>
  <c r="S363" i="7"/>
  <c r="S474" i="7"/>
  <c r="S331" i="7"/>
  <c r="S230" i="7"/>
  <c r="S618" i="7"/>
  <c r="S1070" i="7"/>
  <c r="S1048" i="7"/>
  <c r="S1417" i="7"/>
  <c r="S1611" i="7"/>
  <c r="S1697" i="7"/>
  <c r="S1085" i="7"/>
  <c r="S41" i="7"/>
  <c r="S612" i="7"/>
  <c r="S1287" i="7"/>
  <c r="S555" i="7"/>
  <c r="S1300" i="7"/>
  <c r="S26" i="7"/>
  <c r="S765" i="7"/>
  <c r="S708" i="7"/>
  <c r="S1773" i="7"/>
  <c r="S1867" i="7"/>
  <c r="S289" i="7"/>
  <c r="S94" i="7"/>
  <c r="S536" i="7"/>
  <c r="S548" i="7"/>
  <c r="S257" i="7"/>
  <c r="S1088" i="7"/>
  <c r="S1454" i="7"/>
  <c r="S939" i="7"/>
  <c r="S1905" i="7"/>
  <c r="S1680" i="7"/>
  <c r="S743" i="7"/>
  <c r="S149" i="7"/>
  <c r="S945" i="7"/>
  <c r="S89" i="7"/>
  <c r="S73" i="7"/>
  <c r="S182" i="7"/>
  <c r="S338" i="7"/>
  <c r="S291" i="7"/>
  <c r="S664" i="7"/>
  <c r="S709" i="7"/>
  <c r="S1012" i="7"/>
  <c r="S1541" i="7"/>
  <c r="S1439" i="7"/>
  <c r="S1785" i="7"/>
  <c r="S1644" i="7"/>
  <c r="S1054" i="7"/>
  <c r="S1429" i="7"/>
  <c r="S955" i="7"/>
  <c r="S1142" i="7"/>
  <c r="S1843" i="7"/>
  <c r="S103" i="7"/>
  <c r="S762" i="7"/>
  <c r="S968" i="7"/>
  <c r="S1547" i="7"/>
  <c r="S55" i="7"/>
  <c r="S150" i="7"/>
  <c r="S35" i="7"/>
  <c r="S736" i="7"/>
  <c r="S537" i="7"/>
  <c r="S1092" i="7"/>
  <c r="S1495" i="7"/>
  <c r="S1981" i="7"/>
  <c r="S127" i="7"/>
  <c r="S813" i="7"/>
  <c r="S1917" i="7"/>
  <c r="S726" i="7"/>
  <c r="S1080" i="7"/>
  <c r="S507" i="7"/>
  <c r="S1447" i="7"/>
  <c r="S1067" i="7"/>
  <c r="S1432" i="7"/>
  <c r="S1013" i="7"/>
  <c r="S1443" i="7"/>
  <c r="S1924" i="7"/>
  <c r="S1538" i="7"/>
  <c r="S1731" i="7"/>
  <c r="S720" i="7"/>
  <c r="S1379" i="7"/>
  <c r="S413" i="7"/>
  <c r="S1152" i="7"/>
  <c r="S1688" i="7"/>
  <c r="S435" i="7"/>
  <c r="S861" i="7"/>
  <c r="S1290" i="7"/>
  <c r="S1508" i="7"/>
  <c r="S814" i="7"/>
  <c r="S1200" i="7"/>
  <c r="S566" i="7"/>
  <c r="S261" i="7"/>
  <c r="S1224" i="7"/>
  <c r="S1639" i="7"/>
  <c r="S1825" i="7"/>
  <c r="S1280" i="7"/>
  <c r="S760" i="7"/>
  <c r="S1405" i="7"/>
  <c r="S1126" i="7"/>
  <c r="S1563" i="7"/>
  <c r="S1696" i="7"/>
  <c r="S98" i="7"/>
  <c r="S582" i="7"/>
  <c r="S1636" i="7"/>
  <c r="S589" i="7"/>
  <c r="S36" i="7"/>
  <c r="S689" i="7"/>
  <c r="S169" i="7"/>
  <c r="S862" i="7"/>
  <c r="S1242" i="7"/>
  <c r="S1316" i="7"/>
  <c r="S710" i="7"/>
  <c r="S1260" i="7"/>
  <c r="S313" i="7"/>
  <c r="S912" i="7"/>
  <c r="S650" i="7"/>
  <c r="S228" i="7"/>
  <c r="S1569" i="7"/>
  <c r="S1463" i="7"/>
  <c r="S519" i="7"/>
  <c r="S145" i="7"/>
  <c r="S1624" i="7"/>
  <c r="S119" i="7"/>
  <c r="S1582" i="7"/>
  <c r="S1539" i="7"/>
  <c r="S121" i="7"/>
  <c r="S1868" i="7"/>
  <c r="S714" i="7"/>
  <c r="S1441" i="7"/>
  <c r="S785" i="7"/>
  <c r="S405" i="7"/>
  <c r="S175" i="7"/>
  <c r="S389" i="7"/>
  <c r="S1271" i="7"/>
  <c r="S447" i="7"/>
  <c r="S396" i="7"/>
  <c r="S828" i="7"/>
  <c r="S1076" i="7"/>
  <c r="S404" i="7"/>
  <c r="S1921" i="7"/>
  <c r="S1956" i="7"/>
  <c r="S402" i="7"/>
  <c r="S347" i="7"/>
  <c r="S701" i="7"/>
  <c r="S802" i="7"/>
  <c r="S1920" i="7"/>
  <c r="S902" i="7"/>
  <c r="S590" i="7"/>
  <c r="S101" i="7"/>
  <c r="S810" i="7"/>
  <c r="S86" i="7"/>
  <c r="S994" i="7"/>
  <c r="S1479" i="7"/>
  <c r="S111" i="7"/>
  <c r="S1121" i="7"/>
  <c r="S104" i="7"/>
  <c r="S393" i="7"/>
  <c r="S1938" i="7"/>
  <c r="S1514" i="7"/>
  <c r="S811" i="7"/>
  <c r="S620" i="7"/>
  <c r="S659" i="7"/>
  <c r="S694" i="7"/>
  <c r="S16" i="7"/>
  <c r="S414" i="7"/>
  <c r="S1472" i="7"/>
  <c r="S205" i="7"/>
  <c r="S735" i="7"/>
  <c r="S142" i="7"/>
  <c r="S729" i="7"/>
  <c r="S1583" i="7"/>
  <c r="S1232" i="7"/>
  <c r="S1436" i="7"/>
  <c r="S1677" i="7"/>
  <c r="S154" i="7"/>
  <c r="S569" i="7"/>
  <c r="S1448" i="7"/>
  <c r="S1775" i="7"/>
  <c r="S1537" i="7"/>
  <c r="S125" i="7"/>
  <c r="S141" i="7"/>
  <c r="S277" i="7"/>
  <c r="S575" i="7"/>
  <c r="S688" i="7"/>
  <c r="S678" i="7"/>
  <c r="S792" i="7"/>
  <c r="S925" i="7"/>
  <c r="S1505" i="7"/>
  <c r="S1285" i="7"/>
  <c r="S1519" i="7"/>
  <c r="S1245" i="7"/>
  <c r="S1358" i="7"/>
  <c r="S1522" i="7"/>
  <c r="S1875" i="7"/>
  <c r="S1861" i="7"/>
  <c r="S1375" i="7"/>
  <c r="S1112" i="7"/>
  <c r="S1074" i="7"/>
  <c r="S1089" i="7"/>
  <c r="S495" i="7"/>
  <c r="S652" i="7"/>
  <c r="S1241" i="7"/>
  <c r="S139" i="7"/>
  <c r="S459" i="7"/>
  <c r="S825" i="7"/>
  <c r="S1451" i="7"/>
  <c r="S64" i="7"/>
  <c r="S238" i="7"/>
  <c r="S549" i="7"/>
  <c r="S1475" i="7"/>
  <c r="S4" i="7"/>
  <c r="S134" i="7"/>
  <c r="S628" i="7"/>
  <c r="S1577" i="7"/>
  <c r="S981" i="7"/>
  <c r="S1655" i="7"/>
  <c r="S1748" i="7"/>
  <c r="S889" i="7"/>
  <c r="S1239" i="7"/>
  <c r="S91" i="7"/>
  <c r="S152" i="7"/>
  <c r="S267" i="7"/>
  <c r="S1000" i="7"/>
  <c r="S1106" i="7"/>
  <c r="S1065" i="7"/>
  <c r="S990" i="7"/>
  <c r="S933" i="7"/>
  <c r="S1108" i="7"/>
  <c r="S682" i="7"/>
  <c r="S448" i="7"/>
  <c r="S40" i="7"/>
  <c r="S46" i="7"/>
  <c r="S462" i="7"/>
  <c r="S645" i="7"/>
  <c r="S1933" i="7"/>
  <c r="S1318" i="7"/>
  <c r="S610" i="7"/>
  <c r="S106" i="7"/>
  <c r="S1309" i="7"/>
  <c r="S1559" i="7"/>
  <c r="S242" i="7"/>
  <c r="S1473" i="7"/>
  <c r="S1777" i="7"/>
  <c r="S1993" i="7"/>
  <c r="S1718" i="7"/>
  <c r="S1738" i="7"/>
  <c r="S1673" i="7"/>
  <c r="S1214" i="7"/>
  <c r="S1695" i="7"/>
  <c r="S1585" i="7"/>
  <c r="S1004" i="7"/>
  <c r="S789" i="7"/>
  <c r="S1694" i="7"/>
  <c r="S52" i="7"/>
  <c r="S1855" i="7"/>
  <c r="S1345" i="7"/>
  <c r="S18" i="7"/>
  <c r="S1827" i="7"/>
  <c r="S300" i="7"/>
  <c r="S1617" i="7"/>
  <c r="S274" i="7"/>
  <c r="S658" i="7"/>
  <c r="S1055" i="7"/>
  <c r="S1208" i="7"/>
  <c r="S730" i="7"/>
  <c r="S1468" i="7"/>
  <c r="S1714" i="7"/>
  <c r="S1062" i="7"/>
  <c r="S437" i="7"/>
  <c r="S1370" i="7"/>
  <c r="S969" i="7"/>
  <c r="S1841" i="7"/>
  <c r="S1918" i="7"/>
  <c r="S1044" i="7"/>
  <c r="S461" i="7"/>
  <c r="S1646" i="7"/>
  <c r="S77" i="7"/>
  <c r="S1420" i="7"/>
  <c r="S410" i="7"/>
  <c r="S749" i="7"/>
  <c r="S1765" i="7"/>
  <c r="S923" i="7"/>
  <c r="S1832" i="7"/>
  <c r="S697" i="7"/>
  <c r="S838" i="7"/>
  <c r="S480" i="7"/>
  <c r="S375" i="7"/>
  <c r="S483" i="7"/>
  <c r="S1751" i="7"/>
  <c r="S1491" i="7"/>
  <c r="S1668" i="7"/>
  <c r="S1926" i="7"/>
  <c r="S907" i="7"/>
  <c r="S533" i="7"/>
  <c r="S837" i="7"/>
  <c r="S1091" i="7"/>
  <c r="S1292" i="7"/>
  <c r="S163" i="7"/>
  <c r="S183" i="7"/>
  <c r="S670" i="7"/>
  <c r="S535" i="7"/>
  <c r="S553" i="7"/>
  <c r="S626" i="7"/>
  <c r="S614" i="7"/>
  <c r="S671" i="7"/>
  <c r="S195" i="7"/>
  <c r="S1077" i="7"/>
  <c r="S661" i="7"/>
  <c r="S5" i="7"/>
  <c r="S327" i="7"/>
  <c r="S758" i="7"/>
  <c r="S1158" i="7"/>
  <c r="S543" i="7"/>
  <c r="S493" i="7"/>
  <c r="S616" i="7"/>
  <c r="S1042" i="7"/>
  <c r="S675" i="7"/>
  <c r="S1129" i="7"/>
  <c r="S322" i="7"/>
  <c r="S486" i="7"/>
  <c r="S826" i="7"/>
  <c r="S1648" i="7"/>
  <c r="S473" i="7"/>
  <c r="S1437" i="7"/>
  <c r="S845" i="7"/>
  <c r="S916" i="7"/>
  <c r="S542" i="7"/>
  <c r="S1354" i="7"/>
  <c r="S1368" i="7"/>
  <c r="S268" i="7"/>
  <c r="S1984" i="7"/>
  <c r="S1113" i="7"/>
  <c r="S1709" i="7"/>
  <c r="S1293" i="7"/>
  <c r="S1411" i="7"/>
  <c r="S904" i="7"/>
  <c r="S1517" i="7"/>
  <c r="S1388" i="7"/>
  <c r="S668" i="7"/>
  <c r="S1983" i="7"/>
  <c r="S426" i="7"/>
  <c r="S1414" i="7"/>
  <c r="S424" i="7"/>
  <c r="S1901" i="7"/>
  <c r="S944" i="7"/>
  <c r="S1625" i="7"/>
  <c r="S1525" i="7"/>
  <c r="S321" i="7"/>
  <c r="S1873" i="7"/>
  <c r="S1457" i="7"/>
  <c r="S1450" i="7"/>
  <c r="S245" i="7"/>
  <c r="S223" i="7"/>
  <c r="S385" i="7"/>
  <c r="S1325" i="7"/>
  <c r="S1027" i="7"/>
  <c r="S605" i="7"/>
  <c r="S1283" i="7"/>
  <c r="S1595" i="7"/>
  <c r="S1723" i="7"/>
  <c r="S1793" i="7"/>
  <c r="S1985" i="7"/>
  <c r="S1700" i="7"/>
  <c r="S891" i="7"/>
  <c r="S728" i="7"/>
  <c r="S597" i="7"/>
  <c r="S666" i="7"/>
  <c r="S1272" i="7"/>
  <c r="S1146" i="7"/>
  <c r="S752" i="7"/>
  <c r="S1944" i="7"/>
  <c r="S469" i="7"/>
  <c r="S608" i="7"/>
  <c r="S1078" i="7"/>
  <c r="S1570" i="7"/>
  <c r="S1051" i="7"/>
  <c r="S1890" i="7"/>
  <c r="S1589" i="7"/>
  <c r="S190" i="7"/>
  <c r="S539" i="7"/>
  <c r="S1213" i="7"/>
  <c r="S158" i="7"/>
  <c r="S439" i="7"/>
  <c r="S1425" i="7"/>
  <c r="S823" i="7"/>
  <c r="S1084" i="7"/>
  <c r="S798" i="7"/>
  <c r="S270" i="7"/>
  <c r="S1739" i="7"/>
  <c r="S737" i="7"/>
  <c r="S1275" i="7"/>
  <c r="S240" i="7"/>
  <c r="S146" i="7"/>
  <c r="S427" i="7"/>
  <c r="S592" i="7"/>
  <c r="S1631" i="7"/>
  <c r="S1435" i="7"/>
  <c r="S1936" i="7"/>
  <c r="S804" i="7"/>
  <c r="S528" i="7"/>
  <c r="S915" i="7"/>
  <c r="S360" i="7"/>
  <c r="S767" i="7"/>
  <c r="S1623" i="7"/>
  <c r="S1725" i="7"/>
  <c r="S280" i="7"/>
  <c r="S1190" i="7"/>
  <c r="S725" i="7"/>
  <c r="S560" i="7"/>
  <c r="S886" i="7"/>
  <c r="S422" i="7"/>
  <c r="S1399" i="7"/>
  <c r="S1903" i="7"/>
  <c r="S847" i="7"/>
  <c r="S286" i="7"/>
  <c r="S1467" i="7"/>
  <c r="S835" i="7"/>
  <c r="S411" i="7"/>
  <c r="S372" i="7"/>
  <c r="S1136" i="7"/>
  <c r="S1268" i="7"/>
  <c r="S643" i="7"/>
  <c r="S227" i="7"/>
  <c r="S1095" i="7"/>
  <c r="S304" i="7"/>
  <c r="S747" i="7"/>
  <c r="S465" i="7"/>
  <c r="S1996" i="7"/>
  <c r="S885" i="7"/>
  <c r="S557" i="7"/>
  <c r="S1744" i="7"/>
  <c r="S1015" i="7"/>
  <c r="S193" i="7"/>
  <c r="S550" i="7"/>
  <c r="S635" i="7"/>
  <c r="S115" i="7"/>
  <c r="S246" i="7"/>
  <c r="S1303" i="7"/>
  <c r="S1412" i="7"/>
  <c r="S740" i="7"/>
  <c r="S1185" i="7"/>
  <c r="S1317" i="7"/>
  <c r="S1682" i="7"/>
  <c r="S795" i="7"/>
  <c r="S755" i="7"/>
  <c r="S696" i="7"/>
  <c r="S1459" i="7"/>
  <c r="S691" i="7"/>
  <c r="S302" i="7"/>
  <c r="S953" i="7"/>
  <c r="S1036" i="7"/>
  <c r="S1478" i="7"/>
  <c r="S358" i="7"/>
  <c r="S1929" i="7"/>
  <c r="S1171" i="7"/>
  <c r="S877" i="7"/>
  <c r="S986" i="7"/>
  <c r="S763" i="7"/>
  <c r="S398" i="7"/>
  <c r="S392" i="7"/>
  <c r="S869" i="7"/>
  <c r="S1969" i="7"/>
  <c r="S1675" i="7"/>
  <c r="S1493" i="7"/>
  <c r="S1384" i="7"/>
  <c r="S1464" i="7"/>
  <c r="S1311" i="7"/>
  <c r="S894" i="7"/>
  <c r="S1628" i="7"/>
  <c r="S397" i="7"/>
  <c r="S344" i="7"/>
  <c r="S1951" i="7"/>
  <c r="S1643" i="7"/>
  <c r="S1444" i="7"/>
  <c r="S1900" i="7"/>
  <c r="S732" i="7"/>
  <c r="S374" i="7"/>
  <c r="S399" i="7"/>
  <c r="S587" i="7"/>
  <c r="S67" i="7"/>
  <c r="S1164" i="7"/>
  <c r="S1184" i="7"/>
  <c r="S1297" i="7"/>
  <c r="S1390" i="7"/>
  <c r="S570" i="7"/>
  <c r="S1060" i="7"/>
  <c r="S1328" i="7"/>
  <c r="S983" i="7"/>
  <c r="S1428" i="7"/>
  <c r="S1333" i="7"/>
  <c r="S988" i="7"/>
  <c r="S251" i="7"/>
  <c r="S1615" i="7"/>
  <c r="S1652" i="7"/>
  <c r="S1461" i="7"/>
  <c r="S381" i="7"/>
  <c r="S914" i="7"/>
  <c r="S412" i="7"/>
  <c r="S10" i="7"/>
  <c r="S525" i="7"/>
  <c r="S546" i="7"/>
  <c r="S1914" i="7"/>
  <c r="S667" i="7"/>
  <c r="S715" i="7"/>
  <c r="S1638" i="7"/>
  <c r="S1813" i="7"/>
  <c r="S1294" i="7"/>
  <c r="S1802" i="7"/>
  <c r="S637" i="7"/>
  <c r="S1783" i="7"/>
  <c r="S1477" i="7"/>
  <c r="S1893" i="7"/>
  <c r="S564" i="7"/>
  <c r="S1790" i="7"/>
  <c r="S1050" i="7"/>
  <c r="S1360" i="7"/>
  <c r="S1798" i="7"/>
  <c r="S1180" i="7"/>
  <c r="S1782" i="7"/>
  <c r="S978" i="7"/>
  <c r="S258" i="7"/>
  <c r="S339" i="7"/>
  <c r="S1057" i="7"/>
  <c r="S1386" i="7"/>
  <c r="S1554" i="7"/>
  <c r="S1552" i="7"/>
  <c r="S1626" i="7"/>
  <c r="S1192" i="7"/>
  <c r="S501" i="7"/>
  <c r="S1947" i="7"/>
  <c r="S394" i="7"/>
  <c r="S283" i="7"/>
  <c r="S700" i="7"/>
  <c r="S816" i="7"/>
  <c r="S1330" i="7"/>
  <c r="S81" i="7"/>
  <c r="S160" i="7"/>
  <c r="S746" i="7"/>
  <c r="S1488" i="7"/>
  <c r="S900" i="7"/>
  <c r="S1440" i="7"/>
  <c r="S1369" i="7"/>
  <c r="S1133" i="7"/>
  <c r="S2000" i="7"/>
  <c r="S464" i="7"/>
  <c r="S1889" i="7"/>
  <c r="S85" i="7"/>
  <c r="S1504" i="7"/>
  <c r="S1536" i="7"/>
  <c r="S68" i="7"/>
  <c r="S888" i="7"/>
  <c r="S390" i="7"/>
  <c r="S254" i="7"/>
  <c r="S1270" i="7"/>
  <c r="S1269" i="7"/>
  <c r="S50" i="7"/>
  <c r="S1110" i="7"/>
  <c r="S1211" i="7"/>
  <c r="S1743" i="7"/>
  <c r="S1854" i="7"/>
  <c r="S351" i="7"/>
  <c r="S520" i="7"/>
  <c r="S1506" i="7"/>
  <c r="S806" i="7"/>
  <c r="S226" i="7"/>
  <c r="S693" i="7"/>
  <c r="S996" i="7"/>
  <c r="S1364" i="7"/>
  <c r="S563" i="7"/>
  <c r="S922" i="7"/>
  <c r="S13" i="7"/>
  <c r="S19" i="7"/>
  <c r="S320" i="7"/>
  <c r="S316" i="7"/>
  <c r="S615" i="7"/>
  <c r="S401" i="7"/>
  <c r="S579" i="7"/>
  <c r="S822" i="7"/>
  <c r="S927" i="7"/>
  <c r="S1194" i="7"/>
  <c r="S1351" i="7"/>
  <c r="S1613" i="7"/>
  <c r="S797" i="7"/>
  <c r="S303" i="7"/>
  <c r="S593" i="7"/>
  <c r="S476" i="7"/>
  <c r="S478" i="7"/>
  <c r="S1198" i="7"/>
  <c r="S1035" i="7"/>
  <c r="S1154" i="7"/>
  <c r="S1964" i="7"/>
  <c r="S1252" i="7"/>
  <c r="S148" i="7"/>
  <c r="S377" i="7"/>
  <c r="S1553" i="7"/>
  <c r="S1205" i="7"/>
  <c r="S538" i="7"/>
  <c r="S1279" i="7"/>
  <c r="S217" i="7"/>
  <c r="S1674" i="7"/>
  <c r="S836" i="7"/>
  <c r="S99" i="7"/>
  <c r="S382" i="7"/>
  <c r="S636" i="7"/>
  <c r="S1838" i="7"/>
  <c r="S1193" i="7"/>
  <c r="S1139" i="7"/>
  <c r="S1344" i="7"/>
  <c r="S1374" i="7"/>
  <c r="S1181" i="7"/>
  <c r="S1800" i="7"/>
  <c r="S1584" i="7"/>
  <c r="S1162" i="7"/>
  <c r="S1296" i="7"/>
  <c r="S1770" i="7"/>
  <c r="S1302" i="7"/>
  <c r="S1321" i="7"/>
  <c r="S1866" i="7"/>
  <c r="S513" i="7"/>
  <c r="S639" i="7"/>
  <c r="S1222" i="7"/>
  <c r="S1606" i="7"/>
  <c r="S170" i="7"/>
  <c r="S854" i="7"/>
  <c r="S1516" i="7"/>
  <c r="S1342" i="7"/>
  <c r="S33" i="7"/>
  <c r="S1003" i="7"/>
  <c r="S334" i="7"/>
  <c r="S1416" i="7"/>
  <c r="S1543" i="7"/>
  <c r="S627" i="7"/>
  <c r="S1579" i="7"/>
  <c r="S1470" i="7"/>
  <c r="S1621" i="7"/>
  <c r="S502" i="7"/>
  <c r="S509" i="7"/>
  <c r="S961" i="7"/>
  <c r="S178" i="7"/>
  <c r="S741" i="7"/>
  <c r="S249" i="7"/>
  <c r="S1572" i="7"/>
  <c r="S1033" i="7"/>
  <c r="S305" i="7"/>
  <c r="S774" i="7"/>
  <c r="S243" i="7"/>
  <c r="S1186" i="7"/>
  <c r="S1240" i="7"/>
  <c r="S1686" i="7"/>
  <c r="S1932" i="7"/>
  <c r="S1916" i="7"/>
  <c r="S1415" i="7"/>
  <c r="S62" i="7"/>
  <c r="S359" i="7"/>
  <c r="S1614" i="7"/>
  <c r="S330" i="7"/>
  <c r="S276" i="7"/>
  <c r="S631" i="7"/>
  <c r="S1788" i="7"/>
  <c r="S1824" i="7"/>
  <c r="S744" i="7"/>
  <c r="S293" i="7"/>
  <c r="S262" i="7"/>
  <c r="S942" i="7"/>
  <c r="S1940" i="7"/>
  <c r="S975" i="7"/>
  <c r="S1308" i="7"/>
  <c r="S395" i="7"/>
  <c r="S724" i="7"/>
  <c r="S803" i="7"/>
  <c r="S526" i="7"/>
  <c r="S1187" i="7"/>
  <c r="S1216" i="7"/>
  <c r="S69" i="7"/>
  <c r="S1217" i="7"/>
  <c r="S199" i="7"/>
  <c r="S197" i="7"/>
  <c r="S42" i="7"/>
  <c r="S556" i="7"/>
  <c r="S340" i="7"/>
  <c r="S583" i="7"/>
  <c r="S738" i="7"/>
  <c r="S499" i="7"/>
  <c r="S531" i="7"/>
  <c r="S1367" i="7"/>
  <c r="S532" i="7"/>
  <c r="S1107" i="7"/>
  <c r="S1422" i="7"/>
  <c r="S1169" i="7"/>
  <c r="S906" i="7"/>
  <c r="S1640" i="7"/>
  <c r="S3" i="7"/>
  <c r="S455" i="7"/>
  <c r="S1745" i="7"/>
  <c r="S244" i="7"/>
  <c r="S494" i="7"/>
  <c r="S1356" i="7"/>
  <c r="S1909" i="7"/>
  <c r="S1229" i="7"/>
  <c r="S800" i="7"/>
  <c r="S655" i="7"/>
  <c r="S255" i="7"/>
  <c r="S1156" i="7"/>
  <c r="S1588" i="7"/>
  <c r="S497" i="7"/>
  <c r="S544" i="7"/>
  <c r="S1138" i="7"/>
  <c r="S679" i="7"/>
  <c r="S1612" i="7"/>
  <c r="S1787" i="7"/>
  <c r="S1980" i="7"/>
  <c r="S779" i="7"/>
  <c r="S1011" i="7"/>
  <c r="S366" i="7"/>
  <c r="S1794" i="7"/>
  <c r="S1848" i="7"/>
  <c r="S1404" i="7"/>
  <c r="S1512" i="7"/>
  <c r="S903" i="7"/>
  <c r="S1219" i="7"/>
  <c r="S1259" i="7"/>
  <c r="S1408" i="7"/>
  <c r="S1326" i="7"/>
  <c r="S491" i="7"/>
  <c r="S32" i="7"/>
  <c r="S23" i="7"/>
  <c r="S241" i="7"/>
  <c r="S417" i="7"/>
  <c r="S204" i="7"/>
  <c r="S418" i="7"/>
  <c r="S168" i="7"/>
  <c r="S288" i="7"/>
  <c r="S567" i="7"/>
  <c r="S388" i="7"/>
  <c r="S753" i="7"/>
  <c r="S827" i="7"/>
  <c r="S1147" i="7"/>
  <c r="S1555" i="7"/>
  <c r="S1220" i="7"/>
  <c r="S985" i="7"/>
  <c r="S1320" i="7"/>
  <c r="S1566" i="7"/>
  <c r="S1460" i="7"/>
  <c r="S1225" i="7"/>
  <c r="S1446" i="7"/>
  <c r="S821" i="7"/>
  <c r="S496" i="7"/>
  <c r="S1548" i="7"/>
  <c r="S1310" i="7"/>
  <c r="S1143" i="7"/>
  <c r="S999" i="7"/>
  <c r="S879" i="7"/>
  <c r="S1438" i="7"/>
  <c r="S1210" i="7"/>
  <c r="S31" i="7"/>
  <c r="S1063" i="7"/>
  <c r="S1191" i="7"/>
  <c r="S7" i="7"/>
  <c r="S578" i="7"/>
  <c r="S1716" i="7"/>
  <c r="S1168" i="7"/>
  <c r="S341" i="7"/>
  <c r="S1692" i="7"/>
  <c r="S865" i="7"/>
  <c r="S177" i="7"/>
  <c r="S733" i="7"/>
  <c r="S39" i="7"/>
  <c r="S74" i="7"/>
  <c r="S1151" i="7"/>
  <c r="S830" i="7"/>
  <c r="S1806" i="7"/>
  <c r="S997" i="7"/>
  <c r="S1518" i="7"/>
  <c r="S201" i="7"/>
  <c r="S1620" i="7"/>
  <c r="S1515" i="7"/>
  <c r="S1157" i="7"/>
  <c r="S625" i="7"/>
  <c r="S1766" i="7"/>
  <c r="S38" i="7"/>
  <c r="S703" i="7"/>
  <c r="S937" i="7"/>
  <c r="S1069" i="7"/>
  <c r="S963" i="7"/>
  <c r="S1659" i="7"/>
  <c r="S1174" i="7"/>
  <c r="S1223" i="7"/>
  <c r="S63" i="7"/>
  <c r="S1145" i="7"/>
  <c r="S208" i="7"/>
  <c r="S1150" i="7"/>
  <c r="S213" i="7"/>
  <c r="S1740" i="7"/>
  <c r="S1629" i="7"/>
  <c r="S472" i="7"/>
  <c r="S460" i="7"/>
  <c r="S224" i="7"/>
  <c r="S423" i="7"/>
  <c r="S443" i="7"/>
  <c r="S463" i="7"/>
  <c r="S419" i="7"/>
  <c r="S60" i="7"/>
  <c r="S712" i="7"/>
  <c r="S500" i="7"/>
  <c r="S820" i="7"/>
  <c r="S630" i="7"/>
  <c r="S818" i="7"/>
  <c r="S1122" i="7"/>
  <c r="S1391" i="7"/>
  <c r="S1188" i="7"/>
  <c r="S938" i="7"/>
  <c r="S562" i="7"/>
  <c r="S1083" i="7"/>
  <c r="S1560" i="7"/>
  <c r="S21" i="7"/>
  <c r="S1332" i="7"/>
  <c r="S1258" i="7"/>
  <c r="S1144" i="7"/>
  <c r="S1372" i="7"/>
  <c r="S750" i="7"/>
  <c r="S786" i="7"/>
  <c r="S1155" i="7"/>
  <c r="S1449" i="7"/>
  <c r="S1722" i="7"/>
  <c r="S378" i="7"/>
  <c r="S1276" i="7"/>
  <c r="S189" i="7"/>
  <c r="S1105" i="7"/>
  <c r="S97" i="7"/>
  <c r="S136" i="7"/>
  <c r="S1704" i="7"/>
  <c r="S1228" i="7"/>
  <c r="S484" i="7"/>
  <c r="S1075" i="7"/>
  <c r="S1842" i="7"/>
  <c r="S621" i="7"/>
  <c r="S45" i="7"/>
  <c r="S188" i="7"/>
  <c r="S57" i="7"/>
  <c r="S260" i="7"/>
  <c r="S1590" i="7"/>
  <c r="S333" i="7"/>
  <c r="S1653" i="7"/>
  <c r="S1099" i="7"/>
  <c r="S165" i="7"/>
  <c r="S1244" i="7"/>
  <c r="S1199" i="7"/>
  <c r="S356" i="7"/>
  <c r="S185" i="7"/>
  <c r="S126" i="7"/>
  <c r="S117" i="7"/>
  <c r="S595" i="7"/>
  <c r="S602" i="7"/>
  <c r="S852" i="7"/>
  <c r="S1040" i="7"/>
  <c r="S920" i="7"/>
  <c r="S1017" i="7"/>
  <c r="S1481" i="7"/>
  <c r="S1591" i="7"/>
  <c r="S1226" i="7"/>
  <c r="S92" i="7"/>
  <c r="S1284" i="7"/>
  <c r="S1234" i="7"/>
  <c r="S218" i="7"/>
  <c r="S1380" i="7"/>
  <c r="S323" i="7"/>
  <c r="S1874" i="7"/>
  <c r="S51" i="7"/>
  <c r="S1068" i="7"/>
  <c r="S1540" i="7"/>
  <c r="S1602" i="7"/>
  <c r="S1746" i="7"/>
  <c r="S1362" i="7"/>
  <c r="S1433" i="7"/>
  <c r="S284" i="7"/>
  <c r="S1407" i="7"/>
  <c r="S1341" i="7"/>
  <c r="S883" i="7"/>
  <c r="S1021" i="7"/>
  <c r="S80" i="7"/>
  <c r="S1578" i="7"/>
  <c r="S312" i="7"/>
  <c r="S1530" i="7"/>
  <c r="S294" i="7"/>
  <c r="S1253" i="7"/>
  <c r="S1856" i="7"/>
  <c r="S15" i="7"/>
  <c r="S1976" i="7"/>
  <c r="S1398" i="7"/>
  <c r="S685" i="7"/>
  <c r="S231" i="7"/>
  <c r="S1642" i="7"/>
  <c r="S530" i="7"/>
  <c r="S1039" i="7"/>
  <c r="S1071" i="7"/>
  <c r="S1576" i="7"/>
  <c r="S1215" i="7"/>
  <c r="S1119" i="7"/>
  <c r="S1163" i="7"/>
  <c r="S264" i="7"/>
  <c r="S1204" i="7"/>
  <c r="S1830" i="7"/>
  <c r="S901" i="7"/>
  <c r="S466" i="7"/>
  <c r="S159" i="7"/>
  <c r="S365" i="7"/>
  <c r="S812" i="7"/>
  <c r="S1246" i="7"/>
  <c r="S1111" i="7"/>
  <c r="S37" i="7"/>
  <c r="S585" i="7"/>
  <c r="S521" i="7"/>
  <c r="S788" i="7"/>
  <c r="S842" i="7"/>
  <c r="S1511" i="7"/>
  <c r="S122" i="7"/>
  <c r="S287" i="7"/>
  <c r="S1324" i="7"/>
  <c r="S919" i="7"/>
  <c r="S1608" i="7"/>
  <c r="S140" i="7"/>
  <c r="S572" i="7"/>
  <c r="S1265" i="7"/>
  <c r="S1494" i="7"/>
  <c r="S1758" i="7"/>
  <c r="S1014" i="7"/>
  <c r="S1130" i="7"/>
  <c r="S454" i="7"/>
  <c r="S1125" i="7"/>
  <c r="S171" i="7"/>
  <c r="S237" i="7"/>
  <c r="S1892" i="7"/>
  <c r="S1529" i="7"/>
  <c r="S82" i="7"/>
  <c r="S297" i="7"/>
  <c r="S924" i="7"/>
  <c r="S1928" i="7"/>
  <c r="S247" i="7"/>
  <c r="S727" i="7"/>
  <c r="S1884" i="7"/>
  <c r="B5" i="8" l="1"/>
  <c r="B6" i="8"/>
  <c r="A3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<sst xmlns="http://schemas.openxmlformats.org/spreadsheetml/2006/main" count="10319" uniqueCount="2863">
  <si>
    <t>CustomerID</t>
  </si>
  <si>
    <t>Loan Portfolio Risk &amp; Performance Analysis (Advanced Excel Model)</t>
  </si>
  <si>
    <t>Business Context</t>
  </si>
  <si>
    <t>Retail and SME banks manage large loan portfolios across branches, customers, and product types.</t>
  </si>
  <si>
    <r>
      <t xml:space="preserve">Understanding </t>
    </r>
    <r>
      <rPr>
        <b/>
        <sz val="11"/>
        <color theme="1"/>
        <rFont val="Calibri"/>
        <family val="2"/>
        <scheme val="minor"/>
      </rPr>
      <t>portfolio risk, exposure concentration, and collateral coverage</t>
    </r>
    <r>
      <rPr>
        <sz val="11"/>
        <color theme="1"/>
        <rFont val="Calibri"/>
        <family val="2"/>
        <scheme val="minor"/>
      </rPr>
      <t xml:space="preserve"> is critical for financial stability and profitability.</t>
    </r>
  </si>
  <si>
    <r>
      <t xml:space="preserve">This project simulates a </t>
    </r>
    <r>
      <rPr>
        <b/>
        <sz val="11"/>
        <color theme="1"/>
        <rFont val="Calibri"/>
        <family val="2"/>
        <scheme val="minor"/>
      </rPr>
      <t>bank loan portfolio</t>
    </r>
    <r>
      <rPr>
        <sz val="11"/>
        <color theme="1"/>
        <rFont val="Calibri"/>
        <family val="2"/>
        <scheme val="minor"/>
      </rPr>
      <t xml:space="preserve"> and demonstrates how Excel can be used to:</t>
    </r>
  </si>
  <si>
    <t>• Analyze credit risk</t>
  </si>
  <si>
    <t>• Monitor loan performance</t>
  </si>
  <si>
    <t>• Identify high-risk exposures</t>
  </si>
  <si>
    <t>• Evaluate collateral coverage</t>
  </si>
  <si>
    <t>• Support portfolio-level decision making</t>
  </si>
  <si>
    <t>Business Problem</t>
  </si>
  <si>
    <t>Banks must monitor:</t>
  </si>
  <si>
    <t>• Loans that are becoming delinquent</t>
  </si>
  <si>
    <t>• Exposure to high-risk customers</t>
  </si>
  <si>
    <t>• Collateral adequacy</t>
  </si>
  <si>
    <t>• Concentration risk by branch or region</t>
  </si>
  <si>
    <t>Without structured analysis, risk can accumulate unnoticed.</t>
  </si>
  <si>
    <t>Project Objectives</t>
  </si>
  <si>
    <t>This project aims to:</t>
  </si>
  <si>
    <r>
      <t xml:space="preserve">1. Build a structured </t>
    </r>
    <r>
      <rPr>
        <b/>
        <sz val="11"/>
        <color theme="1"/>
        <rFont val="Calibri"/>
        <family val="2"/>
        <scheme val="minor"/>
      </rPr>
      <t>loan portfolio dataset</t>
    </r>
  </si>
  <si>
    <r>
      <t xml:space="preserve">2. Use </t>
    </r>
    <r>
      <rPr>
        <b/>
        <sz val="11"/>
        <color theme="1"/>
        <rFont val="Calibri"/>
        <family val="2"/>
        <scheme val="minor"/>
      </rPr>
      <t>advanced Excel formulas</t>
    </r>
    <r>
      <rPr>
        <sz val="11"/>
        <color theme="1"/>
        <rFont val="Calibri"/>
        <family val="2"/>
        <scheme val="minor"/>
      </rPr>
      <t xml:space="preserve"> to model relationships between datasets</t>
    </r>
  </si>
  <si>
    <r>
      <t xml:space="preserve">3. Classify loans based on </t>
    </r>
    <r>
      <rPr>
        <b/>
        <sz val="11"/>
        <color theme="1"/>
        <rFont val="Calibri"/>
        <family val="2"/>
        <scheme val="minor"/>
      </rPr>
      <t>delinquency risk</t>
    </r>
  </si>
  <si>
    <r>
      <t xml:space="preserve">4. Evaluate </t>
    </r>
    <r>
      <rPr>
        <b/>
        <sz val="11"/>
        <color theme="1"/>
        <rFont val="Calibri"/>
        <family val="2"/>
        <scheme val="minor"/>
      </rPr>
      <t>collateral coverage ratios</t>
    </r>
  </si>
  <si>
    <r>
      <t xml:space="preserve">5. Calculate </t>
    </r>
    <r>
      <rPr>
        <b/>
        <sz val="11"/>
        <color theme="1"/>
        <rFont val="Calibri"/>
        <family val="2"/>
        <scheme val="minor"/>
      </rPr>
      <t>portfolio exposure metrics</t>
    </r>
  </si>
  <si>
    <t>6. Demonstrate advanced Excel techniques used in financial analytics</t>
  </si>
  <si>
    <t>Analytical Approach</t>
  </si>
  <si>
    <t>This model will demonstrate the following Excel capabilities:</t>
  </si>
  <si>
    <t>Data generation using structured formulas</t>
  </si>
  <si>
    <r>
      <t xml:space="preserve">Lookup operations using </t>
    </r>
    <r>
      <rPr>
        <b/>
        <sz val="11"/>
        <color theme="1"/>
        <rFont val="Calibri"/>
        <family val="2"/>
        <scheme val="minor"/>
      </rPr>
      <t>VLOOKUP / XLOOKUP / INDEX MATCH</t>
    </r>
  </si>
  <si>
    <r>
      <t xml:space="preserve">Logical classification using </t>
    </r>
    <r>
      <rPr>
        <b/>
        <sz val="11"/>
        <color theme="1"/>
        <rFont val="Calibri"/>
        <family val="2"/>
        <scheme val="minor"/>
      </rPr>
      <t>IF / IFS / AND / OR</t>
    </r>
  </si>
  <si>
    <r>
      <t xml:space="preserve">Error handling using </t>
    </r>
    <r>
      <rPr>
        <b/>
        <sz val="11"/>
        <color theme="1"/>
        <rFont val="Calibri"/>
        <family val="2"/>
        <scheme val="minor"/>
      </rPr>
      <t>IFERROR</t>
    </r>
  </si>
  <si>
    <r>
      <t xml:space="preserve">Conditional aggregation using </t>
    </r>
    <r>
      <rPr>
        <b/>
        <sz val="11"/>
        <color theme="1"/>
        <rFont val="Calibri"/>
        <family val="2"/>
        <scheme val="minor"/>
      </rPr>
      <t>SUMIFS / COUNTIFS / AVERAGEIFS</t>
    </r>
  </si>
  <si>
    <r>
      <t xml:space="preserve">Portfolio metrics using </t>
    </r>
    <r>
      <rPr>
        <b/>
        <sz val="11"/>
        <color theme="1"/>
        <rFont val="Calibri"/>
        <family val="2"/>
        <scheme val="minor"/>
      </rPr>
      <t>SUMPRODUCT and financial calculations</t>
    </r>
  </si>
  <si>
    <t>Key Metrics</t>
  </si>
  <si>
    <t>The model will calculate:</t>
  </si>
  <si>
    <t>• Total Loan Portfolio Exposure</t>
  </si>
  <si>
    <t>• Default Exposure</t>
  </si>
  <si>
    <t>• Watchlist Exposure</t>
  </si>
  <si>
    <t>• Default Rate</t>
  </si>
  <si>
    <t>• Collateral Coverage Ratio</t>
  </si>
  <si>
    <t>• Unsecured Loan Exposure</t>
  </si>
  <si>
    <t>• Branch Risk Concentration</t>
  </si>
  <si>
    <t>• Weighted Average Interest Rate</t>
  </si>
  <si>
    <t>Expected Business Insights</t>
  </si>
  <si>
    <t>Using the model, analysts will be able to:</t>
  </si>
  <si>
    <t>• Identify high-risk loans</t>
  </si>
  <si>
    <t>• Detect under-collateralized exposures</t>
  </si>
  <si>
    <t>• Monitor delinquency trends</t>
  </si>
  <si>
    <t>• Evaluate portfolio risk concentration</t>
  </si>
  <si>
    <t>• Support credit risk management decisions</t>
  </si>
  <si>
    <t>Project Data Model</t>
  </si>
  <si>
    <t>Table Name</t>
  </si>
  <si>
    <t>Description</t>
  </si>
  <si>
    <t>Number of Records</t>
  </si>
  <si>
    <t>Loans</t>
  </si>
  <si>
    <t>Main portfolio containing all loans issued by the bank</t>
  </si>
  <si>
    <t>Customers</t>
  </si>
  <si>
    <t>Customer information and financial profile</t>
  </si>
  <si>
    <t>Branches</t>
  </si>
  <si>
    <t>Bank branch information</t>
  </si>
  <si>
    <t>Rate_Table</t>
  </si>
  <si>
    <t>Interest rate ranges for loan products</t>
  </si>
  <si>
    <t>Risk_Thresholds</t>
  </si>
  <si>
    <t>Rules for classifying loan delinquency risk</t>
  </si>
  <si>
    <t>Dataset Relationships</t>
  </si>
  <si>
    <t>Main Table</t>
  </si>
  <si>
    <t>Key Column</t>
  </si>
  <si>
    <t>Related Table</t>
  </si>
  <si>
    <t>Matching Column</t>
  </si>
  <si>
    <t>Purpose</t>
  </si>
  <si>
    <t>Identify loan owner</t>
  </si>
  <si>
    <t>BranchCode</t>
  </si>
  <si>
    <t>Identify issuing branch</t>
  </si>
  <si>
    <t>LoanType</t>
  </si>
  <si>
    <t>Assign interest rate range</t>
  </si>
  <si>
    <t>DaysPastDue</t>
  </si>
  <si>
    <t>MinDaysPastDue</t>
  </si>
  <si>
    <t>Classify credit risk</t>
  </si>
  <si>
    <t>Loans Table Structure</t>
  </si>
  <si>
    <t>Column Name</t>
  </si>
  <si>
    <t>LoanID</t>
  </si>
  <si>
    <t>Unique identifier for each loan</t>
  </si>
  <si>
    <t>Links loan to customer</t>
  </si>
  <si>
    <t>Branch issuing the loan</t>
  </si>
  <si>
    <t>Type of loan product</t>
  </si>
  <si>
    <t>LoanAmount</t>
  </si>
  <si>
    <t>Principal loan value</t>
  </si>
  <si>
    <t>InterestRate</t>
  </si>
  <si>
    <t>Interest charged on the loan</t>
  </si>
  <si>
    <t>LoanStartDate</t>
  </si>
  <si>
    <t>Date the loan was issued</t>
  </si>
  <si>
    <t>LoanTenureMonths</t>
  </si>
  <si>
    <t>Duration of the loan</t>
  </si>
  <si>
    <t>Number of days the payment is overdue</t>
  </si>
  <si>
    <t>CollateralValue</t>
  </si>
  <si>
    <t>Value of asset securing the loan</t>
  </si>
  <si>
    <t>CollateralCoverageRatio</t>
  </si>
  <si>
    <t>Measures adequacy of collateral</t>
  </si>
  <si>
    <t>RiskCategory</t>
  </si>
  <si>
    <t>Classifies loan risk</t>
  </si>
  <si>
    <t>HighRiskFlag</t>
  </si>
  <si>
    <t>Flags high risk exposures</t>
  </si>
  <si>
    <t>AnnualInterestIncome</t>
  </si>
  <si>
    <t>Calculates yearly interest revenue</t>
  </si>
  <si>
    <t>Excel Functions Demonstrated</t>
  </si>
  <si>
    <t>Excel Function</t>
  </si>
  <si>
    <t>Use Case in Model</t>
  </si>
  <si>
    <t>VLOOKUP</t>
  </si>
  <si>
    <t>Retrieve customer attributes</t>
  </si>
  <si>
    <t>XLOOKUP</t>
  </si>
  <si>
    <t>Retrieve branch and rate data</t>
  </si>
  <si>
    <t>INDEX + MATCH</t>
  </si>
  <si>
    <t>Risk classification using thresholds</t>
  </si>
  <si>
    <t>IF / IFS</t>
  </si>
  <si>
    <t>Logical classification of loans</t>
  </si>
  <si>
    <t>AND / OR</t>
  </si>
  <si>
    <t>Risk flag conditions</t>
  </si>
  <si>
    <t>IFERROR</t>
  </si>
  <si>
    <t>Prevent calculation errors</t>
  </si>
  <si>
    <t>SUMIFS</t>
  </si>
  <si>
    <t>Calculate exposure by risk segment</t>
  </si>
  <si>
    <t>COUNTIFS</t>
  </si>
  <si>
    <t>Calculate default rates</t>
  </si>
  <si>
    <t>SUMPRODUCT</t>
  </si>
  <si>
    <t>Weighted interest calculations</t>
  </si>
  <si>
    <t>CustomerName</t>
  </si>
  <si>
    <t>Region</t>
  </si>
  <si>
    <t>MonthlyIncome</t>
  </si>
  <si>
    <t>RiskScore</t>
  </si>
  <si>
    <t>BranchName</t>
  </si>
  <si>
    <t>BranchManager</t>
  </si>
  <si>
    <t>Westlands</t>
  </si>
  <si>
    <t>Upper Hill</t>
  </si>
  <si>
    <t>Nakuru</t>
  </si>
  <si>
    <t>Kisumu</t>
  </si>
  <si>
    <t>Nyeri</t>
  </si>
  <si>
    <t>Thika</t>
  </si>
  <si>
    <t>Eldoret</t>
  </si>
  <si>
    <t>Karen</t>
  </si>
  <si>
    <t>Kitale</t>
  </si>
  <si>
    <t>Meru</t>
  </si>
  <si>
    <t>Machakos</t>
  </si>
  <si>
    <t>Naivasha</t>
  </si>
  <si>
    <t>Malindi</t>
  </si>
  <si>
    <t>Nyahururu</t>
  </si>
  <si>
    <t>Mombasa</t>
  </si>
  <si>
    <t>Nairobi</t>
  </si>
  <si>
    <t>Coast</t>
  </si>
  <si>
    <t>Rift Valley</t>
  </si>
  <si>
    <t>Western</t>
  </si>
  <si>
    <t>Central</t>
  </si>
  <si>
    <t>Eastern</t>
  </si>
  <si>
    <t>MinRate</t>
  </si>
  <si>
    <t>MaxRate</t>
  </si>
  <si>
    <t>Personal</t>
  </si>
  <si>
    <t>SME</t>
  </si>
  <si>
    <t>Mortgage</t>
  </si>
  <si>
    <t>Asset Finance</t>
  </si>
  <si>
    <t>Score_Min</t>
  </si>
  <si>
    <t>Score_Max</t>
  </si>
  <si>
    <t>Risk_Category</t>
  </si>
  <si>
    <t>High Risk</t>
  </si>
  <si>
    <t>Medium Risk</t>
  </si>
  <si>
    <t>Low Risk</t>
  </si>
  <si>
    <t>Very Low Risk</t>
  </si>
  <si>
    <t>Prime</t>
  </si>
  <si>
    <t>LoanStatus</t>
  </si>
  <si>
    <t>LN0001</t>
  </si>
  <si>
    <t>C0165</t>
  </si>
  <si>
    <t>B07</t>
  </si>
  <si>
    <t>Performing</t>
  </si>
  <si>
    <t>LN0002</t>
  </si>
  <si>
    <t>C0167</t>
  </si>
  <si>
    <t>B01</t>
  </si>
  <si>
    <t>LN0003</t>
  </si>
  <si>
    <t>C0189</t>
  </si>
  <si>
    <t>B13</t>
  </si>
  <si>
    <t>Default</t>
  </si>
  <si>
    <t>LN0004</t>
  </si>
  <si>
    <t>C0264</t>
  </si>
  <si>
    <t>B10</t>
  </si>
  <si>
    <t>LN0005</t>
  </si>
  <si>
    <t>C0172</t>
  </si>
  <si>
    <t>B05</t>
  </si>
  <si>
    <t>LN0006</t>
  </si>
  <si>
    <t>C0116</t>
  </si>
  <si>
    <t>B08</t>
  </si>
  <si>
    <t>LN0007</t>
  </si>
  <si>
    <t>C0106</t>
  </si>
  <si>
    <t>B06</t>
  </si>
  <si>
    <t>LN0008</t>
  </si>
  <si>
    <t>C0199</t>
  </si>
  <si>
    <t>B03</t>
  </si>
  <si>
    <t>LN0009</t>
  </si>
  <si>
    <t>C0411</t>
  </si>
  <si>
    <t>B09</t>
  </si>
  <si>
    <t>LN0010</t>
  </si>
  <si>
    <t>C0542</t>
  </si>
  <si>
    <t>Watchlist</t>
  </si>
  <si>
    <t>LN0011</t>
  </si>
  <si>
    <t>C0032</t>
  </si>
  <si>
    <t>LN0012</t>
  </si>
  <si>
    <t>C0563</t>
  </si>
  <si>
    <t>LN0013</t>
  </si>
  <si>
    <t>C0071</t>
  </si>
  <si>
    <t>B15</t>
  </si>
  <si>
    <t>LN0014</t>
  </si>
  <si>
    <t>C0649</t>
  </si>
  <si>
    <t>LN0015</t>
  </si>
  <si>
    <t>C0536</t>
  </si>
  <si>
    <t>LN0016</t>
  </si>
  <si>
    <t>C0288</t>
  </si>
  <si>
    <t>LN0017</t>
  </si>
  <si>
    <t>C0327</t>
  </si>
  <si>
    <t>LN0018</t>
  </si>
  <si>
    <t>C0346</t>
  </si>
  <si>
    <t>LN0019</t>
  </si>
  <si>
    <t>C0005</t>
  </si>
  <si>
    <t>B11</t>
  </si>
  <si>
    <t>LN0020</t>
  </si>
  <si>
    <t>C0185</t>
  </si>
  <si>
    <t>LN0021</t>
  </si>
  <si>
    <t>C0533</t>
  </si>
  <si>
    <t>LN0022</t>
  </si>
  <si>
    <t>C0535</t>
  </si>
  <si>
    <t>LN0023</t>
  </si>
  <si>
    <t>C0657</t>
  </si>
  <si>
    <t>LN0024</t>
  </si>
  <si>
    <t>C0063</t>
  </si>
  <si>
    <t>LN0025</t>
  </si>
  <si>
    <t>C0668</t>
  </si>
  <si>
    <t>B02</t>
  </si>
  <si>
    <t>LN0026</t>
  </si>
  <si>
    <t>C0024</t>
  </si>
  <si>
    <t>LN0027</t>
  </si>
  <si>
    <t>C0234</t>
  </si>
  <si>
    <t>LN0028</t>
  </si>
  <si>
    <t>C0124</t>
  </si>
  <si>
    <t>B12</t>
  </si>
  <si>
    <t>LN0029</t>
  </si>
  <si>
    <t>C0014</t>
  </si>
  <si>
    <t>LN0030</t>
  </si>
  <si>
    <t>C0367</t>
  </si>
  <si>
    <t>LN0031</t>
  </si>
  <si>
    <t>C0615</t>
  </si>
  <si>
    <t>LN0032</t>
  </si>
  <si>
    <t>C0263</t>
  </si>
  <si>
    <t>LN0033</t>
  </si>
  <si>
    <t>C0175</t>
  </si>
  <si>
    <t>LN0034</t>
  </si>
  <si>
    <t>LN0035</t>
  </si>
  <si>
    <t>C0479</t>
  </si>
  <si>
    <t>LN0036</t>
  </si>
  <si>
    <t>C0231</t>
  </si>
  <si>
    <t>LN0037</t>
  </si>
  <si>
    <t>C0309</t>
  </si>
  <si>
    <t>LN0038</t>
  </si>
  <si>
    <t>C0658</t>
  </si>
  <si>
    <t>LN0039</t>
  </si>
  <si>
    <t>C0381</t>
  </si>
  <si>
    <t>LN0040</t>
  </si>
  <si>
    <t>C0539</t>
  </si>
  <si>
    <t>LN0041</t>
  </si>
  <si>
    <t>C0083</t>
  </si>
  <si>
    <t>LN0042</t>
  </si>
  <si>
    <t>C0654</t>
  </si>
  <si>
    <t>B14</t>
  </si>
  <si>
    <t>LN0043</t>
  </si>
  <si>
    <t>C0687</t>
  </si>
  <si>
    <t>B04</t>
  </si>
  <si>
    <t>LN0044</t>
  </si>
  <si>
    <t>C0082</t>
  </si>
  <si>
    <t>LN0045</t>
  </si>
  <si>
    <t>LN0046</t>
  </si>
  <si>
    <t>C0580</t>
  </si>
  <si>
    <t>LN0047</t>
  </si>
  <si>
    <t>C0060</t>
  </si>
  <si>
    <t>LN0048</t>
  </si>
  <si>
    <t>C0619</t>
  </si>
  <si>
    <t>LN0049</t>
  </si>
  <si>
    <t>C0471</t>
  </si>
  <si>
    <t>LN0050</t>
  </si>
  <si>
    <t>LN0051</t>
  </si>
  <si>
    <t>C0127</t>
  </si>
  <si>
    <t>LN0052</t>
  </si>
  <si>
    <t>C0352</t>
  </si>
  <si>
    <t>LN0053</t>
  </si>
  <si>
    <t>C0278</t>
  </si>
  <si>
    <t>LN0054</t>
  </si>
  <si>
    <t>C0408</t>
  </si>
  <si>
    <t>LN0055</t>
  </si>
  <si>
    <t>C0152</t>
  </si>
  <si>
    <t>LN0056</t>
  </si>
  <si>
    <t>C0140</t>
  </si>
  <si>
    <t>LN0057</t>
  </si>
  <si>
    <t>C0428</t>
  </si>
  <si>
    <t>LN0058</t>
  </si>
  <si>
    <t>C0131</t>
  </si>
  <si>
    <t>LN0059</t>
  </si>
  <si>
    <t>C0196</t>
  </si>
  <si>
    <t>LN0060</t>
  </si>
  <si>
    <t>C0239</t>
  </si>
  <si>
    <t>LN0061</t>
  </si>
  <si>
    <t>LN0062</t>
  </si>
  <si>
    <t>LN0063</t>
  </si>
  <si>
    <t>C0061</t>
  </si>
  <si>
    <t>LN0064</t>
  </si>
  <si>
    <t>C0342</t>
  </si>
  <si>
    <t>LN0065</t>
  </si>
  <si>
    <t>C0617</t>
  </si>
  <si>
    <t>LN0066</t>
  </si>
  <si>
    <t>C0396</t>
  </si>
  <si>
    <t>LN0067</t>
  </si>
  <si>
    <t>C0492</t>
  </si>
  <si>
    <t>LN0068</t>
  </si>
  <si>
    <t>C0236</t>
  </si>
  <si>
    <t>LN0069</t>
  </si>
  <si>
    <t>C0340</t>
  </si>
  <si>
    <t>LN0070</t>
  </si>
  <si>
    <t>C0633</t>
  </si>
  <si>
    <t>LN0071</t>
  </si>
  <si>
    <t>C0593</t>
  </si>
  <si>
    <t>LN0072</t>
  </si>
  <si>
    <t>C0548</t>
  </si>
  <si>
    <t>LN0073</t>
  </si>
  <si>
    <t>C0120</t>
  </si>
  <si>
    <t>LN0074</t>
  </si>
  <si>
    <t>C0449</t>
  </si>
  <si>
    <t>LN0075</t>
  </si>
  <si>
    <t>C0538</t>
  </si>
  <si>
    <t>LN0076</t>
  </si>
  <si>
    <t>C0039</t>
  </si>
  <si>
    <t>LN0077</t>
  </si>
  <si>
    <t>LN0078</t>
  </si>
  <si>
    <t>C0672</t>
  </si>
  <si>
    <t>LN0079</t>
  </si>
  <si>
    <t>C0219</t>
  </si>
  <si>
    <t>LN0080</t>
  </si>
  <si>
    <t>C0209</t>
  </si>
  <si>
    <t>LN0081</t>
  </si>
  <si>
    <t>C0302</t>
  </si>
  <si>
    <t>LN0082</t>
  </si>
  <si>
    <t>LN0083</t>
  </si>
  <si>
    <t>C0195</t>
  </si>
  <si>
    <t>LN0084</t>
  </si>
  <si>
    <t>LN0085</t>
  </si>
  <si>
    <t>C0422</t>
  </si>
  <si>
    <t>LN0086</t>
  </si>
  <si>
    <t>C0183</t>
  </si>
  <si>
    <t>LN0087</t>
  </si>
  <si>
    <t>C0050</t>
  </si>
  <si>
    <t>LN0088</t>
  </si>
  <si>
    <t>C0611</t>
  </si>
  <si>
    <t>LN0089</t>
  </si>
  <si>
    <t>C0164</t>
  </si>
  <si>
    <t>LN0090</t>
  </si>
  <si>
    <t>C0570</t>
  </si>
  <si>
    <t>LN0091</t>
  </si>
  <si>
    <t>C0328</t>
  </si>
  <si>
    <t>LN0092</t>
  </si>
  <si>
    <t>C0034</t>
  </si>
  <si>
    <t>LN0093</t>
  </si>
  <si>
    <t>C0620</t>
  </si>
  <si>
    <t>LN0094</t>
  </si>
  <si>
    <t>C0054</t>
  </si>
  <si>
    <t>LN0095</t>
  </si>
  <si>
    <t>C0594</t>
  </si>
  <si>
    <t>LN0096</t>
  </si>
  <si>
    <t>C0529</t>
  </si>
  <si>
    <t>LN0097</t>
  </si>
  <si>
    <t>C0266</t>
  </si>
  <si>
    <t>LN0098</t>
  </si>
  <si>
    <t>C0274</t>
  </si>
  <si>
    <t>LN0099</t>
  </si>
  <si>
    <t>C0465</t>
  </si>
  <si>
    <t>LN0100</t>
  </si>
  <si>
    <t>C0254</t>
  </si>
  <si>
    <t>LN0101</t>
  </si>
  <si>
    <t>C0035</t>
  </si>
  <si>
    <t>LN0102</t>
  </si>
  <si>
    <t>C0064</t>
  </si>
  <si>
    <t>LN0103</t>
  </si>
  <si>
    <t>C0143</t>
  </si>
  <si>
    <t>LN0104</t>
  </si>
  <si>
    <t>C0075</t>
  </si>
  <si>
    <t>LN0105</t>
  </si>
  <si>
    <t>LN0106</t>
  </si>
  <si>
    <t>LN0107</t>
  </si>
  <si>
    <t>C0350</t>
  </si>
  <si>
    <t>LN0108</t>
  </si>
  <si>
    <t>C0375</t>
  </si>
  <si>
    <t>LN0109</t>
  </si>
  <si>
    <t>C0674</t>
  </si>
  <si>
    <t>LN0110</t>
  </si>
  <si>
    <t>LN0111</t>
  </si>
  <si>
    <t>C0519</t>
  </si>
  <si>
    <t>LN0112</t>
  </si>
  <si>
    <t>C0544</t>
  </si>
  <si>
    <t>LN0113</t>
  </si>
  <si>
    <t>C0568</t>
  </si>
  <si>
    <t>LN0114</t>
  </si>
  <si>
    <t>C0267</t>
  </si>
  <si>
    <t>LN0115</t>
  </si>
  <si>
    <t>C0613</t>
  </si>
  <si>
    <t>LN0116</t>
  </si>
  <si>
    <t>C0010</t>
  </si>
  <si>
    <t>LN0117</t>
  </si>
  <si>
    <t>C0314</t>
  </si>
  <si>
    <t>LN0118</t>
  </si>
  <si>
    <t>C0430</t>
  </si>
  <si>
    <t>LN0119</t>
  </si>
  <si>
    <t>LN0120</t>
  </si>
  <si>
    <t>C0171</t>
  </si>
  <si>
    <t>LN0121</t>
  </si>
  <si>
    <t>C0641</t>
  </si>
  <si>
    <t>LN0122</t>
  </si>
  <si>
    <t>LN0123</t>
  </si>
  <si>
    <t>C0656</t>
  </si>
  <si>
    <t>LN0124</t>
  </si>
  <si>
    <t>LN0125</t>
  </si>
  <si>
    <t>C0575</t>
  </si>
  <si>
    <t>LN0126</t>
  </si>
  <si>
    <t>C0690</t>
  </si>
  <si>
    <t>LN0127</t>
  </si>
  <si>
    <t>C0497</t>
  </si>
  <si>
    <t>LN0128</t>
  </si>
  <si>
    <t>LN0129</t>
  </si>
  <si>
    <t>C0062</t>
  </si>
  <si>
    <t>LN0130</t>
  </si>
  <si>
    <t>C0495</t>
  </si>
  <si>
    <t>LN0131</t>
  </si>
  <si>
    <t>C0566</t>
  </si>
  <si>
    <t>LN0132</t>
  </si>
  <si>
    <t>C0578</t>
  </si>
  <si>
    <t>LN0133</t>
  </si>
  <si>
    <t>C0228</t>
  </si>
  <si>
    <t>LN0134</t>
  </si>
  <si>
    <t>C0443</t>
  </si>
  <si>
    <t>LN0135</t>
  </si>
  <si>
    <t>C0201</t>
  </si>
  <si>
    <t>LN0136</t>
  </si>
  <si>
    <t>C0155</t>
  </si>
  <si>
    <t>LN0137</t>
  </si>
  <si>
    <t>C0399</t>
  </si>
  <si>
    <t>LN0138</t>
  </si>
  <si>
    <t>C0051</t>
  </si>
  <si>
    <t>LN0139</t>
  </si>
  <si>
    <t>C0427</t>
  </si>
  <si>
    <t>LN0140</t>
  </si>
  <si>
    <t>LN0141</t>
  </si>
  <si>
    <t>C0187</t>
  </si>
  <si>
    <t>LN0142</t>
  </si>
  <si>
    <t>C0161</t>
  </si>
  <si>
    <t>LN0143</t>
  </si>
  <si>
    <t>C0606</t>
  </si>
  <si>
    <t>LN0144</t>
  </si>
  <si>
    <t>C0603</t>
  </si>
  <si>
    <t>LN0145</t>
  </si>
  <si>
    <t>LN0146</t>
  </si>
  <si>
    <t>C0447</t>
  </si>
  <si>
    <t>LN0147</t>
  </si>
  <si>
    <t>C0355</t>
  </si>
  <si>
    <t>LN0148</t>
  </si>
  <si>
    <t>C0457</t>
  </si>
  <si>
    <t>LN0149</t>
  </si>
  <si>
    <t>C0136</t>
  </si>
  <si>
    <t>LN0150</t>
  </si>
  <si>
    <t>C0224</t>
  </si>
  <si>
    <t>LN0151</t>
  </si>
  <si>
    <t>C0227</t>
  </si>
  <si>
    <t>LN0152</t>
  </si>
  <si>
    <t>C0111</t>
  </si>
  <si>
    <t>LN0153</t>
  </si>
  <si>
    <t>C0347</t>
  </si>
  <si>
    <t>LN0154</t>
  </si>
  <si>
    <t>C0168</t>
  </si>
  <si>
    <t>LN0155</t>
  </si>
  <si>
    <t>LN0156</t>
  </si>
  <si>
    <t>C0365</t>
  </si>
  <si>
    <t>LN0157</t>
  </si>
  <si>
    <t>C0652</t>
  </si>
  <si>
    <t>LN0158</t>
  </si>
  <si>
    <t>C0403</t>
  </si>
  <si>
    <t>LN0159</t>
  </si>
  <si>
    <t>LN0160</t>
  </si>
  <si>
    <t>C0631</t>
  </si>
  <si>
    <t>LN0161</t>
  </si>
  <si>
    <t>C0047</t>
  </si>
  <si>
    <t>LN0162</t>
  </si>
  <si>
    <t>C0357</t>
  </si>
  <si>
    <t>LN0163</t>
  </si>
  <si>
    <t>C0148</t>
  </si>
  <si>
    <t>LN0164</t>
  </si>
  <si>
    <t>LN0165</t>
  </si>
  <si>
    <t>LN0166</t>
  </si>
  <si>
    <t>C0490</t>
  </si>
  <si>
    <t>LN0167</t>
  </si>
  <si>
    <t>C0146</t>
  </si>
  <si>
    <t>LN0168</t>
  </si>
  <si>
    <t>LN0169</t>
  </si>
  <si>
    <t>LN0170</t>
  </si>
  <si>
    <t>LN0171</t>
  </si>
  <si>
    <t>C0550</t>
  </si>
  <si>
    <t>LN0172</t>
  </si>
  <si>
    <t>C0372</t>
  </si>
  <si>
    <t>LN0173</t>
  </si>
  <si>
    <t>C0313</t>
  </si>
  <si>
    <t>LN0174</t>
  </si>
  <si>
    <t>C0232</t>
  </si>
  <si>
    <t>LN0175</t>
  </si>
  <si>
    <t>C0308</t>
  </si>
  <si>
    <t>LN0176</t>
  </si>
  <si>
    <t>C0322</t>
  </si>
  <si>
    <t>LN0177</t>
  </si>
  <si>
    <t>C0253</t>
  </si>
  <si>
    <t>LN0178</t>
  </si>
  <si>
    <t>C0581</t>
  </si>
  <si>
    <t>LN0179</t>
  </si>
  <si>
    <t>C0321</t>
  </si>
  <si>
    <t>LN0180</t>
  </si>
  <si>
    <t>LN0181</t>
  </si>
  <si>
    <t>C0463</t>
  </si>
  <si>
    <t>LN0182</t>
  </si>
  <si>
    <t>C0508</t>
  </si>
  <si>
    <t>LN0183</t>
  </si>
  <si>
    <t>C0436</t>
  </si>
  <si>
    <t>LN0184</t>
  </si>
  <si>
    <t>C0169</t>
  </si>
  <si>
    <t>LN0185</t>
  </si>
  <si>
    <t>LN0186</t>
  </si>
  <si>
    <t>LN0187</t>
  </si>
  <si>
    <t>C0459</t>
  </si>
  <si>
    <t>LN0188</t>
  </si>
  <si>
    <t>C0072</t>
  </si>
  <si>
    <t>LN0189</t>
  </si>
  <si>
    <t>C0590</t>
  </si>
  <si>
    <t>LN0190</t>
  </si>
  <si>
    <t>C0133</t>
  </si>
  <si>
    <t>LN0191</t>
  </si>
  <si>
    <t>C0661</t>
  </si>
  <si>
    <t>LN0192</t>
  </si>
  <si>
    <t>C0439</t>
  </si>
  <si>
    <t>LN0193</t>
  </si>
  <si>
    <t>LN0194</t>
  </si>
  <si>
    <t>C0294</t>
  </si>
  <si>
    <t>LN0195</t>
  </si>
  <si>
    <t>C0141</t>
  </si>
  <si>
    <t>LN0196</t>
  </si>
  <si>
    <t>C0217</t>
  </si>
  <si>
    <t>LN0197</t>
  </si>
  <si>
    <t>C0257</t>
  </si>
  <si>
    <t>LN0198</t>
  </si>
  <si>
    <t>LN0199</t>
  </si>
  <si>
    <t>C0066</t>
  </si>
  <si>
    <t>LN0200</t>
  </si>
  <si>
    <t>LN0201</t>
  </si>
  <si>
    <t>C0561</t>
  </si>
  <si>
    <t>LN0202</t>
  </si>
  <si>
    <t>C0157</t>
  </si>
  <si>
    <t>LN0203</t>
  </si>
  <si>
    <t>LN0204</t>
  </si>
  <si>
    <t>C0472</t>
  </si>
  <si>
    <t>LN0205</t>
  </si>
  <si>
    <t>LN0206</t>
  </si>
  <si>
    <t>C0356</t>
  </si>
  <si>
    <t>LN0207</t>
  </si>
  <si>
    <t>C0364</t>
  </si>
  <si>
    <t>LN0208</t>
  </si>
  <si>
    <t>C0207</t>
  </si>
  <si>
    <t>LN0209</t>
  </si>
  <si>
    <t>C0460</t>
  </si>
  <si>
    <t>LN0210</t>
  </si>
  <si>
    <t>LN0211</t>
  </si>
  <si>
    <t>C0437</t>
  </si>
  <si>
    <t>LN0212</t>
  </si>
  <si>
    <t>LN0213</t>
  </si>
  <si>
    <t>C0475</t>
  </si>
  <si>
    <t>LN0214</t>
  </si>
  <si>
    <t>C0338</t>
  </si>
  <si>
    <t>LN0215</t>
  </si>
  <si>
    <t>C0684</t>
  </si>
  <si>
    <t>LN0216</t>
  </si>
  <si>
    <t>C0107</t>
  </si>
  <si>
    <t>LN0217</t>
  </si>
  <si>
    <t>C0341</t>
  </si>
  <si>
    <t>LN0218</t>
  </si>
  <si>
    <t>C0595</t>
  </si>
  <si>
    <t>LN0219</t>
  </si>
  <si>
    <t>LN0220</t>
  </si>
  <si>
    <t>C0076</t>
  </si>
  <si>
    <t>LN0221</t>
  </si>
  <si>
    <t>C0574</t>
  </si>
  <si>
    <t>LN0222</t>
  </si>
  <si>
    <t>C0421</t>
  </si>
  <si>
    <t>LN0223</t>
  </si>
  <si>
    <t>C0132</t>
  </si>
  <si>
    <t>LN0224</t>
  </si>
  <si>
    <t>C0085</t>
  </si>
  <si>
    <t>LN0225</t>
  </si>
  <si>
    <t>C0092</t>
  </si>
  <si>
    <t>LN0226</t>
  </si>
  <si>
    <t>C0569</t>
  </si>
  <si>
    <t>LN0227</t>
  </si>
  <si>
    <t>C0675</t>
  </si>
  <si>
    <t>LN0228</t>
  </si>
  <si>
    <t>LN0229</t>
  </si>
  <si>
    <t>LN0230</t>
  </si>
  <si>
    <t>C0525</t>
  </si>
  <si>
    <t>LN0231</t>
  </si>
  <si>
    <t>C0532</t>
  </si>
  <si>
    <t>LN0232</t>
  </si>
  <si>
    <t>C0664</t>
  </si>
  <si>
    <t>LN0233</t>
  </si>
  <si>
    <t>C0504</t>
  </si>
  <si>
    <t>LN0234</t>
  </si>
  <si>
    <t>C0481</t>
  </si>
  <si>
    <t>LN0235</t>
  </si>
  <si>
    <t>LN0236</t>
  </si>
  <si>
    <t>C0699</t>
  </si>
  <si>
    <t>LN0237</t>
  </si>
  <si>
    <t>LN0238</t>
  </si>
  <si>
    <t>C0523</t>
  </si>
  <si>
    <t>LN0239</t>
  </si>
  <si>
    <t>LN0240</t>
  </si>
  <si>
    <t>C0260</t>
  </si>
  <si>
    <t>LN0241</t>
  </si>
  <si>
    <t>C0013</t>
  </si>
  <si>
    <t>LN0242</t>
  </si>
  <si>
    <t>C0638</t>
  </si>
  <si>
    <t>LN0243</t>
  </si>
  <si>
    <t>C0298</t>
  </si>
  <si>
    <t>LN0244</t>
  </si>
  <si>
    <t>C0644</t>
  </si>
  <si>
    <t>LN0245</t>
  </si>
  <si>
    <t>C0391</t>
  </si>
  <si>
    <t>LN0246</t>
  </si>
  <si>
    <t>C0662</t>
  </si>
  <si>
    <t>LN0247</t>
  </si>
  <si>
    <t>C0450</t>
  </si>
  <si>
    <t>LN0248</t>
  </si>
  <si>
    <t>C0565</t>
  </si>
  <si>
    <t>LN0249</t>
  </si>
  <si>
    <t>C0503</t>
  </si>
  <si>
    <t>LN0250</t>
  </si>
  <si>
    <t>C0482</t>
  </si>
  <si>
    <t>LN0251</t>
  </si>
  <si>
    <t>C0677</t>
  </si>
  <si>
    <t>LN0252</t>
  </si>
  <si>
    <t>C0494</t>
  </si>
  <si>
    <t>LN0253</t>
  </si>
  <si>
    <t>C0337</t>
  </si>
  <si>
    <t>LN0254</t>
  </si>
  <si>
    <t>LN0255</t>
  </si>
  <si>
    <t>C0059</t>
  </si>
  <si>
    <t>LN0256</t>
  </si>
  <si>
    <t>LN0257</t>
  </si>
  <si>
    <t>C0190</t>
  </si>
  <si>
    <t>LN0258</t>
  </si>
  <si>
    <t>C0395</t>
  </si>
  <si>
    <t>LN0259</t>
  </si>
  <si>
    <t>C0420</t>
  </si>
  <si>
    <t>LN0260</t>
  </si>
  <si>
    <t>C0540</t>
  </si>
  <si>
    <t>LN0261</t>
  </si>
  <si>
    <t>C0557</t>
  </si>
  <si>
    <t>LN0262</t>
  </si>
  <si>
    <t>C0489</t>
  </si>
  <si>
    <t>LN0263</t>
  </si>
  <si>
    <t>LN0264</t>
  </si>
  <si>
    <t>C0564</t>
  </si>
  <si>
    <t>LN0265</t>
  </si>
  <si>
    <t>LN0266</t>
  </si>
  <si>
    <t>LN0267</t>
  </si>
  <si>
    <t>LN0268</t>
  </si>
  <si>
    <t>LN0269</t>
  </si>
  <si>
    <t>C0386</t>
  </si>
  <si>
    <t>LN0270</t>
  </si>
  <si>
    <t>LN0271</t>
  </si>
  <si>
    <t>C0455</t>
  </si>
  <si>
    <t>LN0272</t>
  </si>
  <si>
    <t>LN0273</t>
  </si>
  <si>
    <t>C0137</t>
  </si>
  <si>
    <t>LN0274</t>
  </si>
  <si>
    <t>C0163</t>
  </si>
  <si>
    <t>LN0275</t>
  </si>
  <si>
    <t>LN0276</t>
  </si>
  <si>
    <t>LN0277</t>
  </si>
  <si>
    <t>LN0278</t>
  </si>
  <si>
    <t>C0586</t>
  </si>
  <si>
    <t>LN0279</t>
  </si>
  <si>
    <t>LN0280</t>
  </si>
  <si>
    <t>C0117</t>
  </si>
  <si>
    <t>LN0281</t>
  </si>
  <si>
    <t>C0376</t>
  </si>
  <si>
    <t>LN0282</t>
  </si>
  <si>
    <t>C0029</t>
  </si>
  <si>
    <t>LN0283</t>
  </si>
  <si>
    <t>LN0284</t>
  </si>
  <si>
    <t>C0048</t>
  </si>
  <si>
    <t>LN0285</t>
  </si>
  <si>
    <t>C0221</t>
  </si>
  <si>
    <t>LN0286</t>
  </si>
  <si>
    <t>LN0287</t>
  </si>
  <si>
    <t>C0311</t>
  </si>
  <si>
    <t>LN0288</t>
  </si>
  <si>
    <t>LN0289</t>
  </si>
  <si>
    <t>LN0290</t>
  </si>
  <si>
    <t>C0112</t>
  </si>
  <si>
    <t>LN0291</t>
  </si>
  <si>
    <t>C0419</t>
  </si>
  <si>
    <t>LN0292</t>
  </si>
  <si>
    <t>LN0293</t>
  </si>
  <si>
    <t>C0049</t>
  </si>
  <si>
    <t>LN0294</t>
  </si>
  <si>
    <t>LN0295</t>
  </si>
  <si>
    <t>C0524</t>
  </si>
  <si>
    <t>LN0296</t>
  </si>
  <si>
    <t>C0446</t>
  </si>
  <si>
    <t>LN0297</t>
  </si>
  <si>
    <t>LN0298</t>
  </si>
  <si>
    <t>LN0299</t>
  </si>
  <si>
    <t>C0007</t>
  </si>
  <si>
    <t>LN0300</t>
  </si>
  <si>
    <t>LN0301</t>
  </si>
  <si>
    <t>LN0302</t>
  </si>
  <si>
    <t>C0700</t>
  </si>
  <si>
    <t>LN0303</t>
  </si>
  <si>
    <t>C0179</t>
  </si>
  <si>
    <t>LN0304</t>
  </si>
  <si>
    <t>C0326</t>
  </si>
  <si>
    <t>LN0305</t>
  </si>
  <si>
    <t>LN0306</t>
  </si>
  <si>
    <t>C0696</t>
  </si>
  <si>
    <t>LN0307</t>
  </si>
  <si>
    <t>C0610</t>
  </si>
  <si>
    <t>LN0308</t>
  </si>
  <si>
    <t>LN0309</t>
  </si>
  <si>
    <t>C0305</t>
  </si>
  <si>
    <t>LN0310</t>
  </si>
  <si>
    <t>C0158</t>
  </si>
  <si>
    <t>LN0311</t>
  </si>
  <si>
    <t>LN0312</t>
  </si>
  <si>
    <t>C0377</t>
  </si>
  <si>
    <t>LN0313</t>
  </si>
  <si>
    <t>C0135</t>
  </si>
  <si>
    <t>LN0314</t>
  </si>
  <si>
    <t>C0440</t>
  </si>
  <si>
    <t>LN0315</t>
  </si>
  <si>
    <t>C0130</t>
  </si>
  <si>
    <t>LN0316</t>
  </si>
  <si>
    <t>C0097</t>
  </si>
  <si>
    <t>LN0317</t>
  </si>
  <si>
    <t>LN0318</t>
  </si>
  <si>
    <t>C0512</t>
  </si>
  <si>
    <t>LN0319</t>
  </si>
  <si>
    <t>C0383</t>
  </si>
  <si>
    <t>LN0320</t>
  </si>
  <si>
    <t>C0621</t>
  </si>
  <si>
    <t>LN0321</t>
  </si>
  <si>
    <t>LN0322</t>
  </si>
  <si>
    <t>C0318</t>
  </si>
  <si>
    <t>LN0323</t>
  </si>
  <si>
    <t>C0467</t>
  </si>
  <si>
    <t>LN0324</t>
  </si>
  <si>
    <t>C0238</t>
  </si>
  <si>
    <t>LN0325</t>
  </si>
  <si>
    <t>C0002</t>
  </si>
  <si>
    <t>LN0326</t>
  </si>
  <si>
    <t>LN0327</t>
  </si>
  <si>
    <t>C0142</t>
  </si>
  <si>
    <t>LN0328</t>
  </si>
  <si>
    <t>C0289</t>
  </si>
  <si>
    <t>LN0329</t>
  </si>
  <si>
    <t>LN0330</t>
  </si>
  <si>
    <t>LN0331</t>
  </si>
  <si>
    <t>LN0332</t>
  </si>
  <si>
    <t>C0004</t>
  </si>
  <si>
    <t>LN0333</t>
  </si>
  <si>
    <t>C0622</t>
  </si>
  <si>
    <t>LN0334</t>
  </si>
  <si>
    <t>LN0335</t>
  </si>
  <si>
    <t>C0343</t>
  </si>
  <si>
    <t>LN0336</t>
  </si>
  <si>
    <t>C0292</t>
  </si>
  <si>
    <t>LN0337</t>
  </si>
  <si>
    <t>LN0338</t>
  </si>
  <si>
    <t>LN0339</t>
  </si>
  <si>
    <t>C0543</t>
  </si>
  <si>
    <t>LN0340</t>
  </si>
  <si>
    <t>C0359</t>
  </si>
  <si>
    <t>LN0341</t>
  </si>
  <si>
    <t>C0554</t>
  </si>
  <si>
    <t>LN0342</t>
  </si>
  <si>
    <t>C0006</t>
  </si>
  <si>
    <t>LN0343</t>
  </si>
  <si>
    <t>C0393</t>
  </si>
  <si>
    <t>LN0344</t>
  </si>
  <si>
    <t>C0555</t>
  </si>
  <si>
    <t>LN0345</t>
  </si>
  <si>
    <t>C0210</t>
  </si>
  <si>
    <t>LN0346</t>
  </si>
  <si>
    <t>LN0347</t>
  </si>
  <si>
    <t>C0444</t>
  </si>
  <si>
    <t>LN0348</t>
  </si>
  <si>
    <t>C0653</t>
  </si>
  <si>
    <t>LN0349</t>
  </si>
  <si>
    <t>C0344</t>
  </si>
  <si>
    <t>LN0350</t>
  </si>
  <si>
    <t>C0630</t>
  </si>
  <si>
    <t>LN0351</t>
  </si>
  <si>
    <t>C0484</t>
  </si>
  <si>
    <t>LN0352</t>
  </si>
  <si>
    <t>LN0353</t>
  </si>
  <si>
    <t>LN0354</t>
  </si>
  <si>
    <t>C0086</t>
  </si>
  <si>
    <t>LN0355</t>
  </si>
  <si>
    <t>LN0356</t>
  </si>
  <si>
    <t>LN0357</t>
  </si>
  <si>
    <t>LN0358</t>
  </si>
  <si>
    <t>LN0359</t>
  </si>
  <si>
    <t>C0370</t>
  </si>
  <si>
    <t>LN0360</t>
  </si>
  <si>
    <t>LN0361</t>
  </si>
  <si>
    <t>C0599</t>
  </si>
  <si>
    <t>LN0362</t>
  </si>
  <si>
    <t>LN0363</t>
  </si>
  <si>
    <t>C0088</t>
  </si>
  <si>
    <t>LN0364</t>
  </si>
  <si>
    <t>C0632</t>
  </si>
  <si>
    <t>LN0365</t>
  </si>
  <si>
    <t>LN0366</t>
  </si>
  <si>
    <t>C0074</t>
  </si>
  <si>
    <t>LN0367</t>
  </si>
  <si>
    <t>C0469</t>
  </si>
  <si>
    <t>LN0368</t>
  </si>
  <si>
    <t>C0259</t>
  </si>
  <si>
    <t>LN0369</t>
  </si>
  <si>
    <t>LN0370</t>
  </si>
  <si>
    <t>C0553</t>
  </si>
  <si>
    <t>LN0371</t>
  </si>
  <si>
    <t>C0125</t>
  </si>
  <si>
    <t>LN0372</t>
  </si>
  <si>
    <t>C0511</t>
  </si>
  <si>
    <t>LN0373</t>
  </si>
  <si>
    <t>C0558</t>
  </si>
  <si>
    <t>LN0374</t>
  </si>
  <si>
    <t>LN0375</t>
  </si>
  <si>
    <t>C0659</t>
  </si>
  <si>
    <t>LN0376</t>
  </si>
  <si>
    <t>C0655</t>
  </si>
  <si>
    <t>LN0377</t>
  </si>
  <si>
    <t>C0683</t>
  </si>
  <si>
    <t>LN0378</t>
  </si>
  <si>
    <t>C0413</t>
  </si>
  <si>
    <t>LN0379</t>
  </si>
  <si>
    <t>C0571</t>
  </si>
  <si>
    <t>LN0380</t>
  </si>
  <si>
    <t>LN0381</t>
  </si>
  <si>
    <t>C0634</t>
  </si>
  <si>
    <t>LN0382</t>
  </si>
  <si>
    <t>C0398</t>
  </si>
  <si>
    <t>LN0383</t>
  </si>
  <si>
    <t>C0645</t>
  </si>
  <si>
    <t>LN0384</t>
  </si>
  <si>
    <t>C0237</t>
  </si>
  <si>
    <t>LN0385</t>
  </si>
  <si>
    <t>LN0386</t>
  </si>
  <si>
    <t>C0499</t>
  </si>
  <si>
    <t>LN0387</t>
  </si>
  <si>
    <t>C0366</t>
  </si>
  <si>
    <t>LN0388</t>
  </si>
  <si>
    <t>C0676</t>
  </si>
  <si>
    <t>LN0389</t>
  </si>
  <si>
    <t>C0241</t>
  </si>
  <si>
    <t>LN0390</t>
  </si>
  <si>
    <t>C0248</t>
  </si>
  <si>
    <t>LN0391</t>
  </si>
  <si>
    <t>LN0392</t>
  </si>
  <si>
    <t>C0323</t>
  </si>
  <si>
    <t>LN0393</t>
  </si>
  <si>
    <t>C0225</t>
  </si>
  <si>
    <t>LN0394</t>
  </si>
  <si>
    <t>C0480</t>
  </si>
  <si>
    <t>LN0395</t>
  </si>
  <si>
    <t>C0150</t>
  </si>
  <si>
    <t>LN0396</t>
  </si>
  <si>
    <t>C0435</t>
  </si>
  <si>
    <t>LN0397</t>
  </si>
  <si>
    <t>C0222</t>
  </si>
  <si>
    <t>LN0398</t>
  </si>
  <si>
    <t>LN0399</t>
  </si>
  <si>
    <t>LN0400</t>
  </si>
  <si>
    <t>C0240</t>
  </si>
  <si>
    <t>LN0401</t>
  </si>
  <si>
    <t>C0041</t>
  </si>
  <si>
    <t>LN0402</t>
  </si>
  <si>
    <t>C0665</t>
  </si>
  <si>
    <t>LN0403</t>
  </si>
  <si>
    <t>LN0404</t>
  </si>
  <si>
    <t>LN0405</t>
  </si>
  <si>
    <t>C0114</t>
  </si>
  <si>
    <t>LN0406</t>
  </si>
  <si>
    <t>LN0407</t>
  </si>
  <si>
    <t>C0293</t>
  </si>
  <si>
    <t>LN0408</t>
  </si>
  <si>
    <t>C0518</t>
  </si>
  <si>
    <t>LN0409</t>
  </si>
  <si>
    <t>LN0410</t>
  </si>
  <si>
    <t>LN0411</t>
  </si>
  <si>
    <t>C0477</t>
  </si>
  <si>
    <t>LN0412</t>
  </si>
  <si>
    <t>C0458</t>
  </si>
  <si>
    <t>LN0413</t>
  </si>
  <si>
    <t>C0537</t>
  </si>
  <si>
    <t>LN0414</t>
  </si>
  <si>
    <t>C0245</t>
  </si>
  <si>
    <t>LN0415</t>
  </si>
  <si>
    <t>C0223</t>
  </si>
  <si>
    <t>LN0416</t>
  </si>
  <si>
    <t>LN0417</t>
  </si>
  <si>
    <t>LN0418</t>
  </si>
  <si>
    <t>C0486</t>
  </si>
  <si>
    <t>LN0419</t>
  </si>
  <si>
    <t>LN0420</t>
  </si>
  <si>
    <t>LN0421</t>
  </si>
  <si>
    <t>LN0422</t>
  </si>
  <si>
    <t>LN0423</t>
  </si>
  <si>
    <t>C0261</t>
  </si>
  <si>
    <t>LN0424</t>
  </si>
  <si>
    <t>LN0425</t>
  </si>
  <si>
    <t>LN0426</t>
  </si>
  <si>
    <t>LN0427</t>
  </si>
  <si>
    <t>LN0428</t>
  </si>
  <si>
    <t>C0009</t>
  </si>
  <si>
    <t>LN0429</t>
  </si>
  <si>
    <t>C0104</t>
  </si>
  <si>
    <t>LN0430</t>
  </si>
  <si>
    <t>LN0431</t>
  </si>
  <si>
    <t>LN0432</t>
  </si>
  <si>
    <t>C0648</t>
  </si>
  <si>
    <t>LN0433</t>
  </si>
  <si>
    <t>C0212</t>
  </si>
  <si>
    <t>LN0434</t>
  </si>
  <si>
    <t>LN0435</t>
  </si>
  <si>
    <t>C0306</t>
  </si>
  <si>
    <t>LN0436</t>
  </si>
  <si>
    <t>LN0437</t>
  </si>
  <si>
    <t>LN0438</t>
  </si>
  <si>
    <t>LN0439</t>
  </si>
  <si>
    <t>C0417</t>
  </si>
  <si>
    <t>LN0440</t>
  </si>
  <si>
    <t>C0637</t>
  </si>
  <si>
    <t>LN0441</t>
  </si>
  <si>
    <t>C0205</t>
  </si>
  <si>
    <t>LN0442</t>
  </si>
  <si>
    <t>C0109</t>
  </si>
  <si>
    <t>LN0443</t>
  </si>
  <si>
    <t>C0162</t>
  </si>
  <si>
    <t>LN0444</t>
  </si>
  <si>
    <t>LN0445</t>
  </si>
  <si>
    <t>LN0446</t>
  </si>
  <si>
    <t>LN0447</t>
  </si>
  <si>
    <t>LN0448</t>
  </si>
  <si>
    <t>C0387</t>
  </si>
  <si>
    <t>LN0449</t>
  </si>
  <si>
    <t>LN0450</t>
  </si>
  <si>
    <t>C0389</t>
  </si>
  <si>
    <t>LN0451</t>
  </si>
  <si>
    <t>LN0452</t>
  </si>
  <si>
    <t>C0429</t>
  </si>
  <si>
    <t>LN0453</t>
  </si>
  <si>
    <t>LN0454</t>
  </si>
  <si>
    <t>LN0455</t>
  </si>
  <si>
    <t>LN0456</t>
  </si>
  <si>
    <t>LN0457</t>
  </si>
  <si>
    <t>LN0458</t>
  </si>
  <si>
    <t>LN0459</t>
  </si>
  <si>
    <t>C0609</t>
  </si>
  <si>
    <t>LN0460</t>
  </si>
  <si>
    <t>LN0461</t>
  </si>
  <si>
    <t>C0065</t>
  </si>
  <si>
    <t>LN0462</t>
  </si>
  <si>
    <t>C0466</t>
  </si>
  <si>
    <t>LN0463</t>
  </si>
  <si>
    <t>LN0464</t>
  </si>
  <si>
    <t>LN0465</t>
  </si>
  <si>
    <t>LN0466</t>
  </si>
  <si>
    <t>C0087</t>
  </si>
  <si>
    <t>LN0467</t>
  </si>
  <si>
    <t>C0409</t>
  </si>
  <si>
    <t>LN0468</t>
  </si>
  <si>
    <t>C0119</t>
  </si>
  <si>
    <t>LN0469</t>
  </si>
  <si>
    <t>LN0470</t>
  </si>
  <si>
    <t>C0297</t>
  </si>
  <si>
    <t>LN0471</t>
  </si>
  <si>
    <t>C0434</t>
  </si>
  <si>
    <t>LN0472</t>
  </si>
  <si>
    <t>LN0473</t>
  </si>
  <si>
    <t>C0698</t>
  </si>
  <si>
    <t>LN0474</t>
  </si>
  <si>
    <t>LN0475</t>
  </si>
  <si>
    <t>C0269</t>
  </si>
  <si>
    <t>LN0476</t>
  </si>
  <si>
    <t>C0149</t>
  </si>
  <si>
    <t>LN0477</t>
  </si>
  <si>
    <t>LN0478</t>
  </si>
  <si>
    <t>LN0479</t>
  </si>
  <si>
    <t>C0596</t>
  </si>
  <si>
    <t>LN0480</t>
  </si>
  <si>
    <t>LN0481</t>
  </si>
  <si>
    <t>LN0482</t>
  </si>
  <si>
    <t>C0193</t>
  </si>
  <si>
    <t>LN0483</t>
  </si>
  <si>
    <t>C0650</t>
  </si>
  <si>
    <t>LN0484</t>
  </si>
  <si>
    <t>C0277</t>
  </si>
  <si>
    <t>LN0485</t>
  </si>
  <si>
    <t>C0299</t>
  </si>
  <si>
    <t>LN0486</t>
  </si>
  <si>
    <t>LN0487</t>
  </si>
  <si>
    <t>LN0488</t>
  </si>
  <si>
    <t>LN0489</t>
  </si>
  <si>
    <t>C0461</t>
  </si>
  <si>
    <t>LN0490</t>
  </si>
  <si>
    <t>LN0491</t>
  </si>
  <si>
    <t>LN0492</t>
  </si>
  <si>
    <t>C0647</t>
  </si>
  <si>
    <t>LN0493</t>
  </si>
  <si>
    <t>C0478</t>
  </si>
  <si>
    <t>LN0494</t>
  </si>
  <si>
    <t>LN0495</t>
  </si>
  <si>
    <t>LN0496</t>
  </si>
  <si>
    <t>C0153</t>
  </si>
  <si>
    <t>LN0497</t>
  </si>
  <si>
    <t>LN0498</t>
  </si>
  <si>
    <t>C0385</t>
  </si>
  <si>
    <t>LN0499</t>
  </si>
  <si>
    <t>C0025</t>
  </si>
  <si>
    <t>LN0500</t>
  </si>
  <si>
    <t>C0249</t>
  </si>
  <si>
    <t>LN0501</t>
  </si>
  <si>
    <t>C0384</t>
  </si>
  <si>
    <t>LN0502</t>
  </si>
  <si>
    <t>C0585</t>
  </si>
  <si>
    <t>LN0503</t>
  </si>
  <si>
    <t>LN0504</t>
  </si>
  <si>
    <t>LN0505</t>
  </si>
  <si>
    <t>LN0506</t>
  </si>
  <si>
    <t>C0358</t>
  </si>
  <si>
    <t>LN0507</t>
  </si>
  <si>
    <t>LN0508</t>
  </si>
  <si>
    <t>C0432</t>
  </si>
  <si>
    <t>LN0509</t>
  </si>
  <si>
    <t>C0233</t>
  </si>
  <si>
    <t>LN0510</t>
  </si>
  <si>
    <t>C0516</t>
  </si>
  <si>
    <t>LN0511</t>
  </si>
  <si>
    <t>LN0512</t>
  </si>
  <si>
    <t>LN0513</t>
  </si>
  <si>
    <t>C0695</t>
  </si>
  <si>
    <t>LN0514</t>
  </si>
  <si>
    <t>LN0515</t>
  </si>
  <si>
    <t>LN0516</t>
  </si>
  <si>
    <t>C0394</t>
  </si>
  <si>
    <t>LN0517</t>
  </si>
  <si>
    <t>LN0518</t>
  </si>
  <si>
    <t>C0178</t>
  </si>
  <si>
    <t>LN0519</t>
  </si>
  <si>
    <t>LN0520</t>
  </si>
  <si>
    <t>LN0521</t>
  </si>
  <si>
    <t>LN0522</t>
  </si>
  <si>
    <t>C0502</t>
  </si>
  <si>
    <t>LN0523</t>
  </si>
  <si>
    <t>C0584</t>
  </si>
  <si>
    <t>LN0524</t>
  </si>
  <si>
    <t>LN0525</t>
  </si>
  <si>
    <t>LN0526</t>
  </si>
  <si>
    <t>LN0527</t>
  </si>
  <si>
    <t>LN0528</t>
  </si>
  <si>
    <t>C0208</t>
  </si>
  <si>
    <t>LN0529</t>
  </si>
  <si>
    <t>C0184</t>
  </si>
  <si>
    <t>LN0530</t>
  </si>
  <si>
    <t>C0213</t>
  </si>
  <si>
    <t>LN0531</t>
  </si>
  <si>
    <t>C0160</t>
  </si>
  <si>
    <t>LN0532</t>
  </si>
  <si>
    <t>LN0533</t>
  </si>
  <si>
    <t>C0270</t>
  </si>
  <si>
    <t>LN0534</t>
  </si>
  <si>
    <t>LN0535</t>
  </si>
  <si>
    <t>LN0536</t>
  </si>
  <si>
    <t>LN0537</t>
  </si>
  <si>
    <t>LN0538</t>
  </si>
  <si>
    <t>C0686</t>
  </si>
  <si>
    <t>LN0539</t>
  </si>
  <si>
    <t>C0602</t>
  </si>
  <si>
    <t>LN0540</t>
  </si>
  <si>
    <t>C0400</t>
  </si>
  <si>
    <t>LN0541</t>
  </si>
  <si>
    <t>LN0542</t>
  </si>
  <si>
    <t>LN0543</t>
  </si>
  <si>
    <t>LN0544</t>
  </si>
  <si>
    <t>LN0545</t>
  </si>
  <si>
    <t>LN0546</t>
  </si>
  <si>
    <t>C0468</t>
  </si>
  <si>
    <t>LN0547</t>
  </si>
  <si>
    <t>LN0548</t>
  </si>
  <si>
    <t>C0496</t>
  </si>
  <si>
    <t>LN0549</t>
  </si>
  <si>
    <t>C0577</t>
  </si>
  <si>
    <t>LN0550</t>
  </si>
  <si>
    <t>LN0551</t>
  </si>
  <si>
    <t>LN0552</t>
  </si>
  <si>
    <t>LN0553</t>
  </si>
  <si>
    <t>LN0554</t>
  </si>
  <si>
    <t>LN0555</t>
  </si>
  <si>
    <t>C0418</t>
  </si>
  <si>
    <t>LN0556</t>
  </si>
  <si>
    <t>C0334</t>
  </si>
  <si>
    <t>LN0557</t>
  </si>
  <si>
    <t>C0361</t>
  </si>
  <si>
    <t>LN0558</t>
  </si>
  <si>
    <t>C0640</t>
  </si>
  <si>
    <t>LN0559</t>
  </si>
  <si>
    <t>C0096</t>
  </si>
  <si>
    <t>LN0560</t>
  </si>
  <si>
    <t>C0015</t>
  </si>
  <si>
    <t>LN0561</t>
  </si>
  <si>
    <t>C0016</t>
  </si>
  <si>
    <t>LN0562</t>
  </si>
  <si>
    <t>C0069</t>
  </si>
  <si>
    <t>LN0563</t>
  </si>
  <si>
    <t>C0282</t>
  </si>
  <si>
    <t>LN0564</t>
  </si>
  <si>
    <t>C0243</t>
  </si>
  <si>
    <t>LN0565</t>
  </si>
  <si>
    <t>C0147</t>
  </si>
  <si>
    <t>LN0566</t>
  </si>
  <si>
    <t>LN0567</t>
  </si>
  <si>
    <t>LN0568</t>
  </si>
  <si>
    <t>LN0569</t>
  </si>
  <si>
    <t>LN0570</t>
  </si>
  <si>
    <t>LN0571</t>
  </si>
  <si>
    <t>C0679</t>
  </si>
  <si>
    <t>LN0572</t>
  </si>
  <si>
    <t>LN0573</t>
  </si>
  <si>
    <t>C0624</t>
  </si>
  <si>
    <t>LN0574</t>
  </si>
  <si>
    <t>C0362</t>
  </si>
  <si>
    <t>LN0575</t>
  </si>
  <si>
    <t>C0445</t>
  </si>
  <si>
    <t>LN0576</t>
  </si>
  <si>
    <t>C0520</t>
  </si>
  <si>
    <t>LN0577</t>
  </si>
  <si>
    <t>C0176</t>
  </si>
  <si>
    <t>LN0578</t>
  </si>
  <si>
    <t>LN0579</t>
  </si>
  <si>
    <t>LN0580</t>
  </si>
  <si>
    <t>C0697</t>
  </si>
  <si>
    <t>LN0581</t>
  </si>
  <si>
    <t>LN0582</t>
  </si>
  <si>
    <t>C0099</t>
  </si>
  <si>
    <t>LN0583</t>
  </si>
  <si>
    <t>C0230</t>
  </si>
  <si>
    <t>LN0584</t>
  </si>
  <si>
    <t>LN0585</t>
  </si>
  <si>
    <t>LN0586</t>
  </si>
  <si>
    <t>LN0587</t>
  </si>
  <si>
    <t>LN0588</t>
  </si>
  <si>
    <t>LN0589</t>
  </si>
  <si>
    <t>LN0590</t>
  </si>
  <si>
    <t>LN0591</t>
  </si>
  <si>
    <t>LN0592</t>
  </si>
  <si>
    <t>C0053</t>
  </si>
  <si>
    <t>LN0593</t>
  </si>
  <si>
    <t>LN0594</t>
  </si>
  <si>
    <t>LN0595</t>
  </si>
  <si>
    <t>C0680</t>
  </si>
  <si>
    <t>LN0596</t>
  </si>
  <si>
    <t>LN0597</t>
  </si>
  <si>
    <t>LN0598</t>
  </si>
  <si>
    <t>C0442</t>
  </si>
  <si>
    <t>LN0599</t>
  </si>
  <si>
    <t>LN0600</t>
  </si>
  <si>
    <t>LN0601</t>
  </si>
  <si>
    <t>LN0602</t>
  </si>
  <si>
    <t>C0093</t>
  </si>
  <si>
    <t>LN0603</t>
  </si>
  <si>
    <t>LN0604</t>
  </si>
  <si>
    <t>LN0605</t>
  </si>
  <si>
    <t>LN0606</t>
  </si>
  <si>
    <t>C0639</t>
  </si>
  <si>
    <t>LN0607</t>
  </si>
  <si>
    <t>C0287</t>
  </si>
  <si>
    <t>LN0608</t>
  </si>
  <si>
    <t>C0605</t>
  </si>
  <si>
    <t>LN0609</t>
  </si>
  <si>
    <t>LN0610</t>
  </si>
  <si>
    <t>C0070</t>
  </si>
  <si>
    <t>LN0611</t>
  </si>
  <si>
    <t>LN0612</t>
  </si>
  <si>
    <t>LN0613</t>
  </si>
  <si>
    <t>C0412</t>
  </si>
  <si>
    <t>LN0614</t>
  </si>
  <si>
    <t>LN0615</t>
  </si>
  <si>
    <t>C0473</t>
  </si>
  <si>
    <t>LN0616</t>
  </si>
  <si>
    <t>LN0617</t>
  </si>
  <si>
    <t>LN0618</t>
  </si>
  <si>
    <t>C0601</t>
  </si>
  <si>
    <t>LN0619</t>
  </si>
  <si>
    <t>LN0620</t>
  </si>
  <si>
    <t>LN0621</t>
  </si>
  <si>
    <t>LN0622</t>
  </si>
  <si>
    <t>LN0623</t>
  </si>
  <si>
    <t>C0252</t>
  </si>
  <si>
    <t>LN0624</t>
  </si>
  <si>
    <t>C0242</t>
  </si>
  <si>
    <t>LN0625</t>
  </si>
  <si>
    <t>C0316</t>
  </si>
  <si>
    <t>LN0626</t>
  </si>
  <si>
    <t>LN0627</t>
  </si>
  <si>
    <t>LN0628</t>
  </si>
  <si>
    <t>LN0629</t>
  </si>
  <si>
    <t>C0517</t>
  </si>
  <si>
    <t>LN0630</t>
  </si>
  <si>
    <t>LN0631</t>
  </si>
  <si>
    <t>C0271</t>
  </si>
  <si>
    <t>LN0632</t>
  </si>
  <si>
    <t>LN0633</t>
  </si>
  <si>
    <t>LN0634</t>
  </si>
  <si>
    <t>C0045</t>
  </si>
  <si>
    <t>LN0635</t>
  </si>
  <si>
    <t>LN0636</t>
  </si>
  <si>
    <t>C0591</t>
  </si>
  <si>
    <t>LN0637</t>
  </si>
  <si>
    <t>C0122</t>
  </si>
  <si>
    <t>LN0638</t>
  </si>
  <si>
    <t>LN0639</t>
  </si>
  <si>
    <t>C0345</t>
  </si>
  <si>
    <t>LN0640</t>
  </si>
  <si>
    <t>LN0641</t>
  </si>
  <si>
    <t>LN0642</t>
  </si>
  <si>
    <t>C0521</t>
  </si>
  <si>
    <t>LN0643</t>
  </si>
  <si>
    <t>C0042</t>
  </si>
  <si>
    <t>LN0644</t>
  </si>
  <si>
    <t>LN0645</t>
  </si>
  <si>
    <t>C0612</t>
  </si>
  <si>
    <t>LN0646</t>
  </si>
  <si>
    <t>LN0647</t>
  </si>
  <si>
    <t>LN0648</t>
  </si>
  <si>
    <t>LN0649</t>
  </si>
  <si>
    <t>C0204</t>
  </si>
  <si>
    <t>LN0650</t>
  </si>
  <si>
    <t>LN0651</t>
  </si>
  <si>
    <t>LN0652</t>
  </si>
  <si>
    <t>LN0653</t>
  </si>
  <si>
    <t>C0423</t>
  </si>
  <si>
    <t>LN0654</t>
  </si>
  <si>
    <t>C0276</t>
  </si>
  <si>
    <t>LN0655</t>
  </si>
  <si>
    <t>LN0656</t>
  </si>
  <si>
    <t>LN0657</t>
  </si>
  <si>
    <t>LN0658</t>
  </si>
  <si>
    <t>C0588</t>
  </si>
  <si>
    <t>LN0659</t>
  </si>
  <si>
    <t>LN0660</t>
  </si>
  <si>
    <t>LN0661</t>
  </si>
  <si>
    <t>C0425</t>
  </si>
  <si>
    <t>LN0662</t>
  </si>
  <si>
    <t>LN0663</t>
  </si>
  <si>
    <t>LN0664</t>
  </si>
  <si>
    <t>LN0665</t>
  </si>
  <si>
    <t>LN0666</t>
  </si>
  <si>
    <t>LN0667</t>
  </si>
  <si>
    <t>LN0668</t>
  </si>
  <si>
    <t>LN0669</t>
  </si>
  <si>
    <t>C0329</t>
  </si>
  <si>
    <t>LN0670</t>
  </si>
  <si>
    <t>C0126</t>
  </si>
  <si>
    <t>LN0671</t>
  </si>
  <si>
    <t>LN0672</t>
  </si>
  <si>
    <t>C0043</t>
  </si>
  <si>
    <t>LN0673</t>
  </si>
  <si>
    <t>LN0674</t>
  </si>
  <si>
    <t>LN0675</t>
  </si>
  <si>
    <t>C0214</t>
  </si>
  <si>
    <t>LN0676</t>
  </si>
  <si>
    <t>C0407</t>
  </si>
  <si>
    <t>LN0677</t>
  </si>
  <si>
    <t>LN0678</t>
  </si>
  <si>
    <t>LN0679</t>
  </si>
  <si>
    <t>C0019</t>
  </si>
  <si>
    <t>LN0680</t>
  </si>
  <si>
    <t>LN0681</t>
  </si>
  <si>
    <t>LN0682</t>
  </si>
  <si>
    <t>LN0683</t>
  </si>
  <si>
    <t>LN0684</t>
  </si>
  <si>
    <t>LN0685</t>
  </si>
  <si>
    <t>C0685</t>
  </si>
  <si>
    <t>LN0686</t>
  </si>
  <si>
    <t>LN0687</t>
  </si>
  <si>
    <t>LN0688</t>
  </si>
  <si>
    <t>C0336</t>
  </si>
  <si>
    <t>LN0689</t>
  </si>
  <si>
    <t>C0101</t>
  </si>
  <si>
    <t>LN0690</t>
  </si>
  <si>
    <t>C0073</t>
  </si>
  <si>
    <t>LN0691</t>
  </si>
  <si>
    <t>C0660</t>
  </si>
  <si>
    <t>LN0692</t>
  </si>
  <si>
    <t>LN0693</t>
  </si>
  <si>
    <t>LN0694</t>
  </si>
  <si>
    <t>LN0695</t>
  </si>
  <si>
    <t>LN0696</t>
  </si>
  <si>
    <t>LN0697</t>
  </si>
  <si>
    <t>C0598</t>
  </si>
  <si>
    <t>LN0698</t>
  </si>
  <si>
    <t>LN0699</t>
  </si>
  <si>
    <t>LN0700</t>
  </si>
  <si>
    <t>LN0701</t>
  </si>
  <si>
    <t>C0369</t>
  </si>
  <si>
    <t>LN0702</t>
  </si>
  <si>
    <t>C0441</t>
  </si>
  <si>
    <t>LN0703</t>
  </si>
  <si>
    <t>LN0704</t>
  </si>
  <si>
    <t>LN0705</t>
  </si>
  <si>
    <t>LN0706</t>
  </si>
  <si>
    <t>LN0707</t>
  </si>
  <si>
    <t>C0507</t>
  </si>
  <si>
    <t>LN0708</t>
  </si>
  <si>
    <t>LN0709</t>
  </si>
  <si>
    <t>LN0710</t>
  </si>
  <si>
    <t>C0545</t>
  </si>
  <si>
    <t>LN0711</t>
  </si>
  <si>
    <t>LN0712</t>
  </si>
  <si>
    <t>C0300</t>
  </si>
  <si>
    <t>LN0713</t>
  </si>
  <si>
    <t>LN0714</t>
  </si>
  <si>
    <t>LN0715</t>
  </si>
  <si>
    <t>LN0716</t>
  </si>
  <si>
    <t>C0526</t>
  </si>
  <si>
    <t>LN0717</t>
  </si>
  <si>
    <t>C0431</t>
  </si>
  <si>
    <t>LN0718</t>
  </si>
  <si>
    <t>C0592</t>
  </si>
  <si>
    <t>LN0719</t>
  </si>
  <si>
    <t>LN0720</t>
  </si>
  <si>
    <t>C0017</t>
  </si>
  <si>
    <t>LN0721</t>
  </si>
  <si>
    <t>C0414</t>
  </si>
  <si>
    <t>LN0722</t>
  </si>
  <si>
    <t>LN0723</t>
  </si>
  <si>
    <t>C0392</t>
  </si>
  <si>
    <t>LN0724</t>
  </si>
  <si>
    <t>LN0725</t>
  </si>
  <si>
    <t>C0177</t>
  </si>
  <si>
    <t>LN0726</t>
  </si>
  <si>
    <t>LN0727</t>
  </si>
  <si>
    <t>LN0728</t>
  </si>
  <si>
    <t>C0235</t>
  </si>
  <si>
    <t>LN0729</t>
  </si>
  <si>
    <t>C0021</t>
  </si>
  <si>
    <t>LN0730</t>
  </si>
  <si>
    <t>C0691</t>
  </si>
  <si>
    <t>LN0731</t>
  </si>
  <si>
    <t>LN0732</t>
  </si>
  <si>
    <t>LN0733</t>
  </si>
  <si>
    <t>C0090</t>
  </si>
  <si>
    <t>LN0734</t>
  </si>
  <si>
    <t>LN0735</t>
  </si>
  <si>
    <t>LN0736</t>
  </si>
  <si>
    <t>LN0737</t>
  </si>
  <si>
    <t>C0255</t>
  </si>
  <si>
    <t>LN0738</t>
  </si>
  <si>
    <t>C0188</t>
  </si>
  <si>
    <t>LN0739</t>
  </si>
  <si>
    <t>LN0740</t>
  </si>
  <si>
    <t>C0349</t>
  </si>
  <si>
    <t>LN0741</t>
  </si>
  <si>
    <t>LN0742</t>
  </si>
  <si>
    <t>C0170</t>
  </si>
  <si>
    <t>LN0743</t>
  </si>
  <si>
    <t>LN0744</t>
  </si>
  <si>
    <t>C0379</t>
  </si>
  <si>
    <t>LN0745</t>
  </si>
  <si>
    <t>C0547</t>
  </si>
  <si>
    <t>LN0746</t>
  </si>
  <si>
    <t>C0371</t>
  </si>
  <si>
    <t>LN0747</t>
  </si>
  <si>
    <t>LN0748</t>
  </si>
  <si>
    <t>C0607</t>
  </si>
  <si>
    <t>LN0749</t>
  </si>
  <si>
    <t>LN0750</t>
  </si>
  <si>
    <t>C0567</t>
  </si>
  <si>
    <t>LN0751</t>
  </si>
  <si>
    <t>C0448</t>
  </si>
  <si>
    <t>LN0752</t>
  </si>
  <si>
    <t>LN0753</t>
  </si>
  <si>
    <t>C0541</t>
  </si>
  <si>
    <t>LN0754</t>
  </si>
  <si>
    <t>LN0755</t>
  </si>
  <si>
    <t>LN0756</t>
  </si>
  <si>
    <t>LN0757</t>
  </si>
  <si>
    <t>LN0758</t>
  </si>
  <si>
    <t>C0681</t>
  </si>
  <si>
    <t>LN0759</t>
  </si>
  <si>
    <t>C0626</t>
  </si>
  <si>
    <t>LN0760</t>
  </si>
  <si>
    <t>C0559</t>
  </si>
  <si>
    <t>LN0761</t>
  </si>
  <si>
    <t>C0498</t>
  </si>
  <si>
    <t>LN0762</t>
  </si>
  <si>
    <t>LN0763</t>
  </si>
  <si>
    <t>LN0764</t>
  </si>
  <si>
    <t>C0693</t>
  </si>
  <si>
    <t>LN0765</t>
  </si>
  <si>
    <t>LN0766</t>
  </si>
  <si>
    <t>LN0767</t>
  </si>
  <si>
    <t>C0667</t>
  </si>
  <si>
    <t>LN0768</t>
  </si>
  <si>
    <t>LN0769</t>
  </si>
  <si>
    <t>C0368</t>
  </si>
  <si>
    <t>LN0770</t>
  </si>
  <si>
    <t>LN0771</t>
  </si>
  <si>
    <t>LN0772</t>
  </si>
  <si>
    <t>LN0773</t>
  </si>
  <si>
    <t>LN0774</t>
  </si>
  <si>
    <t>C0258</t>
  </si>
  <si>
    <t>LN0775</t>
  </si>
  <si>
    <t>C0080</t>
  </si>
  <si>
    <t>LN0776</t>
  </si>
  <si>
    <t>LN0777</t>
  </si>
  <si>
    <t>C0625</t>
  </si>
  <si>
    <t>LN0778</t>
  </si>
  <si>
    <t>LN0779</t>
  </si>
  <si>
    <t>C0382</t>
  </si>
  <si>
    <t>LN0780</t>
  </si>
  <si>
    <t>C0348</t>
  </si>
  <si>
    <t>LN0781</t>
  </si>
  <si>
    <t>LN0782</t>
  </si>
  <si>
    <t>LN0783</t>
  </si>
  <si>
    <t>LN0784</t>
  </si>
  <si>
    <t>C0036</t>
  </si>
  <si>
    <t>LN0785</t>
  </si>
  <si>
    <t>C0415</t>
  </si>
  <si>
    <t>LN0786</t>
  </si>
  <si>
    <t>C0560</t>
  </si>
  <si>
    <t>LN0787</t>
  </si>
  <si>
    <t>LN0788</t>
  </si>
  <si>
    <t>C0629</t>
  </si>
  <si>
    <t>LN0789</t>
  </si>
  <si>
    <t>LN0790</t>
  </si>
  <si>
    <t>C0454</t>
  </si>
  <si>
    <t>LN0791</t>
  </si>
  <si>
    <t>LN0792</t>
  </si>
  <si>
    <t>C0091</t>
  </si>
  <si>
    <t>LN0793</t>
  </si>
  <si>
    <t>C0038</t>
  </si>
  <si>
    <t>LN0794</t>
  </si>
  <si>
    <t>LN0795</t>
  </si>
  <si>
    <t>LN0796</t>
  </si>
  <si>
    <t>LN0797</t>
  </si>
  <si>
    <t>LN0798</t>
  </si>
  <si>
    <t>LN0799</t>
  </si>
  <si>
    <t>LN0800</t>
  </si>
  <si>
    <t>C0280</t>
  </si>
  <si>
    <t>LN0801</t>
  </si>
  <si>
    <t>LN0802</t>
  </si>
  <si>
    <t>C0388</t>
  </si>
  <si>
    <t>LN0803</t>
  </si>
  <si>
    <t>C0058</t>
  </si>
  <si>
    <t>LN0804</t>
  </si>
  <si>
    <t>LN0805</t>
  </si>
  <si>
    <t>LN0806</t>
  </si>
  <si>
    <t>LN0807</t>
  </si>
  <si>
    <t>LN0808</t>
  </si>
  <si>
    <t>LN0809</t>
  </si>
  <si>
    <t>LN0810</t>
  </si>
  <si>
    <t>LN0811</t>
  </si>
  <si>
    <t>C0226</t>
  </si>
  <si>
    <t>LN0812</t>
  </si>
  <si>
    <t>LN0813</t>
  </si>
  <si>
    <t>LN0814</t>
  </si>
  <si>
    <t>C0380</t>
  </si>
  <si>
    <t>LN0815</t>
  </si>
  <si>
    <t>LN0816</t>
  </si>
  <si>
    <t>LN0817</t>
  </si>
  <si>
    <t>C0324</t>
  </si>
  <si>
    <t>LN0818</t>
  </si>
  <si>
    <t>C0397</t>
  </si>
  <si>
    <t>LN0819</t>
  </si>
  <si>
    <t>LN0820</t>
  </si>
  <si>
    <t>LN0821</t>
  </si>
  <si>
    <t>LN0822</t>
  </si>
  <si>
    <t>LN0823</t>
  </si>
  <si>
    <t>LN0824</t>
  </si>
  <si>
    <t>LN0825</t>
  </si>
  <si>
    <t>LN0826</t>
  </si>
  <si>
    <t>C0244</t>
  </si>
  <si>
    <t>LN0827</t>
  </si>
  <si>
    <t>LN0828</t>
  </si>
  <si>
    <t>C0067</t>
  </si>
  <si>
    <t>LN0829</t>
  </si>
  <si>
    <t>LN0830</t>
  </si>
  <si>
    <t>LN0831</t>
  </si>
  <si>
    <t>LN0832</t>
  </si>
  <si>
    <t>LN0833</t>
  </si>
  <si>
    <t>LN0834</t>
  </si>
  <si>
    <t>C0281</t>
  </si>
  <si>
    <t>LN0835</t>
  </si>
  <si>
    <t>LN0836</t>
  </si>
  <si>
    <t>C0285</t>
  </si>
  <si>
    <t>LN0837</t>
  </si>
  <si>
    <t>LN0838</t>
  </si>
  <si>
    <t>LN0839</t>
  </si>
  <si>
    <t>LN0840</t>
  </si>
  <si>
    <t>C0546</t>
  </si>
  <si>
    <t>LN0841</t>
  </si>
  <si>
    <t>LN0842</t>
  </si>
  <si>
    <t>LN0843</t>
  </si>
  <si>
    <t>LN0844</t>
  </si>
  <si>
    <t>LN0845</t>
  </si>
  <si>
    <t>C0635</t>
  </si>
  <si>
    <t>LN0846</t>
  </si>
  <si>
    <t>LN0847</t>
  </si>
  <si>
    <t>C0335</t>
  </si>
  <si>
    <t>LN0848</t>
  </si>
  <si>
    <t>LN0849</t>
  </si>
  <si>
    <t>LN0850</t>
  </si>
  <si>
    <t>C0118</t>
  </si>
  <si>
    <t>LN0851</t>
  </si>
  <si>
    <t>LN0852</t>
  </si>
  <si>
    <t>C0081</t>
  </si>
  <si>
    <t>LN0853</t>
  </si>
  <si>
    <t>LN0854</t>
  </si>
  <si>
    <t>LN0855</t>
  </si>
  <si>
    <t>C0406</t>
  </si>
  <si>
    <t>LN0856</t>
  </si>
  <si>
    <t>LN0857</t>
  </si>
  <si>
    <t>LN0858</t>
  </si>
  <si>
    <t>LN0859</t>
  </si>
  <si>
    <t>LN0860</t>
  </si>
  <si>
    <t>LN0861</t>
  </si>
  <si>
    <t>C0332</t>
  </si>
  <si>
    <t>LN0862</t>
  </si>
  <si>
    <t>LN0863</t>
  </si>
  <si>
    <t>C0410</t>
  </si>
  <si>
    <t>LN0864</t>
  </si>
  <si>
    <t>LN0865</t>
  </si>
  <si>
    <t>LN0866</t>
  </si>
  <si>
    <t>C0401</t>
  </si>
  <si>
    <t>LN0867</t>
  </si>
  <si>
    <t>C0354</t>
  </si>
  <si>
    <t>LN0868</t>
  </si>
  <si>
    <t>LN0869</t>
  </si>
  <si>
    <t>C0451</t>
  </si>
  <si>
    <t>LN0870</t>
  </si>
  <si>
    <t>LN0871</t>
  </si>
  <si>
    <t>LN0872</t>
  </si>
  <si>
    <t>LN0873</t>
  </si>
  <si>
    <t>C0290</t>
  </si>
  <si>
    <t>LN0874</t>
  </si>
  <si>
    <t>C0319</t>
  </si>
  <si>
    <t>LN0875</t>
  </si>
  <si>
    <t>C0272</t>
  </si>
  <si>
    <t>LN0876</t>
  </si>
  <si>
    <t>C0509</t>
  </si>
  <si>
    <t>LN0877</t>
  </si>
  <si>
    <t>LN0878</t>
  </si>
  <si>
    <t>LN0879</t>
  </si>
  <si>
    <t>LN0880</t>
  </si>
  <si>
    <t>LN0881</t>
  </si>
  <si>
    <t>LN0882</t>
  </si>
  <si>
    <t>LN0883</t>
  </si>
  <si>
    <t>LN0884</t>
  </si>
  <si>
    <t>LN0885</t>
  </si>
  <si>
    <t>LN0886</t>
  </si>
  <si>
    <t>LN0887</t>
  </si>
  <si>
    <t>LN0888</t>
  </si>
  <si>
    <t>LN0889</t>
  </si>
  <si>
    <t>C0262</t>
  </si>
  <si>
    <t>LN0890</t>
  </si>
  <si>
    <t>LN0891</t>
  </si>
  <si>
    <t>LN0892</t>
  </si>
  <si>
    <t>LN0893</t>
  </si>
  <si>
    <t>LN0894</t>
  </si>
  <si>
    <t>LN0895</t>
  </si>
  <si>
    <t>C0103</t>
  </si>
  <si>
    <t>LN0896</t>
  </si>
  <si>
    <t>C0220</t>
  </si>
  <si>
    <t>LN0897</t>
  </si>
  <si>
    <t>LN0898</t>
  </si>
  <si>
    <t>LN0899</t>
  </si>
  <si>
    <t>LN0900</t>
  </si>
  <si>
    <t>LN0901</t>
  </si>
  <si>
    <t>LN0902</t>
  </si>
  <si>
    <t>LN0903</t>
  </si>
  <si>
    <t>LN0904</t>
  </si>
  <si>
    <t>LN0905</t>
  </si>
  <si>
    <t>C0692</t>
  </si>
  <si>
    <t>LN0906</t>
  </si>
  <si>
    <t>LN0907</t>
  </si>
  <si>
    <t>LN0908</t>
  </si>
  <si>
    <t>C0552</t>
  </si>
  <si>
    <t>LN0909</t>
  </si>
  <si>
    <t>LN0910</t>
  </si>
  <si>
    <t>C0424</t>
  </si>
  <si>
    <t>LN0911</t>
  </si>
  <si>
    <t>LN0912</t>
  </si>
  <si>
    <t>LN0913</t>
  </si>
  <si>
    <t>C0265</t>
  </si>
  <si>
    <t>LN0914</t>
  </si>
  <si>
    <t>LN0915</t>
  </si>
  <si>
    <t>C0576</t>
  </si>
  <si>
    <t>LN0916</t>
  </si>
  <si>
    <t>LN0917</t>
  </si>
  <si>
    <t>C0513</t>
  </si>
  <si>
    <t>LN0918</t>
  </si>
  <si>
    <t>C0151</t>
  </si>
  <si>
    <t>LN0919</t>
  </si>
  <si>
    <t>LN0920</t>
  </si>
  <si>
    <t>LN0921</t>
  </si>
  <si>
    <t>LN0922</t>
  </si>
  <si>
    <t>LN0923</t>
  </si>
  <si>
    <t>C0530</t>
  </si>
  <si>
    <t>LN0924</t>
  </si>
  <si>
    <t>LN0925</t>
  </si>
  <si>
    <t>C0572</t>
  </si>
  <si>
    <t>LN0926</t>
  </si>
  <si>
    <t>LN0927</t>
  </si>
  <si>
    <t>LN0928</t>
  </si>
  <si>
    <t>C0433</t>
  </si>
  <si>
    <t>LN0929</t>
  </si>
  <si>
    <t>LN0930</t>
  </si>
  <si>
    <t>C0138</t>
  </si>
  <si>
    <t>LN0931</t>
  </si>
  <si>
    <t>LN0932</t>
  </si>
  <si>
    <t>LN0933</t>
  </si>
  <si>
    <t>C0139</t>
  </si>
  <si>
    <t>LN0934</t>
  </si>
  <si>
    <t>LN0935</t>
  </si>
  <si>
    <t>LN0936</t>
  </si>
  <si>
    <t>LN0937</t>
  </si>
  <si>
    <t>LN0938</t>
  </si>
  <si>
    <t>C0452</t>
  </si>
  <si>
    <t>LN0939</t>
  </si>
  <si>
    <t>LN0940</t>
  </si>
  <si>
    <t>LN0941</t>
  </si>
  <si>
    <t>LN0942</t>
  </si>
  <si>
    <t>LN0943</t>
  </si>
  <si>
    <t>C0056</t>
  </si>
  <si>
    <t>LN0944</t>
  </si>
  <si>
    <t>LN0945</t>
  </si>
  <si>
    <t>LN0946</t>
  </si>
  <si>
    <t>LN0947</t>
  </si>
  <si>
    <t>LN0948</t>
  </si>
  <si>
    <t>C0018</t>
  </si>
  <si>
    <t>LN0949</t>
  </si>
  <si>
    <t>C0003</t>
  </si>
  <si>
    <t>LN0950</t>
  </si>
  <si>
    <t>LN0951</t>
  </si>
  <si>
    <t>LN0952</t>
  </si>
  <si>
    <t>LN0953</t>
  </si>
  <si>
    <t>LN0954</t>
  </si>
  <si>
    <t>LN0955</t>
  </si>
  <si>
    <t>C0031</t>
  </si>
  <si>
    <t>LN0956</t>
  </si>
  <si>
    <t>LN0957</t>
  </si>
  <si>
    <t>LN0958</t>
  </si>
  <si>
    <t>LN0959</t>
  </si>
  <si>
    <t>LN0960</t>
  </si>
  <si>
    <t>LN0961</t>
  </si>
  <si>
    <t>LN0962</t>
  </si>
  <si>
    <t>LN0963</t>
  </si>
  <si>
    <t>C0582</t>
  </si>
  <si>
    <t>LN0964</t>
  </si>
  <si>
    <t>LN0965</t>
  </si>
  <si>
    <t>LN0966</t>
  </si>
  <si>
    <t>C0251</t>
  </si>
  <si>
    <t>LN0967</t>
  </si>
  <si>
    <t>LN0968</t>
  </si>
  <si>
    <t>LN0969</t>
  </si>
  <si>
    <t>LN0970</t>
  </si>
  <si>
    <t>LN0971</t>
  </si>
  <si>
    <t>LN0972</t>
  </si>
  <si>
    <t>LN0973</t>
  </si>
  <si>
    <t>LN0974</t>
  </si>
  <si>
    <t>C0500</t>
  </si>
  <si>
    <t>LN0975</t>
  </si>
  <si>
    <t>LN0976</t>
  </si>
  <si>
    <t>LN0977</t>
  </si>
  <si>
    <t>LN0978</t>
  </si>
  <si>
    <t>LN0979</t>
  </si>
  <si>
    <t>C0026</t>
  </si>
  <si>
    <t>LN0980</t>
  </si>
  <si>
    <t>LN0981</t>
  </si>
  <si>
    <t>LN0982</t>
  </si>
  <si>
    <t>LN0983</t>
  </si>
  <si>
    <t>LN0984</t>
  </si>
  <si>
    <t>LN0985</t>
  </si>
  <si>
    <t>LN0986</t>
  </si>
  <si>
    <t>LN0987</t>
  </si>
  <si>
    <t>LN0988</t>
  </si>
  <si>
    <t>LN0989</t>
  </si>
  <si>
    <t>C0296</t>
  </si>
  <si>
    <t>LN0990</t>
  </si>
  <si>
    <t>LN0991</t>
  </si>
  <si>
    <t>C0688</t>
  </si>
  <si>
    <t>LN0992</t>
  </si>
  <si>
    <t>LN0993</t>
  </si>
  <si>
    <t>LN0994</t>
  </si>
  <si>
    <t>C0330</t>
  </si>
  <si>
    <t>LN0995</t>
  </si>
  <si>
    <t>LN0996</t>
  </si>
  <si>
    <t>LN0997</t>
  </si>
  <si>
    <t>LN0998</t>
  </si>
  <si>
    <t>LN0999</t>
  </si>
  <si>
    <t>LN1000</t>
  </si>
  <si>
    <t>LN1001</t>
  </si>
  <si>
    <t>LN1002</t>
  </si>
  <si>
    <t>LN1003</t>
  </si>
  <si>
    <t>LN1004</t>
  </si>
  <si>
    <t>LN1005</t>
  </si>
  <si>
    <t>C0030</t>
  </si>
  <si>
    <t>LN1006</t>
  </si>
  <si>
    <t>LN1007</t>
  </si>
  <si>
    <t>LN1008</t>
  </si>
  <si>
    <t>C0154</t>
  </si>
  <si>
    <t>LN1009</t>
  </si>
  <si>
    <t>LN1010</t>
  </si>
  <si>
    <t>LN1011</t>
  </si>
  <si>
    <t>LN1012</t>
  </si>
  <si>
    <t>LN1013</t>
  </si>
  <si>
    <t>LN1014</t>
  </si>
  <si>
    <t>LN1015</t>
  </si>
  <si>
    <t>LN1016</t>
  </si>
  <si>
    <t>LN1017</t>
  </si>
  <si>
    <t>LN1018</t>
  </si>
  <si>
    <t>LN1019</t>
  </si>
  <si>
    <t>C0623</t>
  </si>
  <si>
    <t>LN1020</t>
  </si>
  <si>
    <t>C0670</t>
  </si>
  <si>
    <t>LN1021</t>
  </si>
  <si>
    <t>LN1022</t>
  </si>
  <si>
    <t>LN1023</t>
  </si>
  <si>
    <t>C0191</t>
  </si>
  <si>
    <t>LN1024</t>
  </si>
  <si>
    <t>LN1025</t>
  </si>
  <si>
    <t>LN1026</t>
  </si>
  <si>
    <t>C0128</t>
  </si>
  <si>
    <t>LN1027</t>
  </si>
  <si>
    <t>LN1028</t>
  </si>
  <si>
    <t>LN1029</t>
  </si>
  <si>
    <t>LN1030</t>
  </si>
  <si>
    <t>LN1031</t>
  </si>
  <si>
    <t>LN1032</t>
  </si>
  <si>
    <t>LN1033</t>
  </si>
  <si>
    <t>LN1034</t>
  </si>
  <si>
    <t>LN1035</t>
  </si>
  <si>
    <t>LN1036</t>
  </si>
  <si>
    <t>LN1037</t>
  </si>
  <si>
    <t>LN1038</t>
  </si>
  <si>
    <t>LN1039</t>
  </si>
  <si>
    <t>LN1040</t>
  </si>
  <si>
    <t>LN1041</t>
  </si>
  <si>
    <t>LN1042</t>
  </si>
  <si>
    <t>LN1043</t>
  </si>
  <si>
    <t>LN1044</t>
  </si>
  <si>
    <t>C0250</t>
  </si>
  <si>
    <t>LN1045</t>
  </si>
  <si>
    <t>C0197</t>
  </si>
  <si>
    <t>LN1046</t>
  </si>
  <si>
    <t>C0556</t>
  </si>
  <si>
    <t>LN1047</t>
  </si>
  <si>
    <t>LN1048</t>
  </si>
  <si>
    <t>LN1049</t>
  </si>
  <si>
    <t>LN1050</t>
  </si>
  <si>
    <t>LN1051</t>
  </si>
  <si>
    <t>LN1052</t>
  </si>
  <si>
    <t>C0216</t>
  </si>
  <si>
    <t>LN1053</t>
  </si>
  <si>
    <t>LN1054</t>
  </si>
  <si>
    <t>C0283</t>
  </si>
  <si>
    <t>LN1055</t>
  </si>
  <si>
    <t>C0247</t>
  </si>
  <si>
    <t>LN1056</t>
  </si>
  <si>
    <t>LN1057</t>
  </si>
  <si>
    <t>LN1058</t>
  </si>
  <si>
    <t>LN1059</t>
  </si>
  <si>
    <t>LN1060</t>
  </si>
  <si>
    <t>LN1061</t>
  </si>
  <si>
    <t>LN1062</t>
  </si>
  <si>
    <t>LN1063</t>
  </si>
  <si>
    <t>LN1064</t>
  </si>
  <si>
    <t>LN1065</t>
  </si>
  <si>
    <t>LN1066</t>
  </si>
  <si>
    <t>LN1067</t>
  </si>
  <si>
    <t>LN1068</t>
  </si>
  <si>
    <t>LN1069</t>
  </si>
  <si>
    <t>LN1070</t>
  </si>
  <si>
    <t>LN1071</t>
  </si>
  <si>
    <t>C0194</t>
  </si>
  <si>
    <t>LN1072</t>
  </si>
  <si>
    <t>C0456</t>
  </si>
  <si>
    <t>LN1073</t>
  </si>
  <si>
    <t>LN1074</t>
  </si>
  <si>
    <t>LN1075</t>
  </si>
  <si>
    <t>LN1076</t>
  </si>
  <si>
    <t>LN1077</t>
  </si>
  <si>
    <t>LN1078</t>
  </si>
  <si>
    <t>C0404</t>
  </si>
  <si>
    <t>LN1079</t>
  </si>
  <si>
    <t>LN1080</t>
  </si>
  <si>
    <t>LN1081</t>
  </si>
  <si>
    <t>C0134</t>
  </si>
  <si>
    <t>LN1082</t>
  </si>
  <si>
    <t>LN1083</t>
  </si>
  <si>
    <t>LN1084</t>
  </si>
  <si>
    <t>LN1085</t>
  </si>
  <si>
    <t>LN1086</t>
  </si>
  <si>
    <t>LN1087</t>
  </si>
  <si>
    <t>C0589</t>
  </si>
  <si>
    <t>LN1088</t>
  </si>
  <si>
    <t>LN1089</t>
  </si>
  <si>
    <t>LN1090</t>
  </si>
  <si>
    <t>LN1091</t>
  </si>
  <si>
    <t>LN1092</t>
  </si>
  <si>
    <t>LN1093</t>
  </si>
  <si>
    <t>LN1094</t>
  </si>
  <si>
    <t>LN1095</t>
  </si>
  <si>
    <t>LN1096</t>
  </si>
  <si>
    <t>LN1097</t>
  </si>
  <si>
    <t>LN1098</t>
  </si>
  <si>
    <t>LN1099</t>
  </si>
  <si>
    <t>LN1100</t>
  </si>
  <si>
    <t>C0211</t>
  </si>
  <si>
    <t>LN1101</t>
  </si>
  <si>
    <t>C0186</t>
  </si>
  <si>
    <t>LN1102</t>
  </si>
  <si>
    <t>LN1103</t>
  </si>
  <si>
    <t>LN1104</t>
  </si>
  <si>
    <t>C0339</t>
  </si>
  <si>
    <t>LN1105</t>
  </si>
  <si>
    <t>LN1106</t>
  </si>
  <si>
    <t>LN1107</t>
  </si>
  <si>
    <t>LN1108</t>
  </si>
  <si>
    <t>LN1109</t>
  </si>
  <si>
    <t>LN1110</t>
  </si>
  <si>
    <t>LN1111</t>
  </si>
  <si>
    <t>LN1112</t>
  </si>
  <si>
    <t>LN1113</t>
  </si>
  <si>
    <t>LN1114</t>
  </si>
  <si>
    <t>LN1115</t>
  </si>
  <si>
    <t>LN1116</t>
  </si>
  <si>
    <t>C0673</t>
  </si>
  <si>
    <t>LN1117</t>
  </si>
  <si>
    <t>LN1118</t>
  </si>
  <si>
    <t>LN1119</t>
  </si>
  <si>
    <t>C0229</t>
  </si>
  <si>
    <t>LN1120</t>
  </si>
  <si>
    <t>C0200</t>
  </si>
  <si>
    <t>LN1121</t>
  </si>
  <si>
    <t>C0113</t>
  </si>
  <si>
    <t>LN1122</t>
  </si>
  <si>
    <t>LN1123</t>
  </si>
  <si>
    <t>LN1124</t>
  </si>
  <si>
    <t>LN1125</t>
  </si>
  <si>
    <t>LN1126</t>
  </si>
  <si>
    <t>C0020</t>
  </si>
  <si>
    <t>LN1127</t>
  </si>
  <si>
    <t>LN1128</t>
  </si>
  <si>
    <t>LN1129</t>
  </si>
  <si>
    <t>LN1130</t>
  </si>
  <si>
    <t>C0102</t>
  </si>
  <si>
    <t>LN1131</t>
  </si>
  <si>
    <t>LN1132</t>
  </si>
  <si>
    <t>LN1133</t>
  </si>
  <si>
    <t>LN1134</t>
  </si>
  <si>
    <t>LN1135</t>
  </si>
  <si>
    <t>LN1136</t>
  </si>
  <si>
    <t>C0616</t>
  </si>
  <si>
    <t>LN1137</t>
  </si>
  <si>
    <t>LN1138</t>
  </si>
  <si>
    <t>LN1139</t>
  </si>
  <si>
    <t>LN1140</t>
  </si>
  <si>
    <t>LN1141</t>
  </si>
  <si>
    <t>LN1142</t>
  </si>
  <si>
    <t>LN1143</t>
  </si>
  <si>
    <t>LN1144</t>
  </si>
  <si>
    <t>LN1145</t>
  </si>
  <si>
    <t>LN1146</t>
  </si>
  <si>
    <t>LN1147</t>
  </si>
  <si>
    <t>LN1148</t>
  </si>
  <si>
    <t>LN1149</t>
  </si>
  <si>
    <t>LN1150</t>
  </si>
  <si>
    <t>LN1151</t>
  </si>
  <si>
    <t>C0351</t>
  </si>
  <si>
    <t>LN1152</t>
  </si>
  <si>
    <t>LN1153</t>
  </si>
  <si>
    <t>C0505</t>
  </si>
  <si>
    <t>LN1154</t>
  </si>
  <si>
    <t>LN1155</t>
  </si>
  <si>
    <t>LN1156</t>
  </si>
  <si>
    <t>LN1157</t>
  </si>
  <si>
    <t>LN1158</t>
  </si>
  <si>
    <t>LN1159</t>
  </si>
  <si>
    <t>C0353</t>
  </si>
  <si>
    <t>LN1160</t>
  </si>
  <si>
    <t>LN1161</t>
  </si>
  <si>
    <t>LN1162</t>
  </si>
  <si>
    <t>LN1163</t>
  </si>
  <si>
    <t>LN1164</t>
  </si>
  <si>
    <t>LN1165</t>
  </si>
  <si>
    <t>LN1166</t>
  </si>
  <si>
    <t>C0079</t>
  </si>
  <si>
    <t>LN1167</t>
  </si>
  <si>
    <t>LN1168</t>
  </si>
  <si>
    <t>LN1169</t>
  </si>
  <si>
    <t>LN1170</t>
  </si>
  <si>
    <t>LN1171</t>
  </si>
  <si>
    <t>LN1172</t>
  </si>
  <si>
    <t>C0084</t>
  </si>
  <si>
    <t>LN1173</t>
  </si>
  <si>
    <t>LN1174</t>
  </si>
  <si>
    <t>C0474</t>
  </si>
  <si>
    <t>LN1175</t>
  </si>
  <si>
    <t>LN1176</t>
  </si>
  <si>
    <t>LN1177</t>
  </si>
  <si>
    <t>C0295</t>
  </si>
  <si>
    <t>LN1178</t>
  </si>
  <si>
    <t>LN1179</t>
  </si>
  <si>
    <t>LN1180</t>
  </si>
  <si>
    <t>LN1181</t>
  </si>
  <si>
    <t>LN1182</t>
  </si>
  <si>
    <t>LN1183</t>
  </si>
  <si>
    <t>LN1184</t>
  </si>
  <si>
    <t>LN1185</t>
  </si>
  <si>
    <t>LN1186</t>
  </si>
  <si>
    <t>LN1187</t>
  </si>
  <si>
    <t>LN1188</t>
  </si>
  <si>
    <t>LN1189</t>
  </si>
  <si>
    <t>LN1190</t>
  </si>
  <si>
    <t>LN1191</t>
  </si>
  <si>
    <t>LN1192</t>
  </si>
  <si>
    <t>LN1193</t>
  </si>
  <si>
    <t>LN1194</t>
  </si>
  <si>
    <t>LN1195</t>
  </si>
  <si>
    <t>C0464</t>
  </si>
  <si>
    <t>LN1196</t>
  </si>
  <si>
    <t>LN1197</t>
  </si>
  <si>
    <t>LN1198</t>
  </si>
  <si>
    <t>LN1199</t>
  </si>
  <si>
    <t>LN1200</t>
  </si>
  <si>
    <t>LN1201</t>
  </si>
  <si>
    <t>LN1202</t>
  </si>
  <si>
    <t>LN1203</t>
  </si>
  <si>
    <t>LN1204</t>
  </si>
  <si>
    <t>LN1205</t>
  </si>
  <si>
    <t>LN1206</t>
  </si>
  <si>
    <t>LN1207</t>
  </si>
  <si>
    <t>LN1208</t>
  </si>
  <si>
    <t>LN1209</t>
  </si>
  <si>
    <t>LN1210</t>
  </si>
  <si>
    <t>LN1211</t>
  </si>
  <si>
    <t>LN1212</t>
  </si>
  <si>
    <t>LN1213</t>
  </si>
  <si>
    <t>LN1214</t>
  </si>
  <si>
    <t>LN1215</t>
  </si>
  <si>
    <t>LN1216</t>
  </si>
  <si>
    <t>LN1217</t>
  </si>
  <si>
    <t>C0402</t>
  </si>
  <si>
    <t>LN1218</t>
  </si>
  <si>
    <t>LN1219</t>
  </si>
  <si>
    <t>LN1220</t>
  </si>
  <si>
    <t>LN1221</t>
  </si>
  <si>
    <t>LN1222</t>
  </si>
  <si>
    <t>LN1223</t>
  </si>
  <si>
    <t>LN1224</t>
  </si>
  <si>
    <t>LN1225</t>
  </si>
  <si>
    <t>LN1226</t>
  </si>
  <si>
    <t>C0331</t>
  </si>
  <si>
    <t>LN1227</t>
  </si>
  <si>
    <t>LN1228</t>
  </si>
  <si>
    <t>C0108</t>
  </si>
  <si>
    <t>LN1229</t>
  </si>
  <si>
    <t>LN1230</t>
  </si>
  <si>
    <t>LN1231</t>
  </si>
  <si>
    <t>LN1232</t>
  </si>
  <si>
    <t>LN1233</t>
  </si>
  <si>
    <t>LN1234</t>
  </si>
  <si>
    <t>LN1235</t>
  </si>
  <si>
    <t>LN1236</t>
  </si>
  <si>
    <t>C0078</t>
  </si>
  <si>
    <t>LN1237</t>
  </si>
  <si>
    <t>LN1238</t>
  </si>
  <si>
    <t>C0608</t>
  </si>
  <si>
    <t>LN1239</t>
  </si>
  <si>
    <t>LN1240</t>
  </si>
  <si>
    <t>LN1241</t>
  </si>
  <si>
    <t>LN1242</t>
  </si>
  <si>
    <t>C0604</t>
  </si>
  <si>
    <t>LN1243</t>
  </si>
  <si>
    <t>LN1244</t>
  </si>
  <si>
    <t>C0144</t>
  </si>
  <si>
    <t>LN1245</t>
  </si>
  <si>
    <t>LN1246</t>
  </si>
  <si>
    <t>LN1247</t>
  </si>
  <si>
    <t>C0579</t>
  </si>
  <si>
    <t>LN1248</t>
  </si>
  <si>
    <t>C0174</t>
  </si>
  <si>
    <t>LN1249</t>
  </si>
  <si>
    <t>LN1250</t>
  </si>
  <si>
    <t>LN1251</t>
  </si>
  <si>
    <t>C0307</t>
  </si>
  <si>
    <t>LN1252</t>
  </si>
  <si>
    <t>LN1253</t>
  </si>
  <si>
    <t>C0173</t>
  </si>
  <si>
    <t>LN1254</t>
  </si>
  <si>
    <t>LN1255</t>
  </si>
  <si>
    <t>LN1256</t>
  </si>
  <si>
    <t>LN1257</t>
  </si>
  <si>
    <t>LN1258</t>
  </si>
  <si>
    <t>C0527</t>
  </si>
  <si>
    <t>LN1259</t>
  </si>
  <si>
    <t>LN1260</t>
  </si>
  <si>
    <t>LN1261</t>
  </si>
  <si>
    <t>LN1262</t>
  </si>
  <si>
    <t>LN1263</t>
  </si>
  <si>
    <t>LN1264</t>
  </si>
  <si>
    <t>LN1265</t>
  </si>
  <si>
    <t>LN1266</t>
  </si>
  <si>
    <t>C0156</t>
  </si>
  <si>
    <t>LN1267</t>
  </si>
  <si>
    <t>LN1268</t>
  </si>
  <si>
    <t>LN1269</t>
  </si>
  <si>
    <t>LN1270</t>
  </si>
  <si>
    <t>LN1271</t>
  </si>
  <si>
    <t>LN1272</t>
  </si>
  <si>
    <t>LN1273</t>
  </si>
  <si>
    <t>LN1274</t>
  </si>
  <si>
    <t>LN1275</t>
  </si>
  <si>
    <t>C0202</t>
  </si>
  <si>
    <t>LN1276</t>
  </si>
  <si>
    <t>LN1277</t>
  </si>
  <si>
    <t>C0089</t>
  </si>
  <si>
    <t>LN1278</t>
  </si>
  <si>
    <t>LN1279</t>
  </si>
  <si>
    <t>LN1280</t>
  </si>
  <si>
    <t>LN1281</t>
  </si>
  <si>
    <t>C0405</t>
  </si>
  <si>
    <t>LN1282</t>
  </si>
  <si>
    <t>LN1283</t>
  </si>
  <si>
    <t>LN1284</t>
  </si>
  <si>
    <t>LN1285</t>
  </si>
  <si>
    <t>LN1286</t>
  </si>
  <si>
    <t>LN1287</t>
  </si>
  <si>
    <t>C0033</t>
  </si>
  <si>
    <t>LN1288</t>
  </si>
  <si>
    <t>LN1289</t>
  </si>
  <si>
    <t>C0105</t>
  </si>
  <si>
    <t>LN1290</t>
  </si>
  <si>
    <t>C0203</t>
  </si>
  <si>
    <t>LN1291</t>
  </si>
  <si>
    <t>LN1292</t>
  </si>
  <si>
    <t>LN1293</t>
  </si>
  <si>
    <t>LN1294</t>
  </si>
  <si>
    <t>LN1295</t>
  </si>
  <si>
    <t>LN1296</t>
  </si>
  <si>
    <t>LN1297</t>
  </si>
  <si>
    <t>LN1298</t>
  </si>
  <si>
    <t>LN1299</t>
  </si>
  <si>
    <t>LN1300</t>
  </si>
  <si>
    <t>C0514</t>
  </si>
  <si>
    <t>LN1301</t>
  </si>
  <si>
    <t>LN1302</t>
  </si>
  <si>
    <t>LN1303</t>
  </si>
  <si>
    <t>LN1304</t>
  </si>
  <si>
    <t>LN1305</t>
  </si>
  <si>
    <t>LN1306</t>
  </si>
  <si>
    <t>LN1307</t>
  </si>
  <si>
    <t>LN1308</t>
  </si>
  <si>
    <t>LN1309</t>
  </si>
  <si>
    <t>LN1310</t>
  </si>
  <si>
    <t>LN1311</t>
  </si>
  <si>
    <t>LN1312</t>
  </si>
  <si>
    <t>LN1313</t>
  </si>
  <si>
    <t>C0100</t>
  </si>
  <si>
    <t>LN1314</t>
  </si>
  <si>
    <t>LN1315</t>
  </si>
  <si>
    <t>LN1316</t>
  </si>
  <si>
    <t>LN1317</t>
  </si>
  <si>
    <t>LN1318</t>
  </si>
  <si>
    <t>LN1319</t>
  </si>
  <si>
    <t>LN1320</t>
  </si>
  <si>
    <t>C0094</t>
  </si>
  <si>
    <t>LN1321</t>
  </si>
  <si>
    <t>LN1322</t>
  </si>
  <si>
    <t>LN1323</t>
  </si>
  <si>
    <t>LN1324</t>
  </si>
  <si>
    <t>LN1325</t>
  </si>
  <si>
    <t>LN1326</t>
  </si>
  <si>
    <t>LN1327</t>
  </si>
  <si>
    <t>LN1328</t>
  </si>
  <si>
    <t>C0192</t>
  </si>
  <si>
    <t>LN1329</t>
  </si>
  <si>
    <t>LN1330</t>
  </si>
  <si>
    <t>LN1331</t>
  </si>
  <si>
    <t>LN1332</t>
  </si>
  <si>
    <t>LN1333</t>
  </si>
  <si>
    <t>C0022</t>
  </si>
  <si>
    <t>LN1334</t>
  </si>
  <si>
    <t>LN1335</t>
  </si>
  <si>
    <t>LN1336</t>
  </si>
  <si>
    <t>LN1337</t>
  </si>
  <si>
    <t>C0682</t>
  </si>
  <si>
    <t>LN1338</t>
  </si>
  <si>
    <t>C0678</t>
  </si>
  <si>
    <t>LN1339</t>
  </si>
  <si>
    <t>LN1340</t>
  </si>
  <si>
    <t>LN1341</t>
  </si>
  <si>
    <t>LN1342</t>
  </si>
  <si>
    <t>LN1343</t>
  </si>
  <si>
    <t>LN1344</t>
  </si>
  <si>
    <t>LN1345</t>
  </si>
  <si>
    <t>LN1346</t>
  </si>
  <si>
    <t>LN1347</t>
  </si>
  <si>
    <t>C0052</t>
  </si>
  <si>
    <t>LN1348</t>
  </si>
  <si>
    <t>LN1349</t>
  </si>
  <si>
    <t>LN1350</t>
  </si>
  <si>
    <t>LN1351</t>
  </si>
  <si>
    <t>LN1352</t>
  </si>
  <si>
    <t>LN1353</t>
  </si>
  <si>
    <t>LN1354</t>
  </si>
  <si>
    <t>LN1355</t>
  </si>
  <si>
    <t>C0646</t>
  </si>
  <si>
    <t>LN1356</t>
  </si>
  <si>
    <t>LN1357</t>
  </si>
  <si>
    <t>LN1358</t>
  </si>
  <si>
    <t>LN1359</t>
  </si>
  <si>
    <t>LN1360</t>
  </si>
  <si>
    <t>C0510</t>
  </si>
  <si>
    <t>LN1361</t>
  </si>
  <si>
    <t>LN1362</t>
  </si>
  <si>
    <t>LN1363</t>
  </si>
  <si>
    <t>LN1364</t>
  </si>
  <si>
    <t>C0123</t>
  </si>
  <si>
    <t>LN1365</t>
  </si>
  <si>
    <t>LN1366</t>
  </si>
  <si>
    <t>LN1367</t>
  </si>
  <si>
    <t>LN1368</t>
  </si>
  <si>
    <t>LN1369</t>
  </si>
  <si>
    <t>LN1370</t>
  </si>
  <si>
    <t>LN1371</t>
  </si>
  <si>
    <t>LN1372</t>
  </si>
  <si>
    <t>LN1373</t>
  </si>
  <si>
    <t>LN1374</t>
  </si>
  <si>
    <t>LN1375</t>
  </si>
  <si>
    <t>LN1376</t>
  </si>
  <si>
    <t>LN1377</t>
  </si>
  <si>
    <t>LN1378</t>
  </si>
  <si>
    <t>LN1379</t>
  </si>
  <si>
    <t>LN1380</t>
  </si>
  <si>
    <t>LN1381</t>
  </si>
  <si>
    <t>LN1382</t>
  </si>
  <si>
    <t>LN1383</t>
  </si>
  <si>
    <t>LN1384</t>
  </si>
  <si>
    <t>LN1385</t>
  </si>
  <si>
    <t>LN1386</t>
  </si>
  <si>
    <t>LN1387</t>
  </si>
  <si>
    <t>LN1388</t>
  </si>
  <si>
    <t>LN1389</t>
  </si>
  <si>
    <t>LN1390</t>
  </si>
  <si>
    <t>LN1391</t>
  </si>
  <si>
    <t>LN1392</t>
  </si>
  <si>
    <t>LN1393</t>
  </si>
  <si>
    <t>LN1394</t>
  </si>
  <si>
    <t>LN1395</t>
  </si>
  <si>
    <t>C0642</t>
  </si>
  <si>
    <t>LN1396</t>
  </si>
  <si>
    <t>LN1397</t>
  </si>
  <si>
    <t>LN1398</t>
  </si>
  <si>
    <t>LN1399</t>
  </si>
  <si>
    <t>LN1400</t>
  </si>
  <si>
    <t>LN1401</t>
  </si>
  <si>
    <t>LN1402</t>
  </si>
  <si>
    <t>LN1403</t>
  </si>
  <si>
    <t>LN1404</t>
  </si>
  <si>
    <t>LN1405</t>
  </si>
  <si>
    <t>C0273</t>
  </si>
  <si>
    <t>LN1406</t>
  </si>
  <si>
    <t>LN1407</t>
  </si>
  <si>
    <t>LN1408</t>
  </si>
  <si>
    <t>LN1409</t>
  </si>
  <si>
    <t>LN1410</t>
  </si>
  <si>
    <t>LN1411</t>
  </si>
  <si>
    <t>LN1412</t>
  </si>
  <si>
    <t>LN1413</t>
  </si>
  <si>
    <t>LN1414</t>
  </si>
  <si>
    <t>LN1415</t>
  </si>
  <si>
    <t>LN1416</t>
  </si>
  <si>
    <t>LN1417</t>
  </si>
  <si>
    <t>LN1418</t>
  </si>
  <si>
    <t>LN1419</t>
  </si>
  <si>
    <t>LN1420</t>
  </si>
  <si>
    <t>LN1421</t>
  </si>
  <si>
    <t>LN1422</t>
  </si>
  <si>
    <t>LN1423</t>
  </si>
  <si>
    <t>LN1424</t>
  </si>
  <si>
    <t>LN1425</t>
  </si>
  <si>
    <t>C0180</t>
  </si>
  <si>
    <t>LN1426</t>
  </si>
  <si>
    <t>LN1427</t>
  </si>
  <si>
    <t>LN1428</t>
  </si>
  <si>
    <t>LN1429</t>
  </si>
  <si>
    <t>LN1430</t>
  </si>
  <si>
    <t>LN1431</t>
  </si>
  <si>
    <t>LN1432</t>
  </si>
  <si>
    <t>LN1433</t>
  </si>
  <si>
    <t>LN1434</t>
  </si>
  <si>
    <t>LN1435</t>
  </si>
  <si>
    <t>LN1436</t>
  </si>
  <si>
    <t>LN1437</t>
  </si>
  <si>
    <t>LN1438</t>
  </si>
  <si>
    <t>C0284</t>
  </si>
  <si>
    <t>LN1439</t>
  </si>
  <si>
    <t>LN1440</t>
  </si>
  <si>
    <t>LN1441</t>
  </si>
  <si>
    <t>LN1442</t>
  </si>
  <si>
    <t>LN1443</t>
  </si>
  <si>
    <t>LN1444</t>
  </si>
  <si>
    <t>C0488</t>
  </si>
  <si>
    <t>LN1445</t>
  </si>
  <si>
    <t>C0485</t>
  </si>
  <si>
    <t>LN1446</t>
  </si>
  <si>
    <t>C0651</t>
  </si>
  <si>
    <t>LN1447</t>
  </si>
  <si>
    <t>LN1448</t>
  </si>
  <si>
    <t>LN1449</t>
  </si>
  <si>
    <t>C0476</t>
  </si>
  <si>
    <t>LN1450</t>
  </si>
  <si>
    <t>LN1451</t>
  </si>
  <si>
    <t>LN1452</t>
  </si>
  <si>
    <t>LN1453</t>
  </si>
  <si>
    <t>LN1454</t>
  </si>
  <si>
    <t>LN1455</t>
  </si>
  <si>
    <t>LN1456</t>
  </si>
  <si>
    <t>LN1457</t>
  </si>
  <si>
    <t>LN1458</t>
  </si>
  <si>
    <t>LN1459</t>
  </si>
  <si>
    <t>LN1460</t>
  </si>
  <si>
    <t>LN1461</t>
  </si>
  <si>
    <t>LN1462</t>
  </si>
  <si>
    <t>LN1463</t>
  </si>
  <si>
    <t>LN1464</t>
  </si>
  <si>
    <t>LN1465</t>
  </si>
  <si>
    <t>C0491</t>
  </si>
  <si>
    <t>LN1466</t>
  </si>
  <si>
    <t>LN1467</t>
  </si>
  <si>
    <t>LN1468</t>
  </si>
  <si>
    <t>LN1469</t>
  </si>
  <si>
    <t>LN1470</t>
  </si>
  <si>
    <t>LN1471</t>
  </si>
  <si>
    <t>LN1472</t>
  </si>
  <si>
    <t>LN1473</t>
  </si>
  <si>
    <t>LN1474</t>
  </si>
  <si>
    <t>LN1475</t>
  </si>
  <si>
    <t>C0583</t>
  </si>
  <si>
    <t>LN1476</t>
  </si>
  <si>
    <t>LN1477</t>
  </si>
  <si>
    <t>LN1478</t>
  </si>
  <si>
    <t>LN1479</t>
  </si>
  <si>
    <t>LN1480</t>
  </si>
  <si>
    <t>LN1481</t>
  </si>
  <si>
    <t>LN1482</t>
  </si>
  <si>
    <t>C0012</t>
  </si>
  <si>
    <t>LN1483</t>
  </si>
  <si>
    <t>C0453</t>
  </si>
  <si>
    <t>LN1484</t>
  </si>
  <si>
    <t>LN1485</t>
  </si>
  <si>
    <t>LN1486</t>
  </si>
  <si>
    <t>LN1487</t>
  </si>
  <si>
    <t>LN1488</t>
  </si>
  <si>
    <t>C0181</t>
  </si>
  <si>
    <t>LN1489</t>
  </si>
  <si>
    <t>LN1490</t>
  </si>
  <si>
    <t>LN1491</t>
  </si>
  <si>
    <t>LN1492</t>
  </si>
  <si>
    <t>C0110</t>
  </si>
  <si>
    <t>LN1493</t>
  </si>
  <si>
    <t>LN1494</t>
  </si>
  <si>
    <t>LN1495</t>
  </si>
  <si>
    <t>LN1496</t>
  </si>
  <si>
    <t>LN1497</t>
  </si>
  <si>
    <t>LN1498</t>
  </si>
  <si>
    <t>LN1499</t>
  </si>
  <si>
    <t>C0663</t>
  </si>
  <si>
    <t>LN1500</t>
  </si>
  <si>
    <t>C0694</t>
  </si>
  <si>
    <t>LN1501</t>
  </si>
  <si>
    <t>LN1502</t>
  </si>
  <si>
    <t>C0671</t>
  </si>
  <si>
    <t>LN1503</t>
  </si>
  <si>
    <t>LN1504</t>
  </si>
  <si>
    <t>LN1505</t>
  </si>
  <si>
    <t>C0206</t>
  </si>
  <si>
    <t>LN1506</t>
  </si>
  <si>
    <t>LN1507</t>
  </si>
  <si>
    <t>LN1508</t>
  </si>
  <si>
    <t>LN1509</t>
  </si>
  <si>
    <t>LN1510</t>
  </si>
  <si>
    <t>LN1511</t>
  </si>
  <si>
    <t>LN1512</t>
  </si>
  <si>
    <t>LN1513</t>
  </si>
  <si>
    <t>LN1514</t>
  </si>
  <si>
    <t>LN1515</t>
  </si>
  <si>
    <t>LN1516</t>
  </si>
  <si>
    <t>LN1517</t>
  </si>
  <si>
    <t>LN1518</t>
  </si>
  <si>
    <t>LN1519</t>
  </si>
  <si>
    <t>LN1520</t>
  </si>
  <si>
    <t>C0312</t>
  </si>
  <si>
    <t>LN1521</t>
  </si>
  <si>
    <t>LN1522</t>
  </si>
  <si>
    <t>LN1523</t>
  </si>
  <si>
    <t>C0182</t>
  </si>
  <si>
    <t>LN1524</t>
  </si>
  <si>
    <t>LN1525</t>
  </si>
  <si>
    <t>LN1526</t>
  </si>
  <si>
    <t>LN1527</t>
  </si>
  <si>
    <t>LN1528</t>
  </si>
  <si>
    <t>LN1529</t>
  </si>
  <si>
    <t>LN1530</t>
  </si>
  <si>
    <t>C0304</t>
  </si>
  <si>
    <t>LN1531</t>
  </si>
  <si>
    <t>LN1532</t>
  </si>
  <si>
    <t>LN1533</t>
  </si>
  <si>
    <t>LN1534</t>
  </si>
  <si>
    <t>LN1535</t>
  </si>
  <si>
    <t>LN1536</t>
  </si>
  <si>
    <t>LN1537</t>
  </si>
  <si>
    <t>LN1538</t>
  </si>
  <si>
    <t>LN1539</t>
  </si>
  <si>
    <t>LN1540</t>
  </si>
  <si>
    <t>LN1541</t>
  </si>
  <si>
    <t>C0573</t>
  </si>
  <si>
    <t>LN1542</t>
  </si>
  <si>
    <t>LN1543</t>
  </si>
  <si>
    <t>LN1544</t>
  </si>
  <si>
    <t>LN1545</t>
  </si>
  <si>
    <t>LN1546</t>
  </si>
  <si>
    <t>LN1547</t>
  </si>
  <si>
    <t>LN1548</t>
  </si>
  <si>
    <t>C0115</t>
  </si>
  <si>
    <t>LN1549</t>
  </si>
  <si>
    <t>LN1550</t>
  </si>
  <si>
    <t>LN1551</t>
  </si>
  <si>
    <t>LN1552</t>
  </si>
  <si>
    <t>LN1553</t>
  </si>
  <si>
    <t>LN1554</t>
  </si>
  <si>
    <t>LN1555</t>
  </si>
  <si>
    <t>LN1556</t>
  </si>
  <si>
    <t>LN1557</t>
  </si>
  <si>
    <t>LN1558</t>
  </si>
  <si>
    <t>LN1559</t>
  </si>
  <si>
    <t>LN1560</t>
  </si>
  <si>
    <t>C0438</t>
  </si>
  <si>
    <t>LN1561</t>
  </si>
  <si>
    <t>C0501</t>
  </si>
  <si>
    <t>LN1562</t>
  </si>
  <si>
    <t>LN1563</t>
  </si>
  <si>
    <t>LN1564</t>
  </si>
  <si>
    <t>LN1565</t>
  </si>
  <si>
    <t>LN1566</t>
  </si>
  <si>
    <t>LN1567</t>
  </si>
  <si>
    <t>LN1568</t>
  </si>
  <si>
    <t>LN1569</t>
  </si>
  <si>
    <t>LN1570</t>
  </si>
  <si>
    <t>C0023</t>
  </si>
  <si>
    <t>LN1571</t>
  </si>
  <si>
    <t>LN1572</t>
  </si>
  <si>
    <t>LN1573</t>
  </si>
  <si>
    <t>LN1574</t>
  </si>
  <si>
    <t>LN1575</t>
  </si>
  <si>
    <t>LN1576</t>
  </si>
  <si>
    <t>LN1577</t>
  </si>
  <si>
    <t>LN1578</t>
  </si>
  <si>
    <t>LN1579</t>
  </si>
  <si>
    <t>LN1580</t>
  </si>
  <si>
    <t>LN1581</t>
  </si>
  <si>
    <t>LN1582</t>
  </si>
  <si>
    <t>LN1583</t>
  </si>
  <si>
    <t>LN1584</t>
  </si>
  <si>
    <t>LN1585</t>
  </si>
  <si>
    <t>LN1586</t>
  </si>
  <si>
    <t>LN1587</t>
  </si>
  <si>
    <t>LN1588</t>
  </si>
  <si>
    <t>LN1589</t>
  </si>
  <si>
    <t>LN1590</t>
  </si>
  <si>
    <t>LN1591</t>
  </si>
  <si>
    <t>LN1592</t>
  </si>
  <si>
    <t>C0095</t>
  </si>
  <si>
    <t>LN1593</t>
  </si>
  <si>
    <t>LN1594</t>
  </si>
  <si>
    <t>LN1595</t>
  </si>
  <si>
    <t>C0618</t>
  </si>
  <si>
    <t>LN1596</t>
  </si>
  <si>
    <t>C0001</t>
  </si>
  <si>
    <t>LN1597</t>
  </si>
  <si>
    <t>LN1598</t>
  </si>
  <si>
    <t>LN1599</t>
  </si>
  <si>
    <t>LN1600</t>
  </si>
  <si>
    <t>LN1601</t>
  </si>
  <si>
    <t>LN1602</t>
  </si>
  <si>
    <t>LN1603</t>
  </si>
  <si>
    <t>LN1604</t>
  </si>
  <si>
    <t>C0286</t>
  </si>
  <si>
    <t>LN1605</t>
  </si>
  <si>
    <t>LN1606</t>
  </si>
  <si>
    <t>C0246</t>
  </si>
  <si>
    <t>LN1607</t>
  </si>
  <si>
    <t>LN1608</t>
  </si>
  <si>
    <t>LN1609</t>
  </si>
  <si>
    <t>LN1610</t>
  </si>
  <si>
    <t>C0506</t>
  </si>
  <si>
    <t>LN1611</t>
  </si>
  <si>
    <t>LN1612</t>
  </si>
  <si>
    <t>LN1613</t>
  </si>
  <si>
    <t>LN1614</t>
  </si>
  <si>
    <t>LN1615</t>
  </si>
  <si>
    <t>LN1616</t>
  </si>
  <si>
    <t>LN1617</t>
  </si>
  <si>
    <t>LN1618</t>
  </si>
  <si>
    <t>LN1619</t>
  </si>
  <si>
    <t>LN1620</t>
  </si>
  <si>
    <t>LN1621</t>
  </si>
  <si>
    <t>LN1622</t>
  </si>
  <si>
    <t>LN1623</t>
  </si>
  <si>
    <t>C0218</t>
  </si>
  <si>
    <t>LN1624</t>
  </si>
  <si>
    <t>LN1625</t>
  </si>
  <si>
    <t>LN1626</t>
  </si>
  <si>
    <t>LN1627</t>
  </si>
  <si>
    <t>LN1628</t>
  </si>
  <si>
    <t>LN1629</t>
  </si>
  <si>
    <t>LN1630</t>
  </si>
  <si>
    <t>LN1631</t>
  </si>
  <si>
    <t>LN1632</t>
  </si>
  <si>
    <t>LN1633</t>
  </si>
  <si>
    <t>LN1634</t>
  </si>
  <si>
    <t>LN1635</t>
  </si>
  <si>
    <t>LN1636</t>
  </si>
  <si>
    <t>LN1637</t>
  </si>
  <si>
    <t>LN1638</t>
  </si>
  <si>
    <t>LN1639</t>
  </si>
  <si>
    <t>LN1640</t>
  </si>
  <si>
    <t>LN1641</t>
  </si>
  <si>
    <t>LN1642</t>
  </si>
  <si>
    <t>LN1643</t>
  </si>
  <si>
    <t>LN1644</t>
  </si>
  <si>
    <t>LN1645</t>
  </si>
  <si>
    <t>LN1646</t>
  </si>
  <si>
    <t>LN1647</t>
  </si>
  <si>
    <t>LN1648</t>
  </si>
  <si>
    <t>C0027</t>
  </si>
  <si>
    <t>LN1649</t>
  </si>
  <si>
    <t>LN1650</t>
  </si>
  <si>
    <t>LN1651</t>
  </si>
  <si>
    <t>LN1652</t>
  </si>
  <si>
    <t>LN1653</t>
  </si>
  <si>
    <t>LN1654</t>
  </si>
  <si>
    <t>LN1655</t>
  </si>
  <si>
    <t>LN1656</t>
  </si>
  <si>
    <t>LN1657</t>
  </si>
  <si>
    <t>LN1658</t>
  </si>
  <si>
    <t>LN1659</t>
  </si>
  <si>
    <t>LN1660</t>
  </si>
  <si>
    <t>LN1661</t>
  </si>
  <si>
    <t>LN1662</t>
  </si>
  <si>
    <t>LN1663</t>
  </si>
  <si>
    <t>LN1664</t>
  </si>
  <si>
    <t>LN1665</t>
  </si>
  <si>
    <t>LN1666</t>
  </si>
  <si>
    <t>LN1667</t>
  </si>
  <si>
    <t>LN1668</t>
  </si>
  <si>
    <t>LN1669</t>
  </si>
  <si>
    <t>LN1670</t>
  </si>
  <si>
    <t>LN1671</t>
  </si>
  <si>
    <t>LN1672</t>
  </si>
  <si>
    <t>LN1673</t>
  </si>
  <si>
    <t>LN1674</t>
  </si>
  <si>
    <t>LN1675</t>
  </si>
  <si>
    <t>LN1676</t>
  </si>
  <si>
    <t>LN1677</t>
  </si>
  <si>
    <t>LN1678</t>
  </si>
  <si>
    <t>LN1679</t>
  </si>
  <si>
    <t>LN1680</t>
  </si>
  <si>
    <t>C0689</t>
  </si>
  <si>
    <t>LN1681</t>
  </si>
  <si>
    <t>LN1682</t>
  </si>
  <si>
    <t>LN1683</t>
  </si>
  <si>
    <t>LN1684</t>
  </si>
  <si>
    <t>LN1685</t>
  </si>
  <si>
    <t>LN1686</t>
  </si>
  <si>
    <t>LN1687</t>
  </si>
  <si>
    <t>LN1688</t>
  </si>
  <si>
    <t>LN1689</t>
  </si>
  <si>
    <t>LN1690</t>
  </si>
  <si>
    <t>LN1691</t>
  </si>
  <si>
    <t>LN1692</t>
  </si>
  <si>
    <t>LN1693</t>
  </si>
  <si>
    <t>LN1694</t>
  </si>
  <si>
    <t>LN1695</t>
  </si>
  <si>
    <t>LN1696</t>
  </si>
  <si>
    <t>LN1697</t>
  </si>
  <si>
    <t>LN1698</t>
  </si>
  <si>
    <t>LN1699</t>
  </si>
  <si>
    <t>LN1700</t>
  </si>
  <si>
    <t>LN1701</t>
  </si>
  <si>
    <t>LN1702</t>
  </si>
  <si>
    <t>C0291</t>
  </si>
  <si>
    <t>LN1703</t>
  </si>
  <si>
    <t>LN1704</t>
  </si>
  <si>
    <t>LN1705</t>
  </si>
  <si>
    <t>LN1706</t>
  </si>
  <si>
    <t>LN1707</t>
  </si>
  <si>
    <t>LN1708</t>
  </si>
  <si>
    <t>LN1709</t>
  </si>
  <si>
    <t>LN1710</t>
  </si>
  <si>
    <t>LN1711</t>
  </si>
  <si>
    <t>LN1712</t>
  </si>
  <si>
    <t>LN1713</t>
  </si>
  <si>
    <t>LN1714</t>
  </si>
  <si>
    <t>C0360</t>
  </si>
  <si>
    <t>LN1715</t>
  </si>
  <si>
    <t>LN1716</t>
  </si>
  <si>
    <t>LN1717</t>
  </si>
  <si>
    <t>LN1718</t>
  </si>
  <si>
    <t>LN1719</t>
  </si>
  <si>
    <t>LN1720</t>
  </si>
  <si>
    <t>LN1721</t>
  </si>
  <si>
    <t>LN1722</t>
  </si>
  <si>
    <t>LN1723</t>
  </si>
  <si>
    <t>LN1724</t>
  </si>
  <si>
    <t>LN1725</t>
  </si>
  <si>
    <t>LN1726</t>
  </si>
  <si>
    <t>LN1727</t>
  </si>
  <si>
    <t>LN1728</t>
  </si>
  <si>
    <t>LN1729</t>
  </si>
  <si>
    <t>LN1730</t>
  </si>
  <si>
    <t>LN1731</t>
  </si>
  <si>
    <t>LN1732</t>
  </si>
  <si>
    <t>LN1733</t>
  </si>
  <si>
    <t>LN1734</t>
  </si>
  <si>
    <t>LN1735</t>
  </si>
  <si>
    <t>LN1736</t>
  </si>
  <si>
    <t>LN1737</t>
  </si>
  <si>
    <t>LN1738</t>
  </si>
  <si>
    <t>LN1739</t>
  </si>
  <si>
    <t>LN1740</t>
  </si>
  <si>
    <t>LN1741</t>
  </si>
  <si>
    <t>LN1742</t>
  </si>
  <si>
    <t>LN1743</t>
  </si>
  <si>
    <t>LN1744</t>
  </si>
  <si>
    <t>LN1745</t>
  </si>
  <si>
    <t>LN1746</t>
  </si>
  <si>
    <t>LN1747</t>
  </si>
  <si>
    <t>LN1748</t>
  </si>
  <si>
    <t>LN1749</t>
  </si>
  <si>
    <t>LN1750</t>
  </si>
  <si>
    <t>LN1751</t>
  </si>
  <si>
    <t>LN1752</t>
  </si>
  <si>
    <t>LN1753</t>
  </si>
  <si>
    <t>LN1754</t>
  </si>
  <si>
    <t>LN1755</t>
  </si>
  <si>
    <t>LN1756</t>
  </si>
  <si>
    <t>LN1757</t>
  </si>
  <si>
    <t>LN1758</t>
  </si>
  <si>
    <t>LN1759</t>
  </si>
  <si>
    <t>LN1760</t>
  </si>
  <si>
    <t>LN1761</t>
  </si>
  <si>
    <t>LN1762</t>
  </si>
  <si>
    <t>LN1763</t>
  </si>
  <si>
    <t>LN1764</t>
  </si>
  <si>
    <t>LN1765</t>
  </si>
  <si>
    <t>LN1766</t>
  </si>
  <si>
    <t>LN1767</t>
  </si>
  <si>
    <t>LN1768</t>
  </si>
  <si>
    <t>LN1769</t>
  </si>
  <si>
    <t>LN1770</t>
  </si>
  <si>
    <t>LN1771</t>
  </si>
  <si>
    <t>LN1772</t>
  </si>
  <si>
    <t>LN1773</t>
  </si>
  <si>
    <t>LN1774</t>
  </si>
  <si>
    <t>LN1775</t>
  </si>
  <si>
    <t>C0145</t>
  </si>
  <si>
    <t>LN1776</t>
  </si>
  <si>
    <t>LN1777</t>
  </si>
  <si>
    <t>LN1778</t>
  </si>
  <si>
    <t>LN1779</t>
  </si>
  <si>
    <t>LN1780</t>
  </si>
  <si>
    <t>LN1781</t>
  </si>
  <si>
    <t>LN1782</t>
  </si>
  <si>
    <t>LN1783</t>
  </si>
  <si>
    <t>LN1784</t>
  </si>
  <si>
    <t>LN1785</t>
  </si>
  <si>
    <t>LN1786</t>
  </si>
  <si>
    <t>LN1787</t>
  </si>
  <si>
    <t>LN1788</t>
  </si>
  <si>
    <t>LN1789</t>
  </si>
  <si>
    <t>LN1790</t>
  </si>
  <si>
    <t>LN1791</t>
  </si>
  <si>
    <t>LN1792</t>
  </si>
  <si>
    <t>LN1793</t>
  </si>
  <si>
    <t>LN1794</t>
  </si>
  <si>
    <t>LN1795</t>
  </si>
  <si>
    <t>LN1796</t>
  </si>
  <si>
    <t>LN1797</t>
  </si>
  <si>
    <t>LN1798</t>
  </si>
  <si>
    <t>LN1799</t>
  </si>
  <si>
    <t>LN1800</t>
  </si>
  <si>
    <t>LN1801</t>
  </si>
  <si>
    <t>LN1802</t>
  </si>
  <si>
    <t>LN1803</t>
  </si>
  <si>
    <t>LN1804</t>
  </si>
  <si>
    <t>LN1805</t>
  </si>
  <si>
    <t>LN1806</t>
  </si>
  <si>
    <t>LN1807</t>
  </si>
  <si>
    <t>LN1808</t>
  </si>
  <si>
    <t>LN1809</t>
  </si>
  <si>
    <t>LN1810</t>
  </si>
  <si>
    <t>LN1811</t>
  </si>
  <si>
    <t>LN1812</t>
  </si>
  <si>
    <t>LN1813</t>
  </si>
  <si>
    <t>LN1814</t>
  </si>
  <si>
    <t>LN1815</t>
  </si>
  <si>
    <t>LN1816</t>
  </si>
  <si>
    <t>LN1817</t>
  </si>
  <si>
    <t>LN1818</t>
  </si>
  <si>
    <t>C0627</t>
  </si>
  <si>
    <t>LN1819</t>
  </si>
  <si>
    <t>LN1820</t>
  </si>
  <si>
    <t>LN1821</t>
  </si>
  <si>
    <t>LN1822</t>
  </si>
  <si>
    <t>LN1823</t>
  </si>
  <si>
    <t>LN1824</t>
  </si>
  <si>
    <t>LN1825</t>
  </si>
  <si>
    <t>C0493</t>
  </si>
  <si>
    <t>LN1826</t>
  </si>
  <si>
    <t>LN1827</t>
  </si>
  <si>
    <t>LN1828</t>
  </si>
  <si>
    <t>LN1829</t>
  </si>
  <si>
    <t>LN1830</t>
  </si>
  <si>
    <t>LN1831</t>
  </si>
  <si>
    <t>LN1832</t>
  </si>
  <si>
    <t>LN1833</t>
  </si>
  <si>
    <t>LN1834</t>
  </si>
  <si>
    <t>LN1835</t>
  </si>
  <si>
    <t>LN1836</t>
  </si>
  <si>
    <t>LN1837</t>
  </si>
  <si>
    <t>LN1838</t>
  </si>
  <si>
    <t>LN1839</t>
  </si>
  <si>
    <t>LN1840</t>
  </si>
  <si>
    <t>LN1841</t>
  </si>
  <si>
    <t>LN1842</t>
  </si>
  <si>
    <t>LN1843</t>
  </si>
  <si>
    <t>C0159</t>
  </si>
  <si>
    <t>LN1844</t>
  </si>
  <si>
    <t>LN1845</t>
  </si>
  <si>
    <t>LN1846</t>
  </si>
  <si>
    <t>LN1847</t>
  </si>
  <si>
    <t>LN1848</t>
  </si>
  <si>
    <t>LN1849</t>
  </si>
  <si>
    <t>LN1850</t>
  </si>
  <si>
    <t>LN1851</t>
  </si>
  <si>
    <t>C0256</t>
  </si>
  <si>
    <t>LN1852</t>
  </si>
  <si>
    <t>LN1853</t>
  </si>
  <si>
    <t>LN1854</t>
  </si>
  <si>
    <t>LN1855</t>
  </si>
  <si>
    <t>LN1856</t>
  </si>
  <si>
    <t>LN1857</t>
  </si>
  <si>
    <t>LN1858</t>
  </si>
  <si>
    <t>LN1859</t>
  </si>
  <si>
    <t>LN1860</t>
  </si>
  <si>
    <t>LN1861</t>
  </si>
  <si>
    <t>LN1862</t>
  </si>
  <si>
    <t>LN1863</t>
  </si>
  <si>
    <t>LN1864</t>
  </si>
  <si>
    <t>LN1865</t>
  </si>
  <si>
    <t>LN1866</t>
  </si>
  <si>
    <t>LN1867</t>
  </si>
  <si>
    <t>LN1868</t>
  </si>
  <si>
    <t>LN1869</t>
  </si>
  <si>
    <t>LN1870</t>
  </si>
  <si>
    <t>LN1871</t>
  </si>
  <si>
    <t>LN1872</t>
  </si>
  <si>
    <t>LN1873</t>
  </si>
  <si>
    <t>LN1874</t>
  </si>
  <si>
    <t>LN1875</t>
  </si>
  <si>
    <t>LN1876</t>
  </si>
  <si>
    <t>LN1877</t>
  </si>
  <si>
    <t>LN1878</t>
  </si>
  <si>
    <t>LN1879</t>
  </si>
  <si>
    <t>LN1880</t>
  </si>
  <si>
    <t>C0057</t>
  </si>
  <si>
    <t>LN1881</t>
  </si>
  <si>
    <t>LN1882</t>
  </si>
  <si>
    <t>LN1883</t>
  </si>
  <si>
    <t>LN1884</t>
  </si>
  <si>
    <t>LN1885</t>
  </si>
  <si>
    <t>LN1886</t>
  </si>
  <si>
    <t>LN1887</t>
  </si>
  <si>
    <t>LN1888</t>
  </si>
  <si>
    <t>LN1889</t>
  </si>
  <si>
    <t>LN1890</t>
  </si>
  <si>
    <t>C0011</t>
  </si>
  <si>
    <t>LN1891</t>
  </si>
  <si>
    <t>LN1892</t>
  </si>
  <si>
    <t>LN1893</t>
  </si>
  <si>
    <t>LN1894</t>
  </si>
  <si>
    <t>LN1895</t>
  </si>
  <si>
    <t>LN1896</t>
  </si>
  <si>
    <t>C0483</t>
  </si>
  <si>
    <t>LN1897</t>
  </si>
  <si>
    <t>LN1898</t>
  </si>
  <si>
    <t>LN1899</t>
  </si>
  <si>
    <t>LN1900</t>
  </si>
  <si>
    <t>LN1901</t>
  </si>
  <si>
    <t>LN1902</t>
  </si>
  <si>
    <t>LN1903</t>
  </si>
  <si>
    <t>LN1904</t>
  </si>
  <si>
    <t>LN1905</t>
  </si>
  <si>
    <t>LN1906</t>
  </si>
  <si>
    <t>C0028</t>
  </si>
  <si>
    <t>LN1907</t>
  </si>
  <si>
    <t>LN1908</t>
  </si>
  <si>
    <t>LN1909</t>
  </si>
  <si>
    <t>LN1910</t>
  </si>
  <si>
    <t>LN1911</t>
  </si>
  <si>
    <t>LN1912</t>
  </si>
  <si>
    <t>C0426</t>
  </si>
  <si>
    <t>LN1913</t>
  </si>
  <si>
    <t>LN1914</t>
  </si>
  <si>
    <t>LN1915</t>
  </si>
  <si>
    <t>LN1916</t>
  </si>
  <si>
    <t>LN1917</t>
  </si>
  <si>
    <t>LN1918</t>
  </si>
  <si>
    <t>LN1919</t>
  </si>
  <si>
    <t>LN1920</t>
  </si>
  <si>
    <t>LN1921</t>
  </si>
  <si>
    <t>LN1922</t>
  </si>
  <si>
    <t>C0333</t>
  </si>
  <si>
    <t>LN1923</t>
  </si>
  <si>
    <t>LN1924</t>
  </si>
  <si>
    <t>LN1925</t>
  </si>
  <si>
    <t>LN1926</t>
  </si>
  <si>
    <t>LN1927</t>
  </si>
  <si>
    <t>LN1928</t>
  </si>
  <si>
    <t>LN1929</t>
  </si>
  <si>
    <t>LN1930</t>
  </si>
  <si>
    <t>C0416</t>
  </si>
  <si>
    <t>LN1931</t>
  </si>
  <si>
    <t>LN1932</t>
  </si>
  <si>
    <t>LN1933</t>
  </si>
  <si>
    <t>LN1934</t>
  </si>
  <si>
    <t>LN1935</t>
  </si>
  <si>
    <t>LN1936</t>
  </si>
  <si>
    <t>LN1937</t>
  </si>
  <si>
    <t>LN1938</t>
  </si>
  <si>
    <t>LN1939</t>
  </si>
  <si>
    <t>LN1940</t>
  </si>
  <si>
    <t>LN1941</t>
  </si>
  <si>
    <t>LN1942</t>
  </si>
  <si>
    <t>LN1943</t>
  </si>
  <si>
    <t>LN1944</t>
  </si>
  <si>
    <t>LN1945</t>
  </si>
  <si>
    <t>LN1946</t>
  </si>
  <si>
    <t>LN1947</t>
  </si>
  <si>
    <t>LN1948</t>
  </si>
  <si>
    <t>LN1949</t>
  </si>
  <si>
    <t>LN1950</t>
  </si>
  <si>
    <t>LN1951</t>
  </si>
  <si>
    <t>LN1952</t>
  </si>
  <si>
    <t>LN1953</t>
  </si>
  <si>
    <t>LN1954</t>
  </si>
  <si>
    <t>LN1955</t>
  </si>
  <si>
    <t>LN1956</t>
  </si>
  <si>
    <t>LN1957</t>
  </si>
  <si>
    <t>LN1958</t>
  </si>
  <si>
    <t>LN1959</t>
  </si>
  <si>
    <t>LN1960</t>
  </si>
  <si>
    <t>LN1961</t>
  </si>
  <si>
    <t>LN1962</t>
  </si>
  <si>
    <t>LN1963</t>
  </si>
  <si>
    <t>LN1964</t>
  </si>
  <si>
    <t>C0643</t>
  </si>
  <si>
    <t>LN1965</t>
  </si>
  <si>
    <t>LN1966</t>
  </si>
  <si>
    <t>LN1967</t>
  </si>
  <si>
    <t>LN1968</t>
  </si>
  <si>
    <t>LN1969</t>
  </si>
  <si>
    <t>LN1970</t>
  </si>
  <si>
    <t>LN1971</t>
  </si>
  <si>
    <t>LN1972</t>
  </si>
  <si>
    <t>LN1973</t>
  </si>
  <si>
    <t>LN1974</t>
  </si>
  <si>
    <t>LN1975</t>
  </si>
  <si>
    <t>LN1976</t>
  </si>
  <si>
    <t>LN1977</t>
  </si>
  <si>
    <t>LN1978</t>
  </si>
  <si>
    <t>LN1979</t>
  </si>
  <si>
    <t>LN1980</t>
  </si>
  <si>
    <t>LN1981</t>
  </si>
  <si>
    <t>LN1982</t>
  </si>
  <si>
    <t>LN1983</t>
  </si>
  <si>
    <t>LN1984</t>
  </si>
  <si>
    <t>LN1985</t>
  </si>
  <si>
    <t>LN1986</t>
  </si>
  <si>
    <t>LN1987</t>
  </si>
  <si>
    <t>LN1988</t>
  </si>
  <si>
    <t>C0562</t>
  </si>
  <si>
    <t>LN1989</t>
  </si>
  <si>
    <t>LN1990</t>
  </si>
  <si>
    <t>LN1991</t>
  </si>
  <si>
    <t>LN1992</t>
  </si>
  <si>
    <t>LN1993</t>
  </si>
  <si>
    <t>LN1994</t>
  </si>
  <si>
    <t>LN1995</t>
  </si>
  <si>
    <t>LN1996</t>
  </si>
  <si>
    <t>LN1997</t>
  </si>
  <si>
    <t>LN1998</t>
  </si>
  <si>
    <t>LN1999</t>
  </si>
  <si>
    <t>LN2000</t>
  </si>
  <si>
    <t>MonthlyPayment</t>
  </si>
  <si>
    <t>LoanEndDate</t>
  </si>
  <si>
    <t>CollateralRisk</t>
  </si>
  <si>
    <t>Total Loan Portfolio</t>
  </si>
  <si>
    <t>Total Loans</t>
  </si>
  <si>
    <t>Default Exposure</t>
  </si>
  <si>
    <t>Default Rate</t>
  </si>
  <si>
    <t>ExposureRiskFlag</t>
  </si>
  <si>
    <t>High Risk Exposure (value)</t>
  </si>
  <si>
    <t>High Risk Loan Count</t>
  </si>
  <si>
    <t>RiskLevel</t>
  </si>
  <si>
    <t>High Risk Exposure</t>
  </si>
  <si>
    <t>Branch</t>
  </si>
  <si>
    <t>Total Exposure</t>
  </si>
  <si>
    <t>Retail Banking Loan Portfolio Dashboard</t>
  </si>
  <si>
    <t>Portfolio Yield</t>
  </si>
  <si>
    <t>Loan Type</t>
  </si>
  <si>
    <t>Customer ID</t>
  </si>
  <si>
    <t>Loan Amount</t>
  </si>
  <si>
    <t>Branch Name</t>
  </si>
  <si>
    <t>High Risk Loan Monitoring</t>
  </si>
  <si>
    <t>Grand Total</t>
  </si>
  <si>
    <t>Total Loan Exposure</t>
  </si>
  <si>
    <t>Total Loan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</si>
</sst>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KES]\ #,##0"/>
    <numFmt numFmtId="165" formatCode="_([$KES]\ * #,##0_);_([$KES]\ * \(#,##0\);_([$KES]\ * &quot;-&quot;_);_(@_)"/>
    <numFmt numFmtId="166" formatCode="\ &quot;KES &quot;0.0,,,&quot;B&quot;"/>
    <numFmt numFmtId="167" formatCode="&quot;KES &quot;0.0,,,&quot;B&quot;"/>
    <numFmt numFmtId="168" formatCode="&quot;KES &quot;0.0,,&quot;M&quot;"/>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8"/>
      <color theme="1"/>
      <name val="Calibri"/>
      <family val="2"/>
      <scheme val="minor"/>
    </font>
    <font>
      <sz val="14"/>
      <color theme="1"/>
      <name val="Calibri"/>
      <family val="2"/>
      <scheme val="minor"/>
    </font>
    <font>
      <b/>
      <sz val="22"/>
      <color theme="1"/>
      <name val="Calibri"/>
      <family val="2"/>
      <scheme val="minor"/>
    </font>
    <font>
      <b/>
      <sz val="22"/>
      <color theme="0"/>
      <name val="Calibri"/>
      <family val="2"/>
      <scheme val="minor"/>
    </font>
    <font>
      <b/>
      <sz val="12"/>
      <color theme="1"/>
      <name val="Calibri"/>
      <family val="2"/>
      <scheme val="minor"/>
    </font>
    <font>
      <b/>
      <sz val="26"/>
      <color theme="1"/>
      <name val="Calibri"/>
      <family val="2"/>
      <scheme val="minor"/>
    </font>
    <font>
      <b/>
      <sz val="11"/>
      <color theme="0"/>
      <name val="Calibri"/>
      <family val="2"/>
      <scheme val="minor"/>
    </font>
    <font>
      <b/>
      <sz val="30"/>
      <color theme="1"/>
      <name val="Calibri"/>
      <family val="2"/>
      <scheme val="minor"/>
    </font>
  </fonts>
  <fills count="9">
    <fill>
      <patternFill patternType="none"/>
    </fill>
    <fill>
      <patternFill patternType="gray125"/>
    </fill>
    <fill>
      <patternFill patternType="solid">
        <fgColor rgb="FF0F2041"/>
        <bgColor indexed="64"/>
      </patternFill>
    </fill>
    <fill>
      <patternFill patternType="solid">
        <fgColor rgb="FF007800"/>
        <bgColor indexed="64"/>
      </patternFill>
    </fill>
    <fill>
      <patternFill patternType="solid">
        <fgColor theme="2" tint="-0.249977111117893"/>
        <bgColor indexed="64"/>
      </patternFill>
    </fill>
    <fill>
      <patternFill patternType="solid">
        <fgColor theme="0" tint="-0.14999847407452621"/>
        <bgColor theme="0" tint="-0.14999847407452621"/>
      </patternFill>
    </fill>
    <fill>
      <patternFill patternType="solid">
        <fgColor theme="1"/>
        <bgColor theme="1"/>
      </patternFill>
    </fill>
    <fill>
      <patternFill patternType="solid">
        <fgColor rgb="FFC83C3C"/>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s>
  <cellStyleXfs count="2">
    <xf numFmtId="0" fontId="0" fillId="0" borderId="0"/>
    <xf numFmtId="9" fontId="1" fillId="0" borderId="0" applyFont="0" applyFill="0" applyBorder="0" applyAlignment="0" applyProtection="0"/>
  </cellStyleXfs>
  <cellXfs count="84">
    <xf numFmtId="0" fontId="0" fillId="0" borderId="0" xfId="0"/>
    <xf numFmtId="0" fontId="4" fillId="0" borderId="0" xfId="0" applyFont="1"/>
    <xf numFmtId="0" fontId="0" fillId="0" borderId="0" xfId="0" applyAlignment="1">
      <alignment vertical="center"/>
    </xf>
    <xf numFmtId="0" fontId="2" fillId="0" borderId="0" xfId="0" applyFont="1"/>
    <xf numFmtId="0" fontId="3" fillId="0" borderId="0" xfId="0" applyFont="1" applyAlignment="1">
      <alignment vertical="center"/>
    </xf>
    <xf numFmtId="0" fontId="5" fillId="0" borderId="0" xfId="0" applyFont="1"/>
    <xf numFmtId="0" fontId="3" fillId="0" borderId="0" xfId="0" applyFont="1"/>
    <xf numFmtId="0" fontId="0" fillId="0" borderId="0" xfId="0" applyAlignment="1">
      <alignment horizontal="left" vertical="center" indent="1"/>
    </xf>
    <xf numFmtId="0" fontId="2" fillId="0" borderId="0" xfId="0" applyFont="1" applyAlignment="1">
      <alignment horizontal="center" vertical="center" wrapText="1"/>
    </xf>
    <xf numFmtId="0" fontId="0" fillId="0" borderId="0" xfId="0"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0" fillId="0" borderId="8" xfId="0" applyBorder="1" applyAlignment="1">
      <alignment vertical="center"/>
    </xf>
    <xf numFmtId="0" fontId="0" fillId="0" borderId="9" xfId="0" applyBorder="1" applyAlignment="1">
      <alignment vertical="center"/>
    </xf>
    <xf numFmtId="0" fontId="0" fillId="0" borderId="3" xfId="0" applyBorder="1" applyAlignment="1">
      <alignment vertical="center" wrapText="1"/>
    </xf>
    <xf numFmtId="0" fontId="0" fillId="0" borderId="4" xfId="0"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0" fillId="0" borderId="8" xfId="0" applyBorder="1" applyAlignment="1">
      <alignment vertical="center" wrapText="1"/>
    </xf>
    <xf numFmtId="0" fontId="0" fillId="0" borderId="2" xfId="0" applyBorder="1" applyAlignment="1">
      <alignment vertical="center" wrapText="1"/>
    </xf>
    <xf numFmtId="0" fontId="0" fillId="0" borderId="9" xfId="0" applyBorder="1" applyAlignment="1">
      <alignment vertical="center" wrapText="1"/>
    </xf>
    <xf numFmtId="9" fontId="0" fillId="0" borderId="0" xfId="1" applyFont="1" applyAlignment="1">
      <alignment vertical="center" wrapText="1"/>
    </xf>
    <xf numFmtId="9" fontId="0" fillId="0" borderId="0" xfId="1" applyFont="1"/>
    <xf numFmtId="14" fontId="0" fillId="0" borderId="0" xfId="0" applyNumberFormat="1"/>
    <xf numFmtId="14" fontId="2" fillId="0" borderId="0" xfId="0" applyNumberFormat="1" applyFont="1"/>
    <xf numFmtId="2" fontId="2" fillId="0" borderId="0" xfId="1" applyNumberFormat="1" applyFont="1"/>
    <xf numFmtId="2" fontId="0" fillId="0" borderId="0" xfId="1" applyNumberFormat="1" applyFont="1"/>
    <xf numFmtId="164" fontId="0" fillId="0" borderId="0" xfId="0" applyNumberFormat="1"/>
    <xf numFmtId="164" fontId="2" fillId="0" borderId="0" xfId="0" applyNumberFormat="1" applyFont="1"/>
    <xf numFmtId="164" fontId="0" fillId="0" borderId="0" xfId="0" applyNumberFormat="1" applyAlignment="1">
      <alignment vertical="center"/>
    </xf>
    <xf numFmtId="165" fontId="0" fillId="0" borderId="0" xfId="0" applyNumberFormat="1"/>
    <xf numFmtId="0" fontId="0" fillId="0" borderId="14" xfId="0" applyBorder="1"/>
    <xf numFmtId="0" fontId="0" fillId="5" borderId="14" xfId="0" applyFill="1" applyBorder="1"/>
    <xf numFmtId="0" fontId="10" fillId="6" borderId="14" xfId="0" applyFont="1" applyFill="1" applyBorder="1" applyAlignment="1">
      <alignment horizontal="center" vertical="center" wrapText="1"/>
    </xf>
    <xf numFmtId="0" fontId="10" fillId="6" borderId="15" xfId="0" applyFont="1" applyFill="1" applyBorder="1"/>
    <xf numFmtId="164" fontId="0" fillId="5" borderId="15" xfId="0" applyNumberFormat="1" applyFill="1" applyBorder="1"/>
    <xf numFmtId="164" fontId="0" fillId="0" borderId="0" xfId="0" applyNumberFormat="1" applyAlignment="1">
      <alignment vertical="center" wrapText="1"/>
    </xf>
    <xf numFmtId="0" fontId="0" fillId="0" borderId="1" xfId="0" applyBorder="1"/>
    <xf numFmtId="0" fontId="2" fillId="0" borderId="1" xfId="0" applyFont="1" applyBorder="1"/>
    <xf numFmtId="0" fontId="10" fillId="8" borderId="1" xfId="0" applyFont="1" applyFill="1" applyBorder="1"/>
    <xf numFmtId="164" fontId="0" fillId="0" borderId="1" xfId="0" applyNumberFormat="1" applyBorder="1"/>
    <xf numFmtId="9" fontId="0" fillId="0" borderId="1" xfId="1" applyFont="1" applyBorder="1"/>
    <xf numFmtId="168" fontId="0" fillId="0" borderId="1" xfId="0" applyNumberFormat="1" applyBorder="1"/>
    <xf numFmtId="0" fontId="0" fillId="0" borderId="0" xfId="0" pivotButton="1"/>
    <xf numFmtId="0" fontId="0" fillId="0" borderId="0" xfId="0" applyAlignment="1">
      <alignment horizontal="left"/>
    </xf>
    <xf numFmtId="167" fontId="0" fillId="0" borderId="0" xfId="0" applyNumberFormat="1"/>
    <xf numFmtId="0" fontId="6" fillId="2" borderId="0" xfId="0" applyFont="1" applyFill="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2" fillId="4" borderId="9" xfId="0" applyFont="1" applyFill="1" applyBorder="1" applyAlignment="1">
      <alignment horizontal="center"/>
    </xf>
    <xf numFmtId="0" fontId="2" fillId="4" borderId="12" xfId="0" applyFont="1" applyFill="1" applyBorder="1" applyAlignment="1">
      <alignment horizontal="center"/>
    </xf>
    <xf numFmtId="0" fontId="2" fillId="4" borderId="8" xfId="0" applyFont="1" applyFill="1" applyBorder="1" applyAlignment="1">
      <alignment horizontal="center"/>
    </xf>
    <xf numFmtId="166" fontId="11" fillId="4" borderId="10" xfId="0" applyNumberFormat="1" applyFont="1" applyFill="1" applyBorder="1" applyAlignment="1">
      <alignment horizontal="center"/>
    </xf>
    <xf numFmtId="166" fontId="11" fillId="4" borderId="0" xfId="0" applyNumberFormat="1" applyFont="1" applyFill="1" applyAlignment="1">
      <alignment horizontal="center"/>
    </xf>
    <xf numFmtId="166" fontId="11" fillId="4" borderId="11" xfId="0" applyNumberFormat="1" applyFont="1" applyFill="1" applyBorder="1" applyAlignment="1">
      <alignment horizontal="center"/>
    </xf>
    <xf numFmtId="166" fontId="11" fillId="4" borderId="7" xfId="0" applyNumberFormat="1" applyFont="1" applyFill="1" applyBorder="1" applyAlignment="1">
      <alignment horizontal="center"/>
    </xf>
    <xf numFmtId="166" fontId="11" fillId="4" borderId="13" xfId="0" applyNumberFormat="1" applyFont="1" applyFill="1" applyBorder="1" applyAlignment="1">
      <alignment horizontal="center"/>
    </xf>
    <xf numFmtId="166" fontId="11" fillId="4" borderId="5" xfId="0" applyNumberFormat="1" applyFont="1" applyFill="1" applyBorder="1" applyAlignment="1">
      <alignment horizontal="center"/>
    </xf>
    <xf numFmtId="0" fontId="8" fillId="7" borderId="9" xfId="0" applyFont="1" applyFill="1" applyBorder="1" applyAlignment="1">
      <alignment horizontal="center"/>
    </xf>
    <xf numFmtId="0" fontId="8" fillId="7" borderId="12" xfId="0" applyFont="1" applyFill="1" applyBorder="1" applyAlignment="1">
      <alignment horizontal="center"/>
    </xf>
    <xf numFmtId="0" fontId="8" fillId="7" borderId="8" xfId="0" applyFont="1" applyFill="1" applyBorder="1" applyAlignment="1">
      <alignment horizontal="center"/>
    </xf>
    <xf numFmtId="167" fontId="6" fillId="7" borderId="10" xfId="0" applyNumberFormat="1" applyFont="1" applyFill="1" applyBorder="1" applyAlignment="1">
      <alignment horizontal="center"/>
    </xf>
    <xf numFmtId="167" fontId="6" fillId="7" borderId="0" xfId="0" applyNumberFormat="1" applyFont="1" applyFill="1" applyAlignment="1">
      <alignment horizontal="center"/>
    </xf>
    <xf numFmtId="167" fontId="6" fillId="7" borderId="11" xfId="0" applyNumberFormat="1" applyFont="1" applyFill="1" applyBorder="1" applyAlignment="1">
      <alignment horizontal="center"/>
    </xf>
    <xf numFmtId="167" fontId="6" fillId="7" borderId="7" xfId="0" applyNumberFormat="1" applyFont="1" applyFill="1" applyBorder="1" applyAlignment="1">
      <alignment horizontal="center"/>
    </xf>
    <xf numFmtId="167" fontId="6" fillId="7" borderId="13" xfId="0" applyNumberFormat="1" applyFont="1" applyFill="1" applyBorder="1" applyAlignment="1">
      <alignment horizontal="center"/>
    </xf>
    <xf numFmtId="167" fontId="6" fillId="7" borderId="5" xfId="0" applyNumberFormat="1" applyFont="1" applyFill="1" applyBorder="1" applyAlignment="1">
      <alignment horizontal="center"/>
    </xf>
    <xf numFmtId="0" fontId="8" fillId="3" borderId="9" xfId="0" applyFont="1" applyFill="1" applyBorder="1" applyAlignment="1">
      <alignment horizontal="center"/>
    </xf>
    <xf numFmtId="0" fontId="8" fillId="3" borderId="12" xfId="0" applyFont="1" applyFill="1" applyBorder="1" applyAlignment="1">
      <alignment horizontal="center"/>
    </xf>
    <xf numFmtId="0" fontId="8" fillId="3" borderId="8" xfId="0" applyFont="1" applyFill="1" applyBorder="1" applyAlignment="1">
      <alignment horizontal="center"/>
    </xf>
    <xf numFmtId="9" fontId="9" fillId="3" borderId="10" xfId="1" applyFont="1" applyFill="1" applyBorder="1" applyAlignment="1">
      <alignment horizontal="center"/>
    </xf>
    <xf numFmtId="9" fontId="9" fillId="3" borderId="0" xfId="1" applyFont="1" applyFill="1" applyBorder="1" applyAlignment="1">
      <alignment horizontal="center"/>
    </xf>
    <xf numFmtId="9" fontId="9" fillId="3" borderId="11" xfId="1" applyFont="1" applyFill="1" applyBorder="1" applyAlignment="1">
      <alignment horizontal="center"/>
    </xf>
    <xf numFmtId="9" fontId="9" fillId="3" borderId="7" xfId="1" applyFont="1" applyFill="1" applyBorder="1" applyAlignment="1">
      <alignment horizontal="center"/>
    </xf>
    <xf numFmtId="9" fontId="9" fillId="3" borderId="13" xfId="1" applyFont="1" applyFill="1" applyBorder="1" applyAlignment="1">
      <alignment horizontal="center"/>
    </xf>
    <xf numFmtId="9" fontId="9" fillId="3" borderId="5" xfId="1" applyFont="1" applyFill="1" applyBorder="1" applyAlignment="1">
      <alignment horizontal="center"/>
    </xf>
    <xf numFmtId="0" fontId="7" fillId="2" borderId="0" xfId="0" applyFont="1" applyFill="1" applyAlignment="1">
      <alignment horizontal="center" vertical="center"/>
    </xf>
  </cellXfs>
  <cellStyles count="2">
    <cellStyle name="Normal" xfId="0" builtinId="0"/>
    <cellStyle name="Percent" xfId="1" builtinId="5"/>
  </cellStyles>
  <dxfs count="63">
    <dxf>
      <numFmt numFmtId="164" formatCode="[$KES]\ #,##0"/>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dxf>
    <dxf>
      <numFmt numFmtId="164" formatCode="[$KES]\ #,##0"/>
    </dxf>
    <dxf>
      <numFmt numFmtId="165" formatCode="_([$KES]\ * #,##0_);_([$KES]\ * \(#,##0\);_([$KES]\ * &quot;-&quot;_);_(@_)"/>
    </dxf>
    <dxf>
      <numFmt numFmtId="167" formatCode="&quot;KES &quot;0.0,,,&quot;B&quo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 formatCode="0.00"/>
    </dxf>
    <dxf>
      <numFmt numFmtId="19" formatCode="m/d/yyyy"/>
    </dxf>
    <dxf>
      <numFmt numFmtId="164" formatCode="[$KES]\ #,##0"/>
    </dxf>
    <dxf>
      <numFmt numFmtId="164" formatCode="[$KES]\ #,##0"/>
    </dxf>
    <dxf>
      <numFmt numFmtId="19" formatCode="m/d/yyyy"/>
    </dxf>
    <dxf>
      <font>
        <b val="0"/>
        <i val="0"/>
        <strike val="0"/>
        <condense val="0"/>
        <extend val="0"/>
        <outline val="0"/>
        <shadow val="0"/>
        <u val="none"/>
        <vertAlign val="baseline"/>
        <sz val="11"/>
        <color theme="1"/>
        <name val="Calibri"/>
        <family val="2"/>
        <scheme val="minor"/>
      </font>
    </dxf>
    <dxf>
      <numFmt numFmtId="164" formatCode="[$KES]\ #,##0"/>
    </dxf>
    <dxf>
      <font>
        <b/>
        <i val="0"/>
        <strike val="0"/>
        <condense val="0"/>
        <extend val="0"/>
        <outline val="0"/>
        <shadow val="0"/>
        <u val="none"/>
        <vertAlign val="baseline"/>
        <sz val="11"/>
        <color theme="1"/>
        <name val="Calibri"/>
        <family val="2"/>
        <scheme val="minor"/>
      </font>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dxf>
    <dxf>
      <numFmt numFmtId="164" formatCode="[$KES]\ #,##0"/>
    </dxf>
    <dxf>
      <alignment horizontal="general" vertical="center" textRotation="0" wrapText="0" indent="0" justifyLastLine="0" shrinkToFit="0" readingOrder="0"/>
    </dxf>
    <dxf>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F2041"/>
      <color rgb="FF2F5597"/>
      <color rgb="FFFFC000"/>
      <color rgb="FFED7D31"/>
      <color rgb="FF7F7F7F"/>
      <color rgb="FFC00000"/>
      <color rgb="FF1F3A5F"/>
      <color rgb="FFC83C3C"/>
      <color rgb="FFF0B428"/>
      <color rgb="FFE678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t>Branch Default Risk Exposure (KES Billions)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dLbls>
          <c:showLegendKey val="0"/>
          <c:showVal val="1"/>
          <c:showCatName val="0"/>
          <c:showSerName val="0"/>
          <c:showPercent val="0"/>
          <c:showBubbleSize val="0"/>
        </c:dLbls>
        <c:gapWidth val="60"/>
        <c:overlap val="-27"/>
        <c:axId val="1679784079"/>
        <c:axId val="1679789359"/>
      </c:barChart>
      <c:catAx>
        <c:axId val="1679784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679789359"/>
        <c:crosses val="autoZero"/>
        <c:auto val="1"/>
        <c:lblAlgn val="ctr"/>
        <c:lblOffset val="100"/>
        <c:noMultiLvlLbl val="0"/>
      </c:catAx>
      <c:valAx>
        <c:axId val="1679789359"/>
        <c:scaling>
          <c:orientation val="minMax"/>
        </c:scaling>
        <c:delete val="0"/>
        <c:axPos val="l"/>
        <c:numFmt formatCode="0.0,,,&quot;B&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6797840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[Loan Portfolio Risk &amp; Performance Analysis.xlsx]Portfolio_KPIs!Branch Exposure Pivot</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baseline="0">
                <a:solidFill>
                  <a:sysClr val="windowText" lastClr="000000"/>
                </a:solidFill>
              </a:rPr>
              <a:t>Loan Portfolio Exposure by Branch</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1F3A5F"/>
          </a:solidFill>
          <a:ln>
            <a:noFill/>
          </a:ln>
          <a:effectLst/>
        </c:spPr>
        <c:marker>
          <c:symbol val="none"/>
        </c:marker>
        <c:dLbl>
          <c:idx val="0"/>
          <c:numFmt formatCode="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1F3A5F"/>
          </a:solidFill>
          <a:ln>
            <a:noFill/>
          </a:ln>
          <a:effectLst/>
        </c:spPr>
        <c:marker>
          <c:symbol val="none"/>
        </c:marker>
        <c:dLbl>
          <c:idx val="0"/>
          <c:numFmt formatCode="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1F3A5F"/>
          </a:solidFill>
          <a:ln>
            <a:noFill/>
          </a:ln>
          <a:effectLst/>
        </c:spPr>
        <c:marker>
          <c:symbol val="none"/>
        </c:marker>
        <c:dLbl>
          <c:idx val="0"/>
          <c:numFmt formatCode="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Portfolio_KPIs!$B$48</c:f>
              <c:strCache>
                <c:ptCount val="1"/>
                <c:pt idx="0">
                  <c:v>Total</c:v>
                </c:pt>
              </c:strCache>
            </c:strRef>
          </c:tx>
          <c:spPr>
            <a:solidFill>
              <a:srgbClr val="1F3A5F"/>
            </a:solidFill>
            <a:ln>
              <a:noFill/>
            </a:ln>
            <a:effectLst/>
          </c:spPr>
          <c:invertIfNegative val="0"/>
          <c:dLbls>
            <c:numFmt formatCode="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Portfolio_KPIs!$A$49:$A$64</c:f>
              <c:strCache>
                <c:ptCount val="15"/>
                <c:pt idx="0">
                  <c:v>Nyeri</c:v>
                </c:pt>
                <c:pt idx="1">
                  <c:v>Kitale</c:v>
                </c:pt>
                <c:pt idx="2">
                  <c:v>Kisumu</c:v>
                </c:pt>
                <c:pt idx="3">
                  <c:v>Karen</c:v>
                </c:pt>
                <c:pt idx="4">
                  <c:v>Nyahururu</c:v>
                </c:pt>
                <c:pt idx="5">
                  <c:v>Machakos</c:v>
                </c:pt>
                <c:pt idx="6">
                  <c:v>Upper Hill</c:v>
                </c:pt>
                <c:pt idx="7">
                  <c:v>Eldoret</c:v>
                </c:pt>
                <c:pt idx="8">
                  <c:v>Mombasa</c:v>
                </c:pt>
                <c:pt idx="9">
                  <c:v>Thika</c:v>
                </c:pt>
                <c:pt idx="10">
                  <c:v>Westlands</c:v>
                </c:pt>
                <c:pt idx="11">
                  <c:v>Meru</c:v>
                </c:pt>
                <c:pt idx="12">
                  <c:v>Nakuru</c:v>
                </c:pt>
                <c:pt idx="13">
                  <c:v>Naivasha</c:v>
                </c:pt>
                <c:pt idx="14">
                  <c:v>Malindi</c:v>
                </c:pt>
              </c:strCache>
            </c:strRef>
          </c:cat>
          <c:val>
            <c:numRef>
              <c:f>Portfolio_KPIs!$B$49:$B$64</c:f>
              <c:numCache>
                <c:formatCode>[$KES]\ #,##0</c:formatCode>
                <c:ptCount val="15"/>
                <c:pt idx="0">
                  <c:v>1932750000</c:v>
                </c:pt>
                <c:pt idx="1">
                  <c:v>1809000000</c:v>
                </c:pt>
                <c:pt idx="2">
                  <c:v>1771600000</c:v>
                </c:pt>
                <c:pt idx="3">
                  <c:v>1720500000</c:v>
                </c:pt>
                <c:pt idx="4">
                  <c:v>1655900000</c:v>
                </c:pt>
                <c:pt idx="5">
                  <c:v>1655200000</c:v>
                </c:pt>
                <c:pt idx="6">
                  <c:v>1633300000</c:v>
                </c:pt>
                <c:pt idx="7">
                  <c:v>1621000000</c:v>
                </c:pt>
                <c:pt idx="8">
                  <c:v>1613350000</c:v>
                </c:pt>
                <c:pt idx="9">
                  <c:v>1404450000</c:v>
                </c:pt>
                <c:pt idx="10">
                  <c:v>1365650000</c:v>
                </c:pt>
                <c:pt idx="11">
                  <c:v>1357000000</c:v>
                </c:pt>
                <c:pt idx="12">
                  <c:v>1254250000</c:v>
                </c:pt>
                <c:pt idx="13">
                  <c:v>1199750000</c:v>
                </c:pt>
                <c:pt idx="14">
                  <c:v>1010400000</c:v>
                </c:pt>
              </c:numCache>
            </c:numRef>
          </c:val>
          <c:extLst>
            <c:ext xmlns:c16="http://schemas.microsoft.com/office/drawing/2014/chart" uri="{C3380CC4-5D6E-409C-BE32-E72D297353CC}">
              <c16:uniqueId val="{00000000-FF8D-45CC-B2ED-4CEBA895CEAC}"/>
            </c:ext>
          </c:extLst>
        </c:ser>
        <c:dLbls>
          <c:dLblPos val="outEnd"/>
          <c:showLegendKey val="0"/>
          <c:showVal val="1"/>
          <c:showCatName val="0"/>
          <c:showSerName val="0"/>
          <c:showPercent val="0"/>
          <c:showBubbleSize val="0"/>
        </c:dLbls>
        <c:gapWidth val="50"/>
        <c:overlap val="-27"/>
        <c:axId val="924056143"/>
        <c:axId val="924055663"/>
      </c:barChart>
      <c:catAx>
        <c:axId val="9240561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n-US"/>
          </a:p>
        </c:txPr>
        <c:crossAx val="924055663"/>
        <c:crosses val="autoZero"/>
        <c:auto val="1"/>
        <c:lblAlgn val="ctr"/>
        <c:lblOffset val="100"/>
        <c:noMultiLvlLbl val="0"/>
      </c:catAx>
      <c:valAx>
        <c:axId val="924055663"/>
        <c:scaling>
          <c:orientation val="minMax"/>
        </c:scaling>
        <c:delete val="0"/>
        <c:axPos val="l"/>
        <c:numFmt formatCode="0.0,,,&quot;B&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2405614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[Loan Portfolio Risk &amp; Performance Analysis.xlsx]Portfolio_KPIs!Default Exposure Pivot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baseline="0">
                <a:solidFill>
                  <a:sysClr val="windowText" lastClr="000000"/>
                </a:solidFill>
              </a:rPr>
              <a:t>Default Loan Exposure by Branch</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C00000"/>
          </a:solidFill>
          <a:ln>
            <a:noFill/>
          </a:ln>
          <a:effectLst/>
        </c:spPr>
        <c:marker>
          <c:symbol val="none"/>
        </c:marker>
        <c:dLbl>
          <c:idx val="0"/>
          <c:numFmt formatCode="0.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00000"/>
          </a:solidFill>
          <a:ln>
            <a:noFill/>
          </a:ln>
          <a:effectLst/>
        </c:spPr>
        <c:marker>
          <c:symbol val="none"/>
        </c:marker>
        <c:dLbl>
          <c:idx val="0"/>
          <c:numFmt formatCode="0.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C00000"/>
          </a:solidFill>
          <a:ln>
            <a:noFill/>
          </a:ln>
          <a:effectLst/>
        </c:spPr>
        <c:marker>
          <c:symbol val="none"/>
        </c:marker>
        <c:dLbl>
          <c:idx val="0"/>
          <c:numFmt formatCode="0.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Portfolio_KPIs!$E$50</c:f>
              <c:strCache>
                <c:ptCount val="1"/>
                <c:pt idx="0">
                  <c:v>Total</c:v>
                </c:pt>
              </c:strCache>
            </c:strRef>
          </c:tx>
          <c:spPr>
            <a:solidFill>
              <a:srgbClr val="C00000"/>
            </a:solidFill>
            <a:ln>
              <a:noFill/>
            </a:ln>
            <a:effectLst/>
          </c:spPr>
          <c:invertIfNegative val="0"/>
          <c:dLbls>
            <c:numFmt formatCode="0.00,,,&quot;B&quot;"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Portfolio_KPIs!$D$51:$D$66</c:f>
              <c:strCache>
                <c:ptCount val="15"/>
                <c:pt idx="0">
                  <c:v>Karen</c:v>
                </c:pt>
                <c:pt idx="1">
                  <c:v>Kisumu</c:v>
                </c:pt>
                <c:pt idx="2">
                  <c:v>Eldoret</c:v>
                </c:pt>
                <c:pt idx="3">
                  <c:v>Nyeri</c:v>
                </c:pt>
                <c:pt idx="4">
                  <c:v>Mombasa</c:v>
                </c:pt>
                <c:pt idx="5">
                  <c:v>Upper Hill</c:v>
                </c:pt>
                <c:pt idx="6">
                  <c:v>Kitale</c:v>
                </c:pt>
                <c:pt idx="7">
                  <c:v>Thika</c:v>
                </c:pt>
                <c:pt idx="8">
                  <c:v>Machakos</c:v>
                </c:pt>
                <c:pt idx="9">
                  <c:v>Nyahururu</c:v>
                </c:pt>
                <c:pt idx="10">
                  <c:v>Westlands</c:v>
                </c:pt>
                <c:pt idx="11">
                  <c:v>Nakuru</c:v>
                </c:pt>
                <c:pt idx="12">
                  <c:v>Meru</c:v>
                </c:pt>
                <c:pt idx="13">
                  <c:v>Naivasha</c:v>
                </c:pt>
                <c:pt idx="14">
                  <c:v>Malindi</c:v>
                </c:pt>
              </c:strCache>
            </c:strRef>
          </c:cat>
          <c:val>
            <c:numRef>
              <c:f>Portfolio_KPIs!$E$51:$E$66</c:f>
              <c:numCache>
                <c:formatCode>[$KES]\ #,##0</c:formatCode>
                <c:ptCount val="15"/>
                <c:pt idx="0">
                  <c:v>1368450000</c:v>
                </c:pt>
                <c:pt idx="1">
                  <c:v>1364300000</c:v>
                </c:pt>
                <c:pt idx="2">
                  <c:v>1350550000</c:v>
                </c:pt>
                <c:pt idx="3">
                  <c:v>1268350000</c:v>
                </c:pt>
                <c:pt idx="4">
                  <c:v>1186300000</c:v>
                </c:pt>
                <c:pt idx="5">
                  <c:v>1165050000</c:v>
                </c:pt>
                <c:pt idx="6">
                  <c:v>1126200000</c:v>
                </c:pt>
                <c:pt idx="7">
                  <c:v>1114050000</c:v>
                </c:pt>
                <c:pt idx="8">
                  <c:v>1097150000</c:v>
                </c:pt>
                <c:pt idx="9">
                  <c:v>999000000</c:v>
                </c:pt>
                <c:pt idx="10">
                  <c:v>995900000</c:v>
                </c:pt>
                <c:pt idx="11">
                  <c:v>880900000</c:v>
                </c:pt>
                <c:pt idx="12">
                  <c:v>875450000</c:v>
                </c:pt>
                <c:pt idx="13">
                  <c:v>801050000</c:v>
                </c:pt>
                <c:pt idx="14">
                  <c:v>663550000</c:v>
                </c:pt>
              </c:numCache>
            </c:numRef>
          </c:val>
          <c:extLst>
            <c:ext xmlns:c16="http://schemas.microsoft.com/office/drawing/2014/chart" uri="{C3380CC4-5D6E-409C-BE32-E72D297353CC}">
              <c16:uniqueId val="{00000000-2618-442F-9D6A-008247BACFD4}"/>
            </c:ext>
          </c:extLst>
        </c:ser>
        <c:dLbls>
          <c:dLblPos val="outEnd"/>
          <c:showLegendKey val="0"/>
          <c:showVal val="1"/>
          <c:showCatName val="0"/>
          <c:showSerName val="0"/>
          <c:showPercent val="0"/>
          <c:showBubbleSize val="0"/>
        </c:dLbls>
        <c:gapWidth val="50"/>
        <c:overlap val="-27"/>
        <c:axId val="523499679"/>
        <c:axId val="523502559"/>
      </c:barChart>
      <c:catAx>
        <c:axId val="523499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n-US"/>
          </a:p>
        </c:txPr>
        <c:crossAx val="523502559"/>
        <c:crosses val="autoZero"/>
        <c:auto val="1"/>
        <c:lblAlgn val="ctr"/>
        <c:lblOffset val="100"/>
        <c:noMultiLvlLbl val="0"/>
      </c:catAx>
      <c:valAx>
        <c:axId val="523502559"/>
        <c:scaling>
          <c:orientation val="minMax"/>
        </c:scaling>
        <c:delete val="0"/>
        <c:axPos val="l"/>
        <c:numFmt formatCode="0.00,,,&quot;B&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234996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[Loan Portfolio Risk &amp; Performance Analysis.xlsx]Portfolio_KPIs!Portfolio Composition Pivot</c:name>
    <c:fmtId val="2"/>
  </c:pivotSource>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Loan Portfolio Composition</a:t>
            </a:r>
          </a:p>
        </c:rich>
      </c:tx>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solidFill>
            <a:srgbClr val="7F7F7F"/>
          </a:solidFill>
          <a:ln w="19050">
            <a:solidFill>
              <a:schemeClr val="lt1"/>
            </a:solidFill>
          </a:ln>
          <a:effectLst/>
        </c:spPr>
        <c:dLbl>
          <c:idx val="0"/>
          <c:layout>
            <c:manualLayout>
              <c:x val="0.10833333333333334"/>
              <c:y val="8.796296296296296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solidFill>
            <a:srgbClr val="ED7D31"/>
          </a:solidFill>
          <a:ln w="19050">
            <a:solidFill>
              <a:schemeClr val="lt1"/>
            </a:solidFill>
          </a:ln>
          <a:effectLst/>
        </c:spPr>
        <c:dLbl>
          <c:idx val="0"/>
          <c:layout>
            <c:manualLayout>
              <c:x val="-0.10555555555555558"/>
              <c:y val="4.6296296296296719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3"/>
        <c:spPr>
          <a:solidFill>
            <a:srgbClr val="FFC000"/>
          </a:solidFill>
          <a:ln w="19050">
            <a:solidFill>
              <a:schemeClr val="lt1"/>
            </a:solidFill>
          </a:ln>
          <a:effectLst/>
        </c:spPr>
        <c:dLbl>
          <c:idx val="0"/>
          <c:layout>
            <c:manualLayout>
              <c:x val="-0.15555555555555556"/>
              <c:y val="-6.0185185185185182E-2"/>
            </c:manualLayout>
          </c:layout>
          <c:spPr>
            <a:noFill/>
            <a:ln>
              <a:noFill/>
            </a:ln>
            <a:effectLst/>
          </c:spPr>
          <c:txPr>
            <a:bodyPr rot="0" spcFirstLastPara="1" vertOverflow="ellipsis" horzOverflow="clip"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4"/>
        <c:spPr>
          <a:solidFill>
            <a:srgbClr val="2F5597"/>
          </a:solidFill>
          <a:ln w="19050">
            <a:solidFill>
              <a:schemeClr val="lt1"/>
            </a:solidFill>
          </a:ln>
          <a:effectLst/>
        </c:spPr>
        <c:dLbl>
          <c:idx val="0"/>
          <c:layout>
            <c:manualLayout>
              <c:x val="0.19444444444444434"/>
              <c:y val="-3.703703703703705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6"/>
        <c:spPr>
          <a:solidFill>
            <a:srgbClr val="7F7F7F"/>
          </a:solidFill>
          <a:ln w="19050">
            <a:solidFill>
              <a:schemeClr val="lt1"/>
            </a:solidFill>
          </a:ln>
          <a:effectLst/>
        </c:spPr>
        <c:dLbl>
          <c:idx val="0"/>
          <c:layout>
            <c:manualLayout>
              <c:x val="0.10833333333333334"/>
              <c:y val="8.796296296296296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7"/>
        <c:spPr>
          <a:solidFill>
            <a:srgbClr val="ED7D31"/>
          </a:solidFill>
          <a:ln w="19050">
            <a:solidFill>
              <a:schemeClr val="lt1"/>
            </a:solidFill>
          </a:ln>
          <a:effectLst/>
        </c:spPr>
        <c:dLbl>
          <c:idx val="0"/>
          <c:layout>
            <c:manualLayout>
              <c:x val="-0.10555555555555558"/>
              <c:y val="4.6296296296296719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
        <c:spPr>
          <a:solidFill>
            <a:srgbClr val="FFC000"/>
          </a:solidFill>
          <a:ln w="19050">
            <a:solidFill>
              <a:schemeClr val="lt1"/>
            </a:solidFill>
          </a:ln>
          <a:effectLst/>
        </c:spPr>
        <c:dLbl>
          <c:idx val="0"/>
          <c:layout>
            <c:manualLayout>
              <c:x val="-0.15555555555555556"/>
              <c:y val="-6.0185185185185182E-2"/>
            </c:manualLayout>
          </c:layout>
          <c:spPr>
            <a:noFill/>
            <a:ln>
              <a:noFill/>
            </a:ln>
            <a:effectLst/>
          </c:spPr>
          <c:txPr>
            <a:bodyPr rot="0" spcFirstLastPara="1" vertOverflow="ellipsis" horzOverflow="clip"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9"/>
        <c:spPr>
          <a:solidFill>
            <a:srgbClr val="2F5597"/>
          </a:solidFill>
          <a:ln w="19050">
            <a:solidFill>
              <a:schemeClr val="lt1"/>
            </a:solidFill>
          </a:ln>
          <a:effectLst/>
        </c:spPr>
        <c:dLbl>
          <c:idx val="0"/>
          <c:layout>
            <c:manualLayout>
              <c:x val="0.19444444444444434"/>
              <c:y val="-3.703703703703705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1"/>
        <c:spPr>
          <a:solidFill>
            <a:srgbClr val="7F7F7F"/>
          </a:solidFill>
          <a:ln w="19050">
            <a:solidFill>
              <a:schemeClr val="lt1"/>
            </a:solidFill>
          </a:ln>
          <a:effectLst/>
        </c:spPr>
        <c:dLbl>
          <c:idx val="0"/>
          <c:layout>
            <c:manualLayout>
              <c:x val="0.10833333333333334"/>
              <c:y val="8.796296296296296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2"/>
        <c:spPr>
          <a:solidFill>
            <a:srgbClr val="ED7D31"/>
          </a:solidFill>
          <a:ln w="19050">
            <a:solidFill>
              <a:schemeClr val="lt1"/>
            </a:solidFill>
          </a:ln>
          <a:effectLst/>
        </c:spPr>
        <c:dLbl>
          <c:idx val="0"/>
          <c:layout>
            <c:manualLayout>
              <c:x val="-0.10555555555555558"/>
              <c:y val="4.6296296296296719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3"/>
        <c:spPr>
          <a:solidFill>
            <a:srgbClr val="FFC000"/>
          </a:solidFill>
          <a:ln w="19050">
            <a:solidFill>
              <a:schemeClr val="lt1"/>
            </a:solidFill>
          </a:ln>
          <a:effectLst/>
        </c:spPr>
        <c:dLbl>
          <c:idx val="0"/>
          <c:layout>
            <c:manualLayout>
              <c:x val="-0.15555555555555556"/>
              <c:y val="-6.0185185185185182E-2"/>
            </c:manualLayout>
          </c:layout>
          <c:spPr>
            <a:noFill/>
            <a:ln>
              <a:noFill/>
            </a:ln>
            <a:effectLst/>
          </c:spPr>
          <c:txPr>
            <a:bodyPr rot="0" spcFirstLastPara="1" vertOverflow="ellipsis" horzOverflow="clip"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4"/>
        <c:spPr>
          <a:solidFill>
            <a:srgbClr val="2F5597"/>
          </a:solidFill>
          <a:ln w="19050">
            <a:solidFill>
              <a:schemeClr val="lt1"/>
            </a:solidFill>
          </a:ln>
          <a:effectLst/>
        </c:spPr>
        <c:dLbl>
          <c:idx val="0"/>
          <c:layout>
            <c:manualLayout>
              <c:x val="0.19444444444444434"/>
              <c:y val="-3.703703703703705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s>
    <c:plotArea>
      <c:layout>
        <c:manualLayout>
          <c:layoutTarget val="inner"/>
          <c:xMode val="edge"/>
          <c:yMode val="edge"/>
          <c:x val="0.1800720846175112"/>
          <c:y val="0.18499708369787107"/>
          <c:w val="0.62154203741437397"/>
          <c:h val="0.81500280607472664"/>
        </c:manualLayout>
      </c:layout>
      <c:doughnutChart>
        <c:varyColors val="1"/>
        <c:ser>
          <c:idx val="0"/>
          <c:order val="0"/>
          <c:tx>
            <c:strRef>
              <c:f>Portfolio_KPIs!$B$69</c:f>
              <c:strCache>
                <c:ptCount val="1"/>
                <c:pt idx="0">
                  <c:v>Total</c:v>
                </c:pt>
              </c:strCache>
            </c:strRef>
          </c:tx>
          <c:dPt>
            <c:idx val="0"/>
            <c:bubble3D val="0"/>
            <c:spPr>
              <a:solidFill>
                <a:srgbClr val="7F7F7F"/>
              </a:solidFill>
              <a:ln w="19050">
                <a:solidFill>
                  <a:schemeClr val="lt1"/>
                </a:solidFill>
              </a:ln>
              <a:effectLst/>
            </c:spPr>
            <c:extLst>
              <c:ext xmlns:c16="http://schemas.microsoft.com/office/drawing/2014/chart" uri="{C3380CC4-5D6E-409C-BE32-E72D297353CC}">
                <c16:uniqueId val="{00000001-A3BD-4EFB-955C-FA0CBC97B8F8}"/>
              </c:ext>
            </c:extLst>
          </c:dPt>
          <c:dPt>
            <c:idx val="1"/>
            <c:bubble3D val="0"/>
            <c:explosion val="8"/>
            <c:spPr>
              <a:solidFill>
                <a:srgbClr val="ED7D31"/>
              </a:solidFill>
              <a:ln w="19050">
                <a:solidFill>
                  <a:schemeClr val="lt1"/>
                </a:solidFill>
              </a:ln>
              <a:effectLst/>
            </c:spPr>
            <c:extLst>
              <c:ext xmlns:c16="http://schemas.microsoft.com/office/drawing/2014/chart" uri="{C3380CC4-5D6E-409C-BE32-E72D297353CC}">
                <c16:uniqueId val="{00000003-A3BD-4EFB-955C-FA0CBC97B8F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A3BD-4EFB-955C-FA0CBC97B8F8}"/>
              </c:ext>
            </c:extLst>
          </c:dPt>
          <c:dPt>
            <c:idx val="3"/>
            <c:bubble3D val="0"/>
            <c:spPr>
              <a:solidFill>
                <a:srgbClr val="2F5597"/>
              </a:solidFill>
              <a:ln w="19050">
                <a:solidFill>
                  <a:schemeClr val="lt1"/>
                </a:solidFill>
              </a:ln>
              <a:effectLst/>
            </c:spPr>
            <c:extLst>
              <c:ext xmlns:c16="http://schemas.microsoft.com/office/drawing/2014/chart" uri="{C3380CC4-5D6E-409C-BE32-E72D297353CC}">
                <c16:uniqueId val="{00000007-A3BD-4EFB-955C-FA0CBC97B8F8}"/>
              </c:ext>
            </c:extLst>
          </c:dPt>
          <c:dLbls>
            <c:dLbl>
              <c:idx val="0"/>
              <c:layout>
                <c:manualLayout>
                  <c:x val="0.10833333333333334"/>
                  <c:y val="8.796296296296296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3BD-4EFB-955C-FA0CBC97B8F8}"/>
                </c:ext>
              </c:extLst>
            </c:dLbl>
            <c:dLbl>
              <c:idx val="1"/>
              <c:layout>
                <c:manualLayout>
                  <c:x val="-0.10555555555555558"/>
                  <c:y val="4.6296296296296719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3BD-4EFB-955C-FA0CBC97B8F8}"/>
                </c:ext>
              </c:extLst>
            </c:dLbl>
            <c:dLbl>
              <c:idx val="2"/>
              <c:layout>
                <c:manualLayout>
                  <c:x val="-0.15555555555555556"/>
                  <c:y val="-6.0185185185185182E-2"/>
                </c:manualLayout>
              </c:layout>
              <c:spPr>
                <a:noFill/>
                <a:ln>
                  <a:noFill/>
                </a:ln>
                <a:effectLst/>
              </c:spPr>
              <c:txPr>
                <a:bodyPr rot="0" spcFirstLastPara="1" vertOverflow="ellipsis" horzOverflow="clip" vert="horz" wrap="square" lIns="38100" tIns="19050" rIns="38100" bIns="19050" anchor="ctr" anchorCtr="1">
                  <a:no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5-A3BD-4EFB-955C-FA0CBC97B8F8}"/>
                </c:ext>
              </c:extLst>
            </c:dLbl>
            <c:dLbl>
              <c:idx val="3"/>
              <c:layout>
                <c:manualLayout>
                  <c:x val="0.19444444444444434"/>
                  <c:y val="-3.70370370370370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3BD-4EFB-955C-FA0CBC97B8F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Portfolio_KPIs!$A$70:$A$74</c:f>
              <c:strCache>
                <c:ptCount val="4"/>
                <c:pt idx="0">
                  <c:v>Mortgage</c:v>
                </c:pt>
                <c:pt idx="1">
                  <c:v>SME</c:v>
                </c:pt>
                <c:pt idx="2">
                  <c:v>Asset Finance</c:v>
                </c:pt>
                <c:pt idx="3">
                  <c:v>Personal</c:v>
                </c:pt>
              </c:strCache>
            </c:strRef>
          </c:cat>
          <c:val>
            <c:numRef>
              <c:f>Portfolio_KPIs!$B$70:$B$74</c:f>
              <c:numCache>
                <c:formatCode>"KES "0.0,,,"B"</c:formatCode>
                <c:ptCount val="4"/>
                <c:pt idx="0">
                  <c:v>16797000000</c:v>
                </c:pt>
                <c:pt idx="1">
                  <c:v>4651000000</c:v>
                </c:pt>
                <c:pt idx="2">
                  <c:v>1320000000</c:v>
                </c:pt>
                <c:pt idx="3">
                  <c:v>236100000</c:v>
                </c:pt>
              </c:numCache>
            </c:numRef>
          </c:val>
          <c:extLst>
            <c:ext xmlns:c16="http://schemas.microsoft.com/office/drawing/2014/chart" uri="{C3380CC4-5D6E-409C-BE32-E72D297353CC}">
              <c16:uniqueId val="{00000008-A3BD-4EFB-955C-FA0CBC97B8F8}"/>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9</xdr:col>
      <xdr:colOff>193675</xdr:colOff>
      <xdr:row>9</xdr:row>
      <xdr:rowOff>88900</xdr:rowOff>
    </xdr:from>
    <xdr:to>
      <xdr:col>16</xdr:col>
      <xdr:colOff>498475</xdr:colOff>
      <xdr:row>24</xdr:row>
      <xdr:rowOff>69850</xdr:rowOff>
    </xdr:to>
    <xdr:graphicFrame macro="">
      <xdr:nvGraphicFramePr>
        <xdr:cNvPr id="3" name="Chart 2">
          <a:extLst>
            <a:ext uri="{FF2B5EF4-FFF2-40B4-BE49-F238E27FC236}">
              <a16:creationId xmlns:a16="http://schemas.microsoft.com/office/drawing/2014/main" id="{813C398A-8316-60C8-F3F1-6D2BC59C93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29</xdr:row>
      <xdr:rowOff>25400</xdr:rowOff>
    </xdr:from>
    <xdr:to>
      <xdr:col>5</xdr:col>
      <xdr:colOff>876300</xdr:colOff>
      <xdr:row>31</xdr:row>
      <xdr:rowOff>133350</xdr:rowOff>
    </xdr:to>
    <xdr:sp macro="" textlink="">
      <xdr:nvSpPr>
        <xdr:cNvPr id="4" name="TextBox 3">
          <a:extLst>
            <a:ext uri="{FF2B5EF4-FFF2-40B4-BE49-F238E27FC236}">
              <a16:creationId xmlns:a16="http://schemas.microsoft.com/office/drawing/2014/main" id="{182F75F9-5954-6208-2D28-FF6BC1F19347}"/>
            </a:ext>
          </a:extLst>
        </xdr:cNvPr>
        <xdr:cNvSpPr txBox="1"/>
      </xdr:nvSpPr>
      <xdr:spPr>
        <a:xfrm>
          <a:off x="0" y="5556250"/>
          <a:ext cx="5289550" cy="47625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Nyeri branch holds the largest loan portfolio (~KES </a:t>
          </a:r>
          <a:r>
            <a:rPr lang="en-US" b="1"/>
            <a:t>1.9B</a:t>
          </a:r>
          <a:r>
            <a:rPr lang="en-US"/>
            <a:t>), followed by Kitale and Kisumu. Malindi and Naivasha maintain the smallest loan books, indicating lower lending activity.</a:t>
          </a:r>
          <a:endParaRPr lang="en-US" sz="1100" b="1"/>
        </a:p>
      </xdr:txBody>
    </xdr:sp>
    <xdr:clientData/>
  </xdr:twoCellAnchor>
  <xdr:twoCellAnchor editAs="oneCell">
    <xdr:from>
      <xdr:col>0</xdr:col>
      <xdr:colOff>0</xdr:colOff>
      <xdr:row>5</xdr:row>
      <xdr:rowOff>12701</xdr:rowOff>
    </xdr:from>
    <xdr:to>
      <xdr:col>3</xdr:col>
      <xdr:colOff>0</xdr:colOff>
      <xdr:row>14</xdr:row>
      <xdr:rowOff>6350</xdr:rowOff>
    </xdr:to>
    <mc:AlternateContent xmlns:mc="http://schemas.openxmlformats.org/markup-compatibility/2006" xmlns:a14="http://schemas.microsoft.com/office/drawing/2010/main">
      <mc:Choice Requires="a14">
        <xdr:graphicFrame macro="">
          <xdr:nvGraphicFramePr>
            <xdr:cNvPr id="19" name="BranchName">
              <a:extLst>
                <a:ext uri="{FF2B5EF4-FFF2-40B4-BE49-F238E27FC236}">
                  <a16:creationId xmlns:a16="http://schemas.microsoft.com/office/drawing/2014/main" id="{B64C4353-427A-4232-B1D3-93E027A2D4AB}"/>
                </a:ext>
              </a:extLst>
            </xdr:cNvPr>
            <xdr:cNvGraphicFramePr/>
          </xdr:nvGraphicFramePr>
          <xdr:xfrm>
            <a:off x="0" y="0"/>
            <a:ext cx="0" cy="0"/>
          </xdr:xfrm>
          <a:graphic>
            <a:graphicData uri="http://schemas.microsoft.com/office/drawing/2010/slicer">
              <sle:slicer xmlns:sle="http://schemas.microsoft.com/office/drawing/2010/slicer" name="BranchName"/>
            </a:graphicData>
          </a:graphic>
        </xdr:graphicFrame>
      </mc:Choice>
      <mc:Fallback xmlns="">
        <xdr:sp macro="" textlink="">
          <xdr:nvSpPr>
            <xdr:cNvPr id="0" name=""/>
            <xdr:cNvSpPr>
              <a:spLocks noTextEdit="1"/>
            </xdr:cNvSpPr>
          </xdr:nvSpPr>
          <xdr:spPr>
            <a:xfrm>
              <a:off x="0" y="1123951"/>
              <a:ext cx="2647950" cy="16509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25400</xdr:colOff>
      <xdr:row>5</xdr:row>
      <xdr:rowOff>1</xdr:rowOff>
    </xdr:from>
    <xdr:to>
      <xdr:col>13</xdr:col>
      <xdr:colOff>63500</xdr:colOff>
      <xdr:row>13</xdr:row>
      <xdr:rowOff>171450</xdr:rowOff>
    </xdr:to>
    <mc:AlternateContent xmlns:mc="http://schemas.openxmlformats.org/markup-compatibility/2006" xmlns:a14="http://schemas.microsoft.com/office/drawing/2010/main">
      <mc:Choice Requires="a14">
        <xdr:graphicFrame macro="">
          <xdr:nvGraphicFramePr>
            <xdr:cNvPr id="20" name="LoanType">
              <a:extLst>
                <a:ext uri="{FF2B5EF4-FFF2-40B4-BE49-F238E27FC236}">
                  <a16:creationId xmlns:a16="http://schemas.microsoft.com/office/drawing/2014/main" id="{1C807E40-B678-47F8-BD74-815D37CF862C}"/>
                </a:ext>
              </a:extLst>
            </xdr:cNvPr>
            <xdr:cNvGraphicFramePr/>
          </xdr:nvGraphicFramePr>
          <xdr:xfrm>
            <a:off x="0" y="0"/>
            <a:ext cx="0" cy="0"/>
          </xdr:xfrm>
          <a:graphic>
            <a:graphicData uri="http://schemas.microsoft.com/office/drawing/2010/slicer">
              <sle:slicer xmlns:sle="http://schemas.microsoft.com/office/drawing/2010/slicer" name="LoanType"/>
            </a:graphicData>
          </a:graphic>
        </xdr:graphicFrame>
      </mc:Choice>
      <mc:Fallback xmlns="">
        <xdr:sp macro="" textlink="">
          <xdr:nvSpPr>
            <xdr:cNvPr id="0" name=""/>
            <xdr:cNvSpPr>
              <a:spLocks noTextEdit="1"/>
            </xdr:cNvSpPr>
          </xdr:nvSpPr>
          <xdr:spPr>
            <a:xfrm>
              <a:off x="8851900" y="1111251"/>
              <a:ext cx="2686050" cy="16446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14</xdr:row>
      <xdr:rowOff>82550</xdr:rowOff>
    </xdr:from>
    <xdr:to>
      <xdr:col>6</xdr:col>
      <xdr:colOff>19050</xdr:colOff>
      <xdr:row>29</xdr:row>
      <xdr:rowOff>63500</xdr:rowOff>
    </xdr:to>
    <xdr:graphicFrame macro="">
      <xdr:nvGraphicFramePr>
        <xdr:cNvPr id="21" name="Chart 20">
          <a:extLst>
            <a:ext uri="{FF2B5EF4-FFF2-40B4-BE49-F238E27FC236}">
              <a16:creationId xmlns:a16="http://schemas.microsoft.com/office/drawing/2014/main" id="{E1547DF1-E344-4853-A90B-3B23FE177C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14</xdr:row>
      <xdr:rowOff>76200</xdr:rowOff>
    </xdr:from>
    <xdr:to>
      <xdr:col>13</xdr:col>
      <xdr:colOff>184150</xdr:colOff>
      <xdr:row>29</xdr:row>
      <xdr:rowOff>57150</xdr:rowOff>
    </xdr:to>
    <xdr:graphicFrame macro="">
      <xdr:nvGraphicFramePr>
        <xdr:cNvPr id="22" name="Chart 21">
          <a:extLst>
            <a:ext uri="{FF2B5EF4-FFF2-40B4-BE49-F238E27FC236}">
              <a16:creationId xmlns:a16="http://schemas.microsoft.com/office/drawing/2014/main" id="{81AF1597-81EA-4140-9D58-D407411AC8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29</xdr:row>
      <xdr:rowOff>38100</xdr:rowOff>
    </xdr:from>
    <xdr:to>
      <xdr:col>12</xdr:col>
      <xdr:colOff>876300</xdr:colOff>
      <xdr:row>31</xdr:row>
      <xdr:rowOff>146050</xdr:rowOff>
    </xdr:to>
    <xdr:sp macro="" textlink="">
      <xdr:nvSpPr>
        <xdr:cNvPr id="23" name="TextBox 22">
          <a:extLst>
            <a:ext uri="{FF2B5EF4-FFF2-40B4-BE49-F238E27FC236}">
              <a16:creationId xmlns:a16="http://schemas.microsoft.com/office/drawing/2014/main" id="{B0BF6BC0-D56A-415E-B975-FB2F746F7BE2}"/>
            </a:ext>
          </a:extLst>
        </xdr:cNvPr>
        <xdr:cNvSpPr txBox="1"/>
      </xdr:nvSpPr>
      <xdr:spPr>
        <a:xfrm>
          <a:off x="6178550" y="5568950"/>
          <a:ext cx="5289550" cy="47625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Nyeri and Kitale show the highest default exposure (~KES 0.22–0.23B), indicating elevated credit risk concentration. Mombasa and Upper Hill maintain the lowest default levels.</a:t>
          </a:r>
          <a:endParaRPr lang="en-US" sz="1100" b="1"/>
        </a:p>
      </xdr:txBody>
    </xdr:sp>
    <xdr:clientData/>
  </xdr:twoCellAnchor>
  <xdr:twoCellAnchor>
    <xdr:from>
      <xdr:col>3</xdr:col>
      <xdr:colOff>831850</xdr:colOff>
      <xdr:row>33</xdr:row>
      <xdr:rowOff>31750</xdr:rowOff>
    </xdr:from>
    <xdr:to>
      <xdr:col>9</xdr:col>
      <xdr:colOff>419100</xdr:colOff>
      <xdr:row>49</xdr:row>
      <xdr:rowOff>25400</xdr:rowOff>
    </xdr:to>
    <xdr:graphicFrame macro="">
      <xdr:nvGraphicFramePr>
        <xdr:cNvPr id="24" name="Chart 23">
          <a:extLst>
            <a:ext uri="{FF2B5EF4-FFF2-40B4-BE49-F238E27FC236}">
              <a16:creationId xmlns:a16="http://schemas.microsoft.com/office/drawing/2014/main" id="{268F43CE-815A-4810-9109-448661C55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51</xdr:row>
      <xdr:rowOff>0</xdr:rowOff>
    </xdr:from>
    <xdr:to>
      <xdr:col>9</xdr:col>
      <xdr:colOff>876300</xdr:colOff>
      <xdr:row>53</xdr:row>
      <xdr:rowOff>107950</xdr:rowOff>
    </xdr:to>
    <xdr:sp macro="" textlink="">
      <xdr:nvSpPr>
        <xdr:cNvPr id="25" name="TextBox 24">
          <a:extLst>
            <a:ext uri="{FF2B5EF4-FFF2-40B4-BE49-F238E27FC236}">
              <a16:creationId xmlns:a16="http://schemas.microsoft.com/office/drawing/2014/main" id="{DCBFDB7B-0248-4016-8733-28DE9F5FDAE5}"/>
            </a:ext>
          </a:extLst>
        </xdr:cNvPr>
        <xdr:cNvSpPr txBox="1"/>
      </xdr:nvSpPr>
      <xdr:spPr>
        <a:xfrm>
          <a:off x="3530600" y="9582150"/>
          <a:ext cx="5289550" cy="47625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Mortgage loans dominate the portfolio (</a:t>
          </a:r>
          <a:r>
            <a:rPr lang="en-US" b="1"/>
            <a:t>73%</a:t>
          </a:r>
          <a:r>
            <a:rPr lang="en-US"/>
            <a:t>), followed by SME lending (</a:t>
          </a:r>
          <a:r>
            <a:rPr lang="en-US" b="1"/>
            <a:t>20%</a:t>
          </a:r>
          <a:r>
            <a:rPr lang="en-US"/>
            <a:t>), while Asset Finance and Personal Loans represent smaller segments.</a:t>
          </a:r>
          <a:endParaRPr lang="en-US" sz="1100" b="1"/>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6087.5589287037" createdVersion="8" refreshedVersion="8" minRefreshableVersion="3" recordCount="2000" xr:uid="{7DC5F7EB-3A0C-4C4D-ABA0-F6E5C4EFBF3E}">
  <cacheSource type="worksheet">
    <worksheetSource name="Loans"/>
  </cacheSource>
  <cacheFields count="20">
    <cacheField name="LoanID" numFmtId="0">
      <sharedItems/>
    </cacheField>
    <cacheField name="CustomerID" numFmtId="0">
      <sharedItems/>
    </cacheField>
    <cacheField name="BranchCode" numFmtId="0">
      <sharedItems/>
    </cacheField>
    <cacheField name="LoanType" numFmtId="0">
      <sharedItems count="4">
        <s v="SME"/>
        <s v="Personal"/>
        <s v="Mortgage"/>
        <s v="Asset Finance"/>
      </sharedItems>
    </cacheField>
    <cacheField name="LoanAmount" numFmtId="164">
      <sharedItems containsSemiMixedTypes="0" containsString="0" containsNumber="1" containsInteger="1" minValue="100000" maxValue="80000000"/>
    </cacheField>
    <cacheField name="InterestRate" numFmtId="9">
      <sharedItems containsSemiMixedTypes="0" containsString="0" containsNumber="1" minValue="0.09" maxValue="0.28000000000000003"/>
    </cacheField>
    <cacheField name="LoanStartDate" numFmtId="14">
      <sharedItems containsSemiMixedTypes="0" containsNonDate="0" containsDate="1" containsString="0" minDate="2020-01-02T00:00:00" maxDate="2025-12-29T00:00:00"/>
    </cacheField>
    <cacheField name="LoanTenureMonths" numFmtId="0">
      <sharedItems containsSemiMixedTypes="0" containsString="0" containsNumber="1" containsInteger="1" minValue="12" maxValue="72"/>
    </cacheField>
    <cacheField name="DaysPastDue" numFmtId="0">
      <sharedItems containsSemiMixedTypes="0" containsString="0" containsNumber="1" containsInteger="1" minValue="0" maxValue="120"/>
    </cacheField>
    <cacheField name="CollateralValue" numFmtId="164">
      <sharedItems containsSemiMixedTypes="0" containsString="0" containsNumber="1" containsInteger="1" minValue="0" maxValue="119200000"/>
    </cacheField>
    <cacheField name="LoanStatus" numFmtId="0">
      <sharedItems count="3">
        <s v="Performing"/>
        <s v="Default"/>
        <s v="Watchlist"/>
      </sharedItems>
    </cacheField>
    <cacheField name="MonthlyPayment" numFmtId="164">
      <sharedItems containsSemiMixedTypes="0" containsString="0" containsNumber="1" minValue="2205.1286305431549" maxValue="7168297.4590759501"/>
    </cacheField>
    <cacheField name="LoanEndDate" numFmtId="14">
      <sharedItems containsSemiMixedTypes="0" containsNonDate="0" containsDate="1" containsString="0" minDate="2021-01-02T00:00:00" maxDate="2031-12-20T00:00:00"/>
    </cacheField>
    <cacheField name="CollateralCoverageRatio" numFmtId="2">
      <sharedItems containsSemiMixedTypes="0" containsString="0" containsNumber="1" minValue="0" maxValue="1.5"/>
    </cacheField>
    <cacheField name="CollateralRisk" numFmtId="0">
      <sharedItems/>
    </cacheField>
    <cacheField name="BranchName" numFmtId="0">
      <sharedItems count="15">
        <s v="Thika"/>
        <s v="Westlands"/>
        <s v="Naivasha"/>
        <s v="Kitale"/>
        <s v="Kisumu"/>
        <s v="Eldoret"/>
        <s v="Nyeri"/>
        <s v="Mombasa"/>
        <s v="Karen"/>
        <s v="Nyahururu"/>
        <s v="Meru"/>
        <s v="Upper Hill"/>
        <s v="Machakos"/>
        <s v="Malindi"/>
        <s v="Nakuru"/>
      </sharedItems>
    </cacheField>
    <cacheField name="RiskScore" numFmtId="0">
      <sharedItems containsSemiMixedTypes="0" containsString="0" containsNumber="1" containsInteger="1" minValue="300" maxValue="850"/>
    </cacheField>
    <cacheField name="RiskCategory" numFmtId="0">
      <sharedItems/>
    </cacheField>
    <cacheField name="ExposureRiskFlag" numFmtId="0">
      <sharedItems/>
    </cacheField>
    <cacheField name="RiskLevel" numFmtId="0">
      <sharedItems/>
    </cacheField>
  </cacheFields>
  <extLst>
    <ext xmlns:x14="http://schemas.microsoft.com/office/spreadsheetml/2009/9/main" uri="{725AE2AE-9491-48be-B2B4-4EB974FC3084}">
      <x14:pivotCacheDefinition pivotCacheId="33030829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0">
  <r>
    <s v="LN0001"/>
    <s v="C0165"/>
    <s v="B07"/>
    <x v="0"/>
    <n v="1000000"/>
    <n v="0.1862"/>
    <d v="2021-08-06T00:00:00"/>
    <n v="24"/>
    <n v="0"/>
    <n v="820000"/>
    <x v="0"/>
    <n v="50224.186473909984"/>
    <d v="2023-08-06T00:00:00"/>
    <n v="0.82"/>
    <s v="Undersecured"/>
    <x v="0"/>
    <n v="511"/>
    <s v="High Risk"/>
    <s v="High Risk Exposure"/>
    <s v="High"/>
  </r>
  <r>
    <s v="LN0002"/>
    <s v="C0167"/>
    <s v="B01"/>
    <x v="1"/>
    <n v="500000"/>
    <n v="0.17549999999999999"/>
    <d v="2020-08-11T00:00:00"/>
    <n v="60"/>
    <n v="5"/>
    <n v="0"/>
    <x v="0"/>
    <n v="12574.632157174376"/>
    <d v="2025-08-11T00:00:00"/>
    <n v="0"/>
    <s v="Undersecured"/>
    <x v="1"/>
    <n v="490"/>
    <s v="High Risk"/>
    <s v="High Risk Exposure"/>
    <s v="High"/>
  </r>
  <r>
    <s v="LN0003"/>
    <s v="C0189"/>
    <s v="B13"/>
    <x v="2"/>
    <n v="80000000"/>
    <n v="9.2200000000000004E-2"/>
    <d v="2023-05-11T00:00:00"/>
    <n v="72"/>
    <n v="120"/>
    <n v="53600000"/>
    <x v="1"/>
    <n v="1450793.4952035837"/>
    <d v="2029-05-11T00:00:00"/>
    <n v="0.67"/>
    <s v="Undersecured"/>
    <x v="2"/>
    <n v="451"/>
    <s v="High Risk"/>
    <s v="High Risk Exposure"/>
    <s v="Critical"/>
  </r>
  <r>
    <s v="LN0004"/>
    <s v="C0264"/>
    <s v="B10"/>
    <x v="2"/>
    <n v="80000000"/>
    <n v="0.10929999999999999"/>
    <d v="2025-02-07T00:00:00"/>
    <n v="72"/>
    <n v="5"/>
    <n v="43200000"/>
    <x v="0"/>
    <n v="1519859.6041610101"/>
    <d v="2031-02-07T00:00:00"/>
    <n v="0.54"/>
    <s v="Undersecured"/>
    <x v="3"/>
    <n v="632"/>
    <s v="Medium Risk"/>
    <s v="High Risk Exposure"/>
    <s v="High"/>
  </r>
  <r>
    <s v="LN0005"/>
    <s v="C0172"/>
    <s v="B05"/>
    <x v="2"/>
    <n v="80000000"/>
    <n v="0.12690000000000001"/>
    <d v="2025-04-23T00:00:00"/>
    <n v="48"/>
    <n v="0"/>
    <n v="76000000"/>
    <x v="0"/>
    <n v="2133911.2678439389"/>
    <d v="2029-04-23T00:00:00"/>
    <n v="0.95"/>
    <s v="Undersecured"/>
    <x v="4"/>
    <n v="446"/>
    <s v="High Risk"/>
    <s v="High Risk Exposure"/>
    <s v="High"/>
  </r>
  <r>
    <s v="LN0006"/>
    <s v="C0116"/>
    <s v="B08"/>
    <x v="3"/>
    <n v="3000000"/>
    <n v="0.1341"/>
    <d v="2021-12-27T00:00:00"/>
    <n v="12"/>
    <n v="5"/>
    <n v="4170000"/>
    <x v="0"/>
    <n v="268529.24140370975"/>
    <d v="2022-12-27T00:00:00"/>
    <n v="1.39"/>
    <s v="Secured"/>
    <x v="5"/>
    <n v="587"/>
    <s v="Medium Risk"/>
    <s v="Normal"/>
    <s v="Normal"/>
  </r>
  <r>
    <s v="LN0007"/>
    <s v="C0106"/>
    <s v="B06"/>
    <x v="0"/>
    <n v="1000000"/>
    <n v="0.1401"/>
    <d v="2021-11-07T00:00:00"/>
    <n v="24"/>
    <n v="20"/>
    <n v="520000"/>
    <x v="0"/>
    <n v="48017.607541404846"/>
    <d v="2023-11-07T00:00:00"/>
    <n v="0.52"/>
    <s v="Undersecured"/>
    <x v="6"/>
    <n v="348"/>
    <s v="High Risk"/>
    <s v="High Risk Exposure"/>
    <s v="High"/>
  </r>
  <r>
    <s v="LN0008"/>
    <s v="C0199"/>
    <s v="B03"/>
    <x v="2"/>
    <n v="6000000"/>
    <n v="0.1072"/>
    <d v="2020-07-25T00:00:00"/>
    <n v="24"/>
    <n v="10"/>
    <n v="5340000"/>
    <x v="0"/>
    <n v="278867.68941352086"/>
    <d v="2022-07-25T00:00:00"/>
    <n v="0.89"/>
    <s v="Undersecured"/>
    <x v="7"/>
    <n v="451"/>
    <s v="High Risk"/>
    <s v="High Risk Exposure"/>
    <s v="High"/>
  </r>
  <r>
    <s v="LN0009"/>
    <s v="C0411"/>
    <s v="B09"/>
    <x v="3"/>
    <n v="6000000"/>
    <n v="0.13500000000000001"/>
    <d v="2024-10-02T00:00:00"/>
    <n v="36"/>
    <n v="10"/>
    <n v="4920000"/>
    <x v="0"/>
    <n v="203611.72398588585"/>
    <d v="2027-10-02T00:00:00"/>
    <n v="0.82"/>
    <s v="Undersecured"/>
    <x v="8"/>
    <n v="687"/>
    <s v="Low Risk"/>
    <s v="High Risk Exposure"/>
    <s v="High"/>
  </r>
  <r>
    <s v="LN0010"/>
    <s v="C0542"/>
    <s v="B03"/>
    <x v="2"/>
    <n v="80000000"/>
    <n v="9.6100000000000005E-2"/>
    <d v="2023-09-13T00:00:00"/>
    <n v="24"/>
    <n v="90"/>
    <n v="54400000"/>
    <x v="2"/>
    <n v="3677210.3823144943"/>
    <d v="2025-09-13T00:00:00"/>
    <n v="0.68"/>
    <s v="Undersecured"/>
    <x v="7"/>
    <n v="635"/>
    <s v="Medium Risk"/>
    <s v="High Risk Exposure"/>
    <s v="High"/>
  </r>
  <r>
    <s v="LN0011"/>
    <s v="C0032"/>
    <s v="B09"/>
    <x v="2"/>
    <n v="25000000"/>
    <n v="0.1119"/>
    <d v="2022-04-14T00:00:00"/>
    <n v="24"/>
    <n v="10"/>
    <n v="25250000"/>
    <x v="0"/>
    <n v="1167402.4841507124"/>
    <d v="2024-04-14T00:00:00"/>
    <n v="1.01"/>
    <s v="Secured"/>
    <x v="8"/>
    <n v="459"/>
    <s v="High Risk"/>
    <s v="High Risk Exposure"/>
    <s v="High"/>
  </r>
  <r>
    <s v="LN0012"/>
    <s v="C0563"/>
    <s v="B03"/>
    <x v="3"/>
    <n v="6000000"/>
    <n v="0.19900000000000001"/>
    <d v="2024-01-01T00:00:00"/>
    <n v="24"/>
    <n v="0"/>
    <n v="4140000"/>
    <x v="0"/>
    <n v="305081.78488561913"/>
    <d v="2026-01-01T00:00:00"/>
    <n v="0.69"/>
    <s v="Undersecured"/>
    <x v="7"/>
    <n v="323"/>
    <s v="High Risk"/>
    <s v="High Risk Exposure"/>
    <s v="High"/>
  </r>
  <r>
    <s v="LN0013"/>
    <s v="C0071"/>
    <s v="B15"/>
    <x v="2"/>
    <n v="6000000"/>
    <n v="0.12970000000000001"/>
    <d v="2020-08-04T00:00:00"/>
    <n v="36"/>
    <n v="45"/>
    <n v="8280000"/>
    <x v="2"/>
    <n v="202077.02369363164"/>
    <d v="2023-08-04T00:00:00"/>
    <n v="1.38"/>
    <s v="Secured"/>
    <x v="9"/>
    <n v="330"/>
    <s v="High Risk"/>
    <s v="High Risk Exposure"/>
    <s v="High"/>
  </r>
  <r>
    <s v="LN0014"/>
    <s v="C0649"/>
    <s v="B06"/>
    <x v="3"/>
    <n v="1000000"/>
    <n v="0.12870000000000001"/>
    <d v="2024-12-26T00:00:00"/>
    <n v="12"/>
    <n v="5"/>
    <n v="810000"/>
    <x v="0"/>
    <n v="89256.295736678905"/>
    <d v="2025-12-26T00:00:00"/>
    <n v="0.81"/>
    <s v="Undersecured"/>
    <x v="6"/>
    <n v="307"/>
    <s v="High Risk"/>
    <s v="High Risk Exposure"/>
    <s v="High"/>
  </r>
  <r>
    <s v="LN0015"/>
    <s v="C0536"/>
    <s v="B08"/>
    <x v="2"/>
    <n v="25000000"/>
    <n v="0.12520000000000001"/>
    <d v="2021-06-16T00:00:00"/>
    <n v="24"/>
    <n v="20"/>
    <n v="12500000"/>
    <x v="0"/>
    <n v="1182916.8947622131"/>
    <d v="2023-06-16T00:00:00"/>
    <n v="0.5"/>
    <s v="Undersecured"/>
    <x v="5"/>
    <n v="614"/>
    <s v="Medium Risk"/>
    <s v="High Risk Exposure"/>
    <s v="High"/>
  </r>
  <r>
    <s v="LN0016"/>
    <s v="C0288"/>
    <s v="B06"/>
    <x v="3"/>
    <n v="1000000"/>
    <n v="0.159"/>
    <d v="2020-07-25T00:00:00"/>
    <n v="36"/>
    <n v="0"/>
    <n v="860000"/>
    <x v="0"/>
    <n v="35107.68276902628"/>
    <d v="2023-07-25T00:00:00"/>
    <n v="0.86"/>
    <s v="Undersecured"/>
    <x v="6"/>
    <n v="423"/>
    <s v="High Risk"/>
    <s v="High Risk Exposure"/>
    <s v="High"/>
  </r>
  <r>
    <s v="LN0017"/>
    <s v="C0327"/>
    <s v="B05"/>
    <x v="2"/>
    <n v="6000000"/>
    <n v="0.12039999999999999"/>
    <d v="2020-04-26T00:00:00"/>
    <n v="36"/>
    <n v="20"/>
    <n v="3120000"/>
    <x v="0"/>
    <n v="199400.50704466924"/>
    <d v="2023-04-26T00:00:00"/>
    <n v="0.52"/>
    <s v="Undersecured"/>
    <x v="4"/>
    <n v="318"/>
    <s v="High Risk"/>
    <s v="High Risk Exposure"/>
    <s v="High"/>
  </r>
  <r>
    <s v="LN0018"/>
    <s v="C0346"/>
    <s v="B08"/>
    <x v="3"/>
    <n v="6000000"/>
    <n v="0.153"/>
    <d v="2025-11-12T00:00:00"/>
    <n v="48"/>
    <n v="0"/>
    <n v="6840000"/>
    <x v="0"/>
    <n v="167898.34240632021"/>
    <d v="2029-11-12T00:00:00"/>
    <n v="1.1399999999999999"/>
    <s v="Secured"/>
    <x v="5"/>
    <n v="327"/>
    <s v="High Risk"/>
    <s v="High Risk Exposure"/>
    <s v="High"/>
  </r>
  <r>
    <s v="LN0019"/>
    <s v="C0005"/>
    <s v="B11"/>
    <x v="1"/>
    <n v="250000"/>
    <n v="0.21440000000000001"/>
    <d v="2023-07-14T00:00:00"/>
    <n v="72"/>
    <n v="0"/>
    <n v="0"/>
    <x v="0"/>
    <n v="6198.7007328815798"/>
    <d v="2029-07-14T00:00:00"/>
    <n v="0"/>
    <s v="Undersecured"/>
    <x v="10"/>
    <n v="576"/>
    <s v="High Risk"/>
    <s v="High Risk Exposure"/>
    <s v="High"/>
  </r>
  <r>
    <s v="LN0020"/>
    <s v="C0185"/>
    <s v="B09"/>
    <x v="1"/>
    <n v="250000"/>
    <n v="0.2074"/>
    <d v="2025-07-17T00:00:00"/>
    <n v="60"/>
    <n v="0"/>
    <n v="0"/>
    <x v="0"/>
    <n v="6726.8271850838328"/>
    <d v="2030-07-17T00:00:00"/>
    <n v="0"/>
    <s v="Undersecured"/>
    <x v="8"/>
    <n v="732"/>
    <s v="Low Risk"/>
    <s v="High Risk Exposure"/>
    <s v="High"/>
  </r>
  <r>
    <s v="LN0021"/>
    <s v="C0533"/>
    <s v="B10"/>
    <x v="3"/>
    <n v="500000"/>
    <n v="0.1638"/>
    <d v="2022-12-16T00:00:00"/>
    <n v="36"/>
    <n v="20"/>
    <n v="650000"/>
    <x v="0"/>
    <n v="17672.463901564333"/>
    <d v="2025-12-16T00:00:00"/>
    <n v="1.3"/>
    <s v="Secured"/>
    <x v="3"/>
    <n v="797"/>
    <s v="Very Low Risk"/>
    <s v="Normal"/>
    <s v="Normal"/>
  </r>
  <r>
    <s v="LN0022"/>
    <s v="C0535"/>
    <s v="B15"/>
    <x v="2"/>
    <n v="6000000"/>
    <n v="9.7199999999999995E-2"/>
    <d v="2023-12-10T00:00:00"/>
    <n v="72"/>
    <n v="20"/>
    <n v="6240000"/>
    <x v="0"/>
    <n v="110309.7022267788"/>
    <d v="2029-12-10T00:00:00"/>
    <n v="1.04"/>
    <s v="Secured"/>
    <x v="9"/>
    <n v="717"/>
    <s v="Low Risk"/>
    <s v="Normal"/>
    <s v="Normal"/>
  </r>
  <r>
    <s v="LN0023"/>
    <s v="C0657"/>
    <s v="B11"/>
    <x v="2"/>
    <n v="80000000"/>
    <n v="0.10680000000000001"/>
    <d v="2022-01-26T00:00:00"/>
    <n v="24"/>
    <n v="90"/>
    <n v="49600000"/>
    <x v="2"/>
    <n v="3716752.796493412"/>
    <d v="2024-01-26T00:00:00"/>
    <n v="0.62"/>
    <s v="Undersecured"/>
    <x v="10"/>
    <n v="702"/>
    <s v="Low Risk"/>
    <s v="High Risk Exposure"/>
    <s v="High"/>
  </r>
  <r>
    <s v="LN0024"/>
    <s v="C0063"/>
    <s v="B10"/>
    <x v="3"/>
    <n v="500000"/>
    <n v="0.14019999999999999"/>
    <d v="2021-04-02T00:00:00"/>
    <n v="24"/>
    <n v="5"/>
    <n v="680000"/>
    <x v="0"/>
    <n v="24011.16604241337"/>
    <d v="2023-04-02T00:00:00"/>
    <n v="1.36"/>
    <s v="Secured"/>
    <x v="3"/>
    <n v="808"/>
    <s v="Prime"/>
    <s v="Normal"/>
    <s v="Normal"/>
  </r>
  <r>
    <s v="LN0025"/>
    <s v="C0668"/>
    <s v="B02"/>
    <x v="2"/>
    <n v="80000000"/>
    <n v="0.1145"/>
    <d v="2023-05-15T00:00:00"/>
    <n v="72"/>
    <n v="10"/>
    <n v="74400000"/>
    <x v="0"/>
    <n v="1541228.8116320828"/>
    <d v="2029-05-15T00:00:00"/>
    <n v="0.93"/>
    <s v="Undersecured"/>
    <x v="11"/>
    <n v="831"/>
    <s v="Prime"/>
    <s v="High Risk Exposure"/>
    <s v="High"/>
  </r>
  <r>
    <s v="LN0026"/>
    <s v="C0024"/>
    <s v="B10"/>
    <x v="0"/>
    <n v="6000000"/>
    <n v="0.21590000000000001"/>
    <d v="2025-02-14T00:00:00"/>
    <n v="72"/>
    <n v="45"/>
    <n v="6540000"/>
    <x v="2"/>
    <n v="149300.03266699647"/>
    <d v="2031-02-14T00:00:00"/>
    <n v="1.0900000000000001"/>
    <s v="Secured"/>
    <x v="3"/>
    <n v="338"/>
    <s v="High Risk"/>
    <s v="High Risk Exposure"/>
    <s v="High"/>
  </r>
  <r>
    <s v="LN0027"/>
    <s v="C0234"/>
    <s v="B15"/>
    <x v="0"/>
    <n v="25000000"/>
    <n v="0.23449999999999999"/>
    <d v="2022-12-28T00:00:00"/>
    <n v="24"/>
    <n v="120"/>
    <n v="20500000"/>
    <x v="1"/>
    <n v="1314924.6468990073"/>
    <d v="2024-12-28T00:00:00"/>
    <n v="0.82"/>
    <s v="Undersecured"/>
    <x v="9"/>
    <n v="820"/>
    <s v="Prime"/>
    <s v="High Risk Exposure"/>
    <s v="Critical"/>
  </r>
  <r>
    <s v="LN0028"/>
    <s v="C0124"/>
    <s v="B12"/>
    <x v="1"/>
    <n v="1000000"/>
    <n v="0.19520000000000001"/>
    <d v="2021-07-06T00:00:00"/>
    <n v="60"/>
    <n v="90"/>
    <n v="0"/>
    <x v="2"/>
    <n v="26227.513297267004"/>
    <d v="2026-07-06T00:00:00"/>
    <n v="0"/>
    <s v="Undersecured"/>
    <x v="12"/>
    <n v="748"/>
    <s v="Very Low Risk"/>
    <s v="High Risk Exposure"/>
    <s v="High"/>
  </r>
  <r>
    <s v="LN0029"/>
    <s v="C0014"/>
    <s v="B12"/>
    <x v="1"/>
    <n v="500000"/>
    <n v="0.19969999999999999"/>
    <d v="2022-04-21T00:00:00"/>
    <n v="48"/>
    <n v="0"/>
    <n v="0"/>
    <x v="0"/>
    <n v="15207.190397201568"/>
    <d v="2026-04-21T00:00:00"/>
    <n v="0"/>
    <s v="Undersecured"/>
    <x v="12"/>
    <n v="648"/>
    <s v="Medium Risk"/>
    <s v="High Risk Exposure"/>
    <s v="High"/>
  </r>
  <r>
    <s v="LN0030"/>
    <s v="C0367"/>
    <s v="B06"/>
    <x v="2"/>
    <n v="25000000"/>
    <n v="0.1056"/>
    <d v="2024-02-07T00:00:00"/>
    <n v="72"/>
    <n v="0"/>
    <n v="22250000"/>
    <x v="0"/>
    <n v="470236.97111612029"/>
    <d v="2030-02-07T00:00:00"/>
    <n v="0.89"/>
    <s v="Undersecured"/>
    <x v="6"/>
    <n v="309"/>
    <s v="High Risk"/>
    <s v="High Risk Exposure"/>
    <s v="High"/>
  </r>
  <r>
    <s v="LN0031"/>
    <s v="C0615"/>
    <s v="B11"/>
    <x v="0"/>
    <n v="1000000"/>
    <n v="0.17829999999999999"/>
    <d v="2020-08-11T00:00:00"/>
    <n v="48"/>
    <n v="90"/>
    <n v="1220000"/>
    <x v="2"/>
    <n v="29286.241771457426"/>
    <d v="2024-08-11T00:00:00"/>
    <n v="1.22"/>
    <s v="Secured"/>
    <x v="10"/>
    <n v="763"/>
    <s v="Very Low Risk"/>
    <s v="High Risk Exposure"/>
    <s v="High"/>
  </r>
  <r>
    <s v="LN0032"/>
    <s v="C0263"/>
    <s v="B02"/>
    <x v="3"/>
    <n v="500000"/>
    <n v="0.14480000000000001"/>
    <d v="2025-02-22T00:00:00"/>
    <n v="24"/>
    <n v="0"/>
    <n v="485000"/>
    <x v="0"/>
    <n v="24119.976640298064"/>
    <d v="2027-02-22T00:00:00"/>
    <n v="0.97"/>
    <s v="Undersecured"/>
    <x v="11"/>
    <n v="795"/>
    <s v="Very Low Risk"/>
    <s v="High Risk Exposure"/>
    <s v="High"/>
  </r>
  <r>
    <s v="LN0033"/>
    <s v="C0175"/>
    <s v="B03"/>
    <x v="2"/>
    <n v="80000000"/>
    <n v="0.1162"/>
    <d v="2024-06-26T00:00:00"/>
    <n v="12"/>
    <n v="0"/>
    <n v="78400000"/>
    <x v="0"/>
    <n v="7093689.5416380018"/>
    <d v="2025-06-26T00:00:00"/>
    <n v="0.98"/>
    <s v="Undersecured"/>
    <x v="7"/>
    <n v="639"/>
    <s v="Medium Risk"/>
    <s v="High Risk Exposure"/>
    <s v="High"/>
  </r>
  <r>
    <s v="LN0034"/>
    <s v="C0536"/>
    <s v="B05"/>
    <x v="1"/>
    <n v="100000"/>
    <n v="0.1658"/>
    <d v="2022-01-01T00:00:00"/>
    <n v="36"/>
    <n v="0"/>
    <n v="0"/>
    <x v="0"/>
    <n v="3544.405090462029"/>
    <d v="2025-01-01T00:00:00"/>
    <n v="0"/>
    <s v="Undersecured"/>
    <x v="4"/>
    <n v="614"/>
    <s v="Medium Risk"/>
    <s v="High Risk Exposure"/>
    <s v="High"/>
  </r>
  <r>
    <s v="LN0035"/>
    <s v="C0479"/>
    <s v="B06"/>
    <x v="0"/>
    <n v="25000000"/>
    <n v="0.17119999999999999"/>
    <d v="2021-05-14T00:00:00"/>
    <n v="36"/>
    <n v="0"/>
    <n v="37500000"/>
    <x v="0"/>
    <n v="892811.95541072416"/>
    <d v="2024-05-14T00:00:00"/>
    <n v="1.5"/>
    <s v="Secured"/>
    <x v="6"/>
    <n v="430"/>
    <s v="High Risk"/>
    <s v="High Risk Exposure"/>
    <s v="High"/>
  </r>
  <r>
    <s v="LN0036"/>
    <s v="C0231"/>
    <s v="B08"/>
    <x v="2"/>
    <n v="6000000"/>
    <n v="0.11609999999999999"/>
    <d v="2023-07-05T00:00:00"/>
    <n v="24"/>
    <n v="0"/>
    <n v="3420000"/>
    <x v="0"/>
    <n v="281349.30911263399"/>
    <d v="2025-07-05T00:00:00"/>
    <n v="0.56999999999999995"/>
    <s v="Undersecured"/>
    <x v="5"/>
    <n v="535"/>
    <s v="High Risk"/>
    <s v="High Risk Exposure"/>
    <s v="High"/>
  </r>
  <r>
    <s v="LN0037"/>
    <s v="C0309"/>
    <s v="B06"/>
    <x v="3"/>
    <n v="6000000"/>
    <n v="0.1205"/>
    <d v="2020-02-16T00:00:00"/>
    <n v="12"/>
    <n v="120"/>
    <n v="7140000"/>
    <x v="1"/>
    <n v="533233.08492488449"/>
    <d v="2021-02-16T00:00:00"/>
    <n v="1.19"/>
    <s v="Secured"/>
    <x v="6"/>
    <n v="659"/>
    <s v="Medium Risk"/>
    <s v="High Risk Exposure"/>
    <s v="Critical"/>
  </r>
  <r>
    <s v="LN0038"/>
    <s v="C0658"/>
    <s v="B05"/>
    <x v="2"/>
    <n v="25000000"/>
    <n v="9.9299999999999999E-2"/>
    <d v="2020-02-26T00:00:00"/>
    <n v="60"/>
    <n v="120"/>
    <n v="28500000"/>
    <x v="1"/>
    <n v="530315.45617786027"/>
    <d v="2025-02-26T00:00:00"/>
    <n v="1.1399999999999999"/>
    <s v="Secured"/>
    <x v="4"/>
    <n v="333"/>
    <s v="High Risk"/>
    <s v="High Risk Exposure"/>
    <s v="Critical"/>
  </r>
  <r>
    <s v="LN0039"/>
    <s v="C0381"/>
    <s v="B05"/>
    <x v="2"/>
    <n v="6000000"/>
    <n v="0.11459999999999999"/>
    <d v="2025-03-16T00:00:00"/>
    <n v="12"/>
    <n v="0"/>
    <n v="8280000"/>
    <x v="0"/>
    <n v="531578.21845398785"/>
    <d v="2026-03-16T00:00:00"/>
    <n v="1.38"/>
    <s v="Secured"/>
    <x v="4"/>
    <n v="350"/>
    <s v="High Risk"/>
    <s v="High Risk Exposure"/>
    <s v="High"/>
  </r>
  <r>
    <s v="LN0040"/>
    <s v="C0539"/>
    <s v="B06"/>
    <x v="2"/>
    <n v="25000000"/>
    <n v="0.1028"/>
    <d v="2020-11-22T00:00:00"/>
    <n v="24"/>
    <n v="0"/>
    <n v="23000000"/>
    <x v="0"/>
    <n v="1156856.6733585666"/>
    <d v="2022-11-22T00:00:00"/>
    <n v="0.92"/>
    <s v="Undersecured"/>
    <x v="6"/>
    <n v="714"/>
    <s v="Low Risk"/>
    <s v="High Risk Exposure"/>
    <s v="High"/>
  </r>
  <r>
    <s v="LN0041"/>
    <s v="C0083"/>
    <s v="B15"/>
    <x v="2"/>
    <n v="25000000"/>
    <n v="0.13120000000000001"/>
    <d v="2021-08-23T00:00:00"/>
    <n v="60"/>
    <n v="5"/>
    <n v="24500000"/>
    <x v="0"/>
    <n v="570363.734812457"/>
    <d v="2026-08-23T00:00:00"/>
    <n v="0.98"/>
    <s v="Undersecured"/>
    <x v="9"/>
    <n v="316"/>
    <s v="High Risk"/>
    <s v="High Risk Exposure"/>
    <s v="High"/>
  </r>
  <r>
    <s v="LN0042"/>
    <s v="C0654"/>
    <s v="B14"/>
    <x v="3"/>
    <n v="1000000"/>
    <n v="0.1968"/>
    <d v="2021-07-13T00:00:00"/>
    <n v="24"/>
    <n v="0"/>
    <n v="700000"/>
    <x v="0"/>
    <n v="50739.613227468479"/>
    <d v="2023-07-13T00:00:00"/>
    <n v="0.7"/>
    <s v="Undersecured"/>
    <x v="13"/>
    <n v="511"/>
    <s v="High Risk"/>
    <s v="High Risk Exposure"/>
    <s v="High"/>
  </r>
  <r>
    <s v="LN0043"/>
    <s v="C0687"/>
    <s v="B04"/>
    <x v="1"/>
    <n v="1000000"/>
    <n v="0.20710000000000001"/>
    <d v="2021-10-19T00:00:00"/>
    <n v="12"/>
    <n v="10"/>
    <n v="0"/>
    <x v="0"/>
    <n v="92974.648236158639"/>
    <d v="2022-10-19T00:00:00"/>
    <n v="0"/>
    <s v="Undersecured"/>
    <x v="14"/>
    <n v="314"/>
    <s v="High Risk"/>
    <s v="High Risk Exposure"/>
    <s v="High"/>
  </r>
  <r>
    <s v="LN0044"/>
    <s v="C0082"/>
    <s v="B08"/>
    <x v="1"/>
    <n v="1000000"/>
    <n v="0.26169999999999999"/>
    <d v="2025-05-17T00:00:00"/>
    <n v="48"/>
    <n v="20"/>
    <n v="0"/>
    <x v="0"/>
    <n v="33813.020036794645"/>
    <d v="2029-05-17T00:00:00"/>
    <n v="0"/>
    <s v="Undersecured"/>
    <x v="5"/>
    <n v="661"/>
    <s v="Medium Risk"/>
    <s v="High Risk Exposure"/>
    <s v="High"/>
  </r>
  <r>
    <s v="LN0045"/>
    <s v="C0411"/>
    <s v="B10"/>
    <x v="3"/>
    <n v="500000"/>
    <n v="0.17199999999999999"/>
    <d v="2022-01-05T00:00:00"/>
    <n v="48"/>
    <n v="5"/>
    <n v="280000"/>
    <x v="0"/>
    <n v="14479.309594302949"/>
    <d v="2026-01-05T00:00:00"/>
    <n v="0.56000000000000005"/>
    <s v="Undersecured"/>
    <x v="3"/>
    <n v="687"/>
    <s v="Low Risk"/>
    <s v="High Risk Exposure"/>
    <s v="High"/>
  </r>
  <r>
    <s v="LN0046"/>
    <s v="C0580"/>
    <s v="B11"/>
    <x v="3"/>
    <n v="500000"/>
    <n v="0.17380000000000001"/>
    <d v="2022-01-07T00:00:00"/>
    <n v="72"/>
    <n v="10"/>
    <n v="630000"/>
    <x v="0"/>
    <n v="11229.349507261402"/>
    <d v="2028-01-07T00:00:00"/>
    <n v="1.26"/>
    <s v="Secured"/>
    <x v="10"/>
    <n v="554"/>
    <s v="High Risk"/>
    <s v="High Risk Exposure"/>
    <s v="High"/>
  </r>
  <r>
    <s v="LN0047"/>
    <s v="C0060"/>
    <s v="B05"/>
    <x v="0"/>
    <n v="3000000"/>
    <n v="0.23019999999999999"/>
    <d v="2023-03-14T00:00:00"/>
    <n v="24"/>
    <n v="0"/>
    <n v="3180000"/>
    <x v="0"/>
    <n v="157149.7080310052"/>
    <d v="2025-03-14T00:00:00"/>
    <n v="1.06"/>
    <s v="Secured"/>
    <x v="4"/>
    <n v="748"/>
    <s v="Very Low Risk"/>
    <s v="Normal"/>
    <s v="Normal"/>
  </r>
  <r>
    <s v="LN0048"/>
    <s v="C0619"/>
    <s v="B01"/>
    <x v="0"/>
    <n v="6000000"/>
    <n v="0.1943"/>
    <d v="2022-11-14T00:00:00"/>
    <n v="48"/>
    <n v="90"/>
    <n v="8820000"/>
    <x v="2"/>
    <n v="180764.98315233967"/>
    <d v="2026-11-14T00:00:00"/>
    <n v="1.47"/>
    <s v="Secured"/>
    <x v="1"/>
    <n v="553"/>
    <s v="High Risk"/>
    <s v="High Risk Exposure"/>
    <s v="High"/>
  </r>
  <r>
    <s v="LN0049"/>
    <s v="C0471"/>
    <s v="B03"/>
    <x v="3"/>
    <n v="6000000"/>
    <n v="0.18740000000000001"/>
    <d v="2020-04-21T00:00:00"/>
    <n v="12"/>
    <n v="0"/>
    <n v="6060000"/>
    <x v="0"/>
    <n v="552195.22092726105"/>
    <d v="2021-04-21T00:00:00"/>
    <n v="1.01"/>
    <s v="Secured"/>
    <x v="7"/>
    <n v="499"/>
    <s v="High Risk"/>
    <s v="High Risk Exposure"/>
    <s v="High"/>
  </r>
  <r>
    <s v="LN0050"/>
    <s v="C0619"/>
    <s v="B14"/>
    <x v="0"/>
    <n v="25000000"/>
    <n v="0.1409"/>
    <d v="2021-08-27T00:00:00"/>
    <n v="48"/>
    <n v="45"/>
    <n v="26250000"/>
    <x v="2"/>
    <n v="684291.11808316282"/>
    <d v="2025-08-27T00:00:00"/>
    <n v="1.05"/>
    <s v="Secured"/>
    <x v="13"/>
    <n v="553"/>
    <s v="High Risk"/>
    <s v="High Risk Exposure"/>
    <s v="High"/>
  </r>
  <r>
    <s v="LN0051"/>
    <s v="C0127"/>
    <s v="B04"/>
    <x v="1"/>
    <n v="1000000"/>
    <n v="0.25409999999999999"/>
    <d v="2024-02-08T00:00:00"/>
    <n v="24"/>
    <n v="20"/>
    <n v="0"/>
    <x v="0"/>
    <n v="53577.452573394861"/>
    <d v="2026-02-08T00:00:00"/>
    <n v="0"/>
    <s v="Undersecured"/>
    <x v="14"/>
    <n v="822"/>
    <s v="Prime"/>
    <s v="High Risk Exposure"/>
    <s v="High"/>
  </r>
  <r>
    <s v="LN0052"/>
    <s v="C0352"/>
    <s v="B10"/>
    <x v="1"/>
    <n v="250000"/>
    <n v="0.248"/>
    <d v="2022-04-25T00:00:00"/>
    <n v="48"/>
    <n v="45"/>
    <n v="0"/>
    <x v="2"/>
    <n v="8261.4193558785955"/>
    <d v="2026-04-25T00:00:00"/>
    <n v="0"/>
    <s v="Undersecured"/>
    <x v="3"/>
    <n v="636"/>
    <s v="Medium Risk"/>
    <s v="High Risk Exposure"/>
    <s v="High"/>
  </r>
  <r>
    <s v="LN0053"/>
    <s v="C0278"/>
    <s v="B09"/>
    <x v="2"/>
    <n v="6000000"/>
    <n v="0.1235"/>
    <d v="2025-03-24T00:00:00"/>
    <n v="12"/>
    <n v="20"/>
    <n v="8760000"/>
    <x v="0"/>
    <n v="534075.62938655727"/>
    <d v="2026-03-24T00:00:00"/>
    <n v="1.46"/>
    <s v="Secured"/>
    <x v="8"/>
    <n v="666"/>
    <s v="Medium Risk"/>
    <s v="Normal"/>
    <s v="Normal"/>
  </r>
  <r>
    <s v="LN0054"/>
    <s v="C0408"/>
    <s v="B15"/>
    <x v="2"/>
    <n v="80000000"/>
    <n v="0.1326"/>
    <d v="2021-12-27T00:00:00"/>
    <n v="60"/>
    <n v="90"/>
    <n v="115200000"/>
    <x v="2"/>
    <n v="1830911.2753964383"/>
    <d v="2026-12-27T00:00:00"/>
    <n v="1.44"/>
    <s v="Secured"/>
    <x v="9"/>
    <n v="572"/>
    <s v="High Risk"/>
    <s v="High Risk Exposure"/>
    <s v="High"/>
  </r>
  <r>
    <s v="LN0055"/>
    <s v="C0152"/>
    <s v="B15"/>
    <x v="2"/>
    <n v="80000000"/>
    <n v="0.124"/>
    <d v="2024-02-07T00:00:00"/>
    <n v="60"/>
    <n v="0"/>
    <n v="73600000"/>
    <x v="0"/>
    <n v="1795768.6705665854"/>
    <d v="2029-02-07T00:00:00"/>
    <n v="0.92"/>
    <s v="Undersecured"/>
    <x v="9"/>
    <n v="831"/>
    <s v="Prime"/>
    <s v="High Risk Exposure"/>
    <s v="High"/>
  </r>
  <r>
    <s v="LN0056"/>
    <s v="C0140"/>
    <s v="B13"/>
    <x v="3"/>
    <n v="6000000"/>
    <n v="0.1386"/>
    <d v="2024-10-13T00:00:00"/>
    <n v="12"/>
    <n v="5"/>
    <n v="6060000"/>
    <x v="0"/>
    <n v="538327.54954878206"/>
    <d v="2025-10-13T00:00:00"/>
    <n v="1.01"/>
    <s v="Secured"/>
    <x v="2"/>
    <n v="511"/>
    <s v="High Risk"/>
    <s v="High Risk Exposure"/>
    <s v="High"/>
  </r>
  <r>
    <s v="LN0057"/>
    <s v="C0428"/>
    <s v="B02"/>
    <x v="1"/>
    <n v="1000000"/>
    <n v="0.1968"/>
    <d v="2022-10-17T00:00:00"/>
    <n v="36"/>
    <n v="90"/>
    <n v="0"/>
    <x v="2"/>
    <n v="37000.735643337706"/>
    <d v="2025-10-17T00:00:00"/>
    <n v="0"/>
    <s v="Undersecured"/>
    <x v="11"/>
    <n v="847"/>
    <s v="Prime"/>
    <s v="High Risk Exposure"/>
    <s v="High"/>
  </r>
  <r>
    <s v="LN0058"/>
    <s v="C0131"/>
    <s v="B03"/>
    <x v="1"/>
    <n v="500000"/>
    <n v="0.27050000000000002"/>
    <d v="2025-07-19T00:00:00"/>
    <n v="60"/>
    <n v="120"/>
    <n v="0"/>
    <x v="1"/>
    <n v="15282.609479987525"/>
    <d v="2030-07-19T00:00:00"/>
    <n v="0"/>
    <s v="Undersecured"/>
    <x v="7"/>
    <n v="324"/>
    <s v="High Risk"/>
    <s v="High Risk Exposure"/>
    <s v="Critical"/>
  </r>
  <r>
    <s v="LN0059"/>
    <s v="C0196"/>
    <s v="B13"/>
    <x v="2"/>
    <n v="80000000"/>
    <n v="0.12959999999999999"/>
    <d v="2021-05-01T00:00:00"/>
    <n v="24"/>
    <n v="20"/>
    <n v="68000000"/>
    <x v="0"/>
    <n v="3801842.9196061096"/>
    <d v="2023-05-01T00:00:00"/>
    <n v="0.85"/>
    <s v="Undersecured"/>
    <x v="2"/>
    <n v="674"/>
    <s v="Low Risk"/>
    <s v="High Risk Exposure"/>
    <s v="High"/>
  </r>
  <r>
    <s v="LN0060"/>
    <s v="C0239"/>
    <s v="B11"/>
    <x v="1"/>
    <n v="500000"/>
    <n v="0.24879999999999999"/>
    <d v="2023-10-05T00:00:00"/>
    <n v="60"/>
    <n v="45"/>
    <n v="0"/>
    <x v="2"/>
    <n v="14640.50668193447"/>
    <d v="2028-10-05T00:00:00"/>
    <n v="0"/>
    <s v="Undersecured"/>
    <x v="10"/>
    <n v="555"/>
    <s v="High Risk"/>
    <s v="High Risk Exposure"/>
    <s v="High"/>
  </r>
  <r>
    <s v="LN0061"/>
    <s v="C0083"/>
    <s v="B01"/>
    <x v="2"/>
    <n v="80000000"/>
    <n v="9.1399999999999995E-2"/>
    <d v="2021-10-07T00:00:00"/>
    <n v="72"/>
    <n v="20"/>
    <n v="64800000"/>
    <x v="0"/>
    <n v="1447607.904587989"/>
    <d v="2027-10-07T00:00:00"/>
    <n v="0.81"/>
    <s v="Undersecured"/>
    <x v="1"/>
    <n v="316"/>
    <s v="High Risk"/>
    <s v="High Risk Exposure"/>
    <s v="High"/>
  </r>
  <r>
    <s v="LN0062"/>
    <s v="C0231"/>
    <s v="B07"/>
    <x v="0"/>
    <n v="25000000"/>
    <n v="0.2157"/>
    <d v="2022-01-17T00:00:00"/>
    <n v="12"/>
    <n v="0"/>
    <n v="33750000"/>
    <x v="0"/>
    <n v="2334688.8820227017"/>
    <d v="2023-01-17T00:00:00"/>
    <n v="1.35"/>
    <s v="Secured"/>
    <x v="0"/>
    <n v="535"/>
    <s v="High Risk"/>
    <s v="High Risk Exposure"/>
    <s v="High"/>
  </r>
  <r>
    <s v="LN0063"/>
    <s v="C0061"/>
    <s v="B07"/>
    <x v="1"/>
    <n v="500000"/>
    <n v="0.23569999999999999"/>
    <d v="2024-10-05T00:00:00"/>
    <n v="12"/>
    <n v="90"/>
    <n v="0"/>
    <x v="2"/>
    <n v="47175.812480345143"/>
    <d v="2025-10-05T00:00:00"/>
    <n v="0"/>
    <s v="Undersecured"/>
    <x v="0"/>
    <n v="400"/>
    <s v="High Risk"/>
    <s v="High Risk Exposure"/>
    <s v="High"/>
  </r>
  <r>
    <s v="LN0064"/>
    <s v="C0342"/>
    <s v="B12"/>
    <x v="1"/>
    <n v="100000"/>
    <n v="0.19139999999999999"/>
    <d v="2022-03-23T00:00:00"/>
    <n v="48"/>
    <n v="0"/>
    <n v="0"/>
    <x v="0"/>
    <n v="2997.4044669870191"/>
    <d v="2026-03-23T00:00:00"/>
    <n v="0"/>
    <s v="Undersecured"/>
    <x v="12"/>
    <n v="477"/>
    <s v="High Risk"/>
    <s v="High Risk Exposure"/>
    <s v="High"/>
  </r>
  <r>
    <s v="LN0065"/>
    <s v="C0617"/>
    <s v="B01"/>
    <x v="0"/>
    <n v="6000000"/>
    <n v="0.21759999999999999"/>
    <d v="2025-03-03T00:00:00"/>
    <n v="60"/>
    <n v="0"/>
    <n v="5520000"/>
    <x v="0"/>
    <n v="164895.77420292946"/>
    <d v="2030-03-03T00:00:00"/>
    <n v="0.92"/>
    <s v="Undersecured"/>
    <x v="1"/>
    <n v="681"/>
    <s v="Low Risk"/>
    <s v="High Risk Exposure"/>
    <s v="High"/>
  </r>
  <r>
    <s v="LN0066"/>
    <s v="C0396"/>
    <s v="B08"/>
    <x v="0"/>
    <n v="6000000"/>
    <n v="0.21859999999999999"/>
    <d v="2023-04-22T00:00:00"/>
    <n v="60"/>
    <n v="120"/>
    <n v="8760000"/>
    <x v="1"/>
    <n v="165236.22904067975"/>
    <d v="2028-04-22T00:00:00"/>
    <n v="1.46"/>
    <s v="Secured"/>
    <x v="5"/>
    <n v="780"/>
    <s v="Very Low Risk"/>
    <s v="High Risk Exposure"/>
    <s v="Critical"/>
  </r>
  <r>
    <s v="LN0067"/>
    <s v="C0492"/>
    <s v="B02"/>
    <x v="3"/>
    <n v="3000000"/>
    <n v="0.1825"/>
    <d v="2024-10-01T00:00:00"/>
    <n v="72"/>
    <n v="0"/>
    <n v="3450000"/>
    <x v="0"/>
    <n v="68848.03858230765"/>
    <d v="2030-10-01T00:00:00"/>
    <n v="1.1499999999999999"/>
    <s v="Secured"/>
    <x v="11"/>
    <n v="611"/>
    <s v="Medium Risk"/>
    <s v="Normal"/>
    <s v="Normal"/>
  </r>
  <r>
    <s v="LN0068"/>
    <s v="C0236"/>
    <s v="B12"/>
    <x v="3"/>
    <n v="6000000"/>
    <n v="0.13250000000000001"/>
    <d v="2023-10-06T00:00:00"/>
    <n v="24"/>
    <n v="0"/>
    <n v="7140000"/>
    <x v="0"/>
    <n v="285956.00343582977"/>
    <d v="2025-10-06T00:00:00"/>
    <n v="1.19"/>
    <s v="Secured"/>
    <x v="12"/>
    <n v="325"/>
    <s v="High Risk"/>
    <s v="High Risk Exposure"/>
    <s v="High"/>
  </r>
  <r>
    <s v="LN0069"/>
    <s v="C0340"/>
    <s v="B11"/>
    <x v="3"/>
    <n v="3000000"/>
    <n v="0.13420000000000001"/>
    <d v="2020-09-20T00:00:00"/>
    <n v="60"/>
    <n v="45"/>
    <n v="1980000"/>
    <x v="2"/>
    <n v="68905.957544182776"/>
    <d v="2025-09-20T00:00:00"/>
    <n v="0.66"/>
    <s v="Undersecured"/>
    <x v="10"/>
    <n v="669"/>
    <s v="Medium Risk"/>
    <s v="High Risk Exposure"/>
    <s v="High"/>
  </r>
  <r>
    <s v="LN0070"/>
    <s v="C0633"/>
    <s v="B10"/>
    <x v="1"/>
    <n v="100000"/>
    <n v="0.19309999999999999"/>
    <d v="2025-10-13T00:00:00"/>
    <n v="24"/>
    <n v="45"/>
    <n v="0"/>
    <x v="2"/>
    <n v="5055.9359450824786"/>
    <d v="2027-10-13T00:00:00"/>
    <n v="0"/>
    <s v="Undersecured"/>
    <x v="3"/>
    <n v="406"/>
    <s v="High Risk"/>
    <s v="High Risk Exposure"/>
    <s v="High"/>
  </r>
  <r>
    <s v="LN0071"/>
    <s v="C0593"/>
    <s v="B15"/>
    <x v="0"/>
    <n v="25000000"/>
    <n v="0.21410000000000001"/>
    <d v="2021-01-06T00:00:00"/>
    <n v="36"/>
    <n v="45"/>
    <n v="13500000"/>
    <x v="2"/>
    <n v="947147.61717903626"/>
    <d v="2024-01-06T00:00:00"/>
    <n v="0.54"/>
    <s v="Undersecured"/>
    <x v="9"/>
    <n v="564"/>
    <s v="High Risk"/>
    <s v="High Risk Exposure"/>
    <s v="High"/>
  </r>
  <r>
    <s v="LN0072"/>
    <s v="C0548"/>
    <s v="B10"/>
    <x v="3"/>
    <n v="6000000"/>
    <n v="0.18279999999999999"/>
    <d v="2021-11-26T00:00:00"/>
    <n v="48"/>
    <n v="5"/>
    <n v="4920000"/>
    <x v="0"/>
    <n v="177129.08444203404"/>
    <d v="2025-11-26T00:00:00"/>
    <n v="0.82"/>
    <s v="Undersecured"/>
    <x v="3"/>
    <n v="696"/>
    <s v="Low Risk"/>
    <s v="High Risk Exposure"/>
    <s v="High"/>
  </r>
  <r>
    <s v="LN0073"/>
    <s v="C0120"/>
    <s v="B10"/>
    <x v="2"/>
    <n v="6000000"/>
    <n v="0.1047"/>
    <d v="2022-11-16T00:00:00"/>
    <n v="24"/>
    <n v="0"/>
    <n v="7980000"/>
    <x v="0"/>
    <n v="278172.93301708018"/>
    <d v="2024-11-16T00:00:00"/>
    <n v="1.33"/>
    <s v="Secured"/>
    <x v="3"/>
    <n v="357"/>
    <s v="High Risk"/>
    <s v="High Risk Exposure"/>
    <s v="High"/>
  </r>
  <r>
    <s v="LN0074"/>
    <s v="C0449"/>
    <s v="B14"/>
    <x v="0"/>
    <n v="25000000"/>
    <n v="0.1615"/>
    <d v="2023-05-05T00:00:00"/>
    <n v="36"/>
    <n v="0"/>
    <n v="33500000"/>
    <x v="0"/>
    <n v="880778.33112373343"/>
    <d v="2026-05-05T00:00:00"/>
    <n v="1.34"/>
    <s v="Secured"/>
    <x v="13"/>
    <n v="793"/>
    <s v="Very Low Risk"/>
    <s v="Normal"/>
    <s v="Normal"/>
  </r>
  <r>
    <s v="LN0075"/>
    <s v="C0538"/>
    <s v="B15"/>
    <x v="1"/>
    <n v="500000"/>
    <n v="0.25869999999999999"/>
    <d v="2024-06-06T00:00:00"/>
    <n v="36"/>
    <n v="90"/>
    <n v="0"/>
    <x v="2"/>
    <n v="20110.700947971181"/>
    <d v="2027-06-06T00:00:00"/>
    <n v="0"/>
    <s v="Undersecured"/>
    <x v="9"/>
    <n v="485"/>
    <s v="High Risk"/>
    <s v="High Risk Exposure"/>
    <s v="High"/>
  </r>
  <r>
    <s v="LN0076"/>
    <s v="C0039"/>
    <s v="B03"/>
    <x v="1"/>
    <n v="1000000"/>
    <n v="0.23930000000000001"/>
    <d v="2023-06-18T00:00:00"/>
    <n v="12"/>
    <n v="0"/>
    <n v="0"/>
    <x v="0"/>
    <n v="94525.723991158331"/>
    <d v="2024-06-18T00:00:00"/>
    <n v="0"/>
    <s v="Undersecured"/>
    <x v="7"/>
    <n v="681"/>
    <s v="Low Risk"/>
    <s v="High Risk Exposure"/>
    <s v="High"/>
  </r>
  <r>
    <s v="LN0077"/>
    <s v="C0032"/>
    <s v="B06"/>
    <x v="0"/>
    <n v="25000000"/>
    <n v="0.17730000000000001"/>
    <d v="2020-04-05T00:00:00"/>
    <n v="24"/>
    <n v="0"/>
    <n v="19250000"/>
    <x v="0"/>
    <n v="1244843.5398501572"/>
    <d v="2022-04-05T00:00:00"/>
    <n v="0.77"/>
    <s v="Undersecured"/>
    <x v="6"/>
    <n v="459"/>
    <s v="High Risk"/>
    <s v="High Risk Exposure"/>
    <s v="High"/>
  </r>
  <r>
    <s v="LN0078"/>
    <s v="C0672"/>
    <s v="B14"/>
    <x v="3"/>
    <n v="500000"/>
    <n v="0.19520000000000001"/>
    <d v="2025-02-14T00:00:00"/>
    <n v="36"/>
    <n v="0"/>
    <n v="670000"/>
    <x v="0"/>
    <n v="18459.731264017919"/>
    <d v="2028-02-14T00:00:00"/>
    <n v="1.34"/>
    <s v="Secured"/>
    <x v="13"/>
    <n v="656"/>
    <s v="Medium Risk"/>
    <s v="Normal"/>
    <s v="Normal"/>
  </r>
  <r>
    <s v="LN0079"/>
    <s v="C0219"/>
    <s v="B01"/>
    <x v="0"/>
    <n v="6000000"/>
    <n v="0.20880000000000001"/>
    <d v="2020-10-26T00:00:00"/>
    <n v="36"/>
    <n v="5"/>
    <n v="3060000"/>
    <x v="0"/>
    <n v="225680.89719147395"/>
    <d v="2023-10-26T00:00:00"/>
    <n v="0.51"/>
    <s v="Undersecured"/>
    <x v="1"/>
    <n v="402"/>
    <s v="High Risk"/>
    <s v="High Risk Exposure"/>
    <s v="High"/>
  </r>
  <r>
    <s v="LN0080"/>
    <s v="C0209"/>
    <s v="B01"/>
    <x v="3"/>
    <n v="6000000"/>
    <n v="0.1656"/>
    <d v="2025-12-25T00:00:00"/>
    <n v="60"/>
    <n v="0"/>
    <n v="7140000"/>
    <x v="0"/>
    <n v="147699.62287726067"/>
    <d v="2030-12-25T00:00:00"/>
    <n v="1.19"/>
    <s v="Secured"/>
    <x v="1"/>
    <n v="385"/>
    <s v="High Risk"/>
    <s v="High Risk Exposure"/>
    <s v="High"/>
  </r>
  <r>
    <s v="LN0081"/>
    <s v="C0302"/>
    <s v="B10"/>
    <x v="2"/>
    <n v="6000000"/>
    <n v="0.1182"/>
    <d v="2022-09-26T00:00:00"/>
    <n v="36"/>
    <n v="5"/>
    <n v="5520000"/>
    <x v="0"/>
    <n v="198770.4232847541"/>
    <d v="2025-09-26T00:00:00"/>
    <n v="0.92"/>
    <s v="Undersecured"/>
    <x v="3"/>
    <n v="333"/>
    <s v="High Risk"/>
    <s v="High Risk Exposure"/>
    <s v="High"/>
  </r>
  <r>
    <s v="LN0082"/>
    <s v="C0185"/>
    <s v="B14"/>
    <x v="3"/>
    <n v="3000000"/>
    <n v="0.18290000000000001"/>
    <d v="2023-01-26T00:00:00"/>
    <n v="12"/>
    <n v="120"/>
    <n v="3240000"/>
    <x v="1"/>
    <n v="275454.19298295351"/>
    <d v="2024-01-26T00:00:00"/>
    <n v="1.08"/>
    <s v="Secured"/>
    <x v="13"/>
    <n v="732"/>
    <s v="Low Risk"/>
    <s v="High Risk Exposure"/>
    <s v="Critical"/>
  </r>
  <r>
    <s v="LN0083"/>
    <s v="C0195"/>
    <s v="B08"/>
    <x v="3"/>
    <n v="3000000"/>
    <n v="0.1293"/>
    <d v="2024-04-25T00:00:00"/>
    <n v="24"/>
    <n v="45"/>
    <n v="3330000"/>
    <x v="2"/>
    <n v="142526.84931338459"/>
    <d v="2026-04-25T00:00:00"/>
    <n v="1.1100000000000001"/>
    <s v="Secured"/>
    <x v="5"/>
    <n v="720"/>
    <s v="Low Risk"/>
    <s v="High Risk Exposure"/>
    <s v="High"/>
  </r>
  <r>
    <s v="LN0084"/>
    <s v="C0195"/>
    <s v="B06"/>
    <x v="3"/>
    <n v="3000000"/>
    <n v="0.1244"/>
    <d v="2024-10-05T00:00:00"/>
    <n v="36"/>
    <n v="5"/>
    <n v="2370000"/>
    <x v="0"/>
    <n v="100274.56286327582"/>
    <d v="2027-10-05T00:00:00"/>
    <n v="0.79"/>
    <s v="Undersecured"/>
    <x v="6"/>
    <n v="720"/>
    <s v="Low Risk"/>
    <s v="High Risk Exposure"/>
    <s v="High"/>
  </r>
  <r>
    <s v="LN0085"/>
    <s v="C0422"/>
    <s v="B15"/>
    <x v="2"/>
    <n v="25000000"/>
    <n v="0.1062"/>
    <d v="2021-09-20T00:00:00"/>
    <n v="72"/>
    <n v="90"/>
    <n v="23750000"/>
    <x v="2"/>
    <n v="471000.40430036915"/>
    <d v="2027-09-20T00:00:00"/>
    <n v="0.95"/>
    <s v="Undersecured"/>
    <x v="9"/>
    <n v="653"/>
    <s v="Medium Risk"/>
    <s v="High Risk Exposure"/>
    <s v="High"/>
  </r>
  <r>
    <s v="LN0086"/>
    <s v="C0183"/>
    <s v="B04"/>
    <x v="2"/>
    <n v="6000000"/>
    <n v="0.13850000000000001"/>
    <d v="2021-01-11T00:00:00"/>
    <n v="48"/>
    <n v="120"/>
    <n v="9000000"/>
    <x v="1"/>
    <n v="163507.74821068844"/>
    <d v="2025-01-11T00:00:00"/>
    <n v="1.5"/>
    <s v="Secured"/>
    <x v="14"/>
    <n v="561"/>
    <s v="High Risk"/>
    <s v="High Risk Exposure"/>
    <s v="Critical"/>
  </r>
  <r>
    <s v="LN0087"/>
    <s v="C0050"/>
    <s v="B15"/>
    <x v="0"/>
    <n v="6000000"/>
    <n v="0.22359999999999999"/>
    <d v="2021-05-05T00:00:00"/>
    <n v="60"/>
    <n v="0"/>
    <n v="4800000"/>
    <x v="0"/>
    <n v="166943.90991637885"/>
    <d v="2026-05-05T00:00:00"/>
    <n v="0.8"/>
    <s v="Undersecured"/>
    <x v="9"/>
    <n v="494"/>
    <s v="High Risk"/>
    <s v="High Risk Exposure"/>
    <s v="High"/>
  </r>
  <r>
    <s v="LN0088"/>
    <s v="C0611"/>
    <s v="B05"/>
    <x v="3"/>
    <n v="6000000"/>
    <n v="0.1578"/>
    <d v="2021-07-14T00:00:00"/>
    <n v="48"/>
    <n v="5"/>
    <n v="8760000"/>
    <x v="0"/>
    <n v="169366.40322088759"/>
    <d v="2025-07-14T00:00:00"/>
    <n v="1.46"/>
    <s v="Secured"/>
    <x v="4"/>
    <n v="402"/>
    <s v="High Risk"/>
    <s v="High Risk Exposure"/>
    <s v="High"/>
  </r>
  <r>
    <s v="LN0089"/>
    <s v="C0164"/>
    <s v="B01"/>
    <x v="2"/>
    <n v="80000000"/>
    <n v="0.1099"/>
    <d v="2024-12-15T00:00:00"/>
    <n v="24"/>
    <n v="90"/>
    <n v="114400000"/>
    <x v="2"/>
    <n v="3728255.6474923198"/>
    <d v="2026-12-15T00:00:00"/>
    <n v="1.43"/>
    <s v="Secured"/>
    <x v="1"/>
    <n v="712"/>
    <s v="Low Risk"/>
    <s v="High Risk Exposure"/>
    <s v="High"/>
  </r>
  <r>
    <s v="LN0090"/>
    <s v="C0570"/>
    <s v="B05"/>
    <x v="0"/>
    <n v="3000000"/>
    <n v="0.22159999999999999"/>
    <d v="2022-06-07T00:00:00"/>
    <n v="12"/>
    <n v="0"/>
    <n v="3660000"/>
    <x v="0"/>
    <n v="281014.20181139233"/>
    <d v="2023-06-07T00:00:00"/>
    <n v="1.22"/>
    <s v="Secured"/>
    <x v="4"/>
    <n v="712"/>
    <s v="Low Risk"/>
    <s v="Normal"/>
    <s v="Normal"/>
  </r>
  <r>
    <s v="LN0091"/>
    <s v="C0328"/>
    <s v="B12"/>
    <x v="0"/>
    <n v="6000000"/>
    <n v="0.2001"/>
    <d v="2024-07-28T00:00:00"/>
    <n v="60"/>
    <n v="120"/>
    <n v="7380000"/>
    <x v="1"/>
    <n v="158996.68905666252"/>
    <d v="2029-07-28T00:00:00"/>
    <n v="1.23"/>
    <s v="Secured"/>
    <x v="12"/>
    <n v="820"/>
    <s v="Prime"/>
    <s v="High Risk Exposure"/>
    <s v="Critical"/>
  </r>
  <r>
    <s v="LN0092"/>
    <s v="C0034"/>
    <s v="B15"/>
    <x v="0"/>
    <n v="3000000"/>
    <n v="0.18099999999999999"/>
    <d v="2025-07-20T00:00:00"/>
    <n v="36"/>
    <n v="90"/>
    <n v="4200000"/>
    <x v="2"/>
    <n v="108607.74068838227"/>
    <d v="2028-07-20T00:00:00"/>
    <n v="1.4"/>
    <s v="Secured"/>
    <x v="9"/>
    <n v="588"/>
    <s v="Medium Risk"/>
    <s v="High Risk Exposure"/>
    <s v="High"/>
  </r>
  <r>
    <s v="LN0093"/>
    <s v="C0620"/>
    <s v="B05"/>
    <x v="2"/>
    <n v="6000000"/>
    <n v="9.8000000000000004E-2"/>
    <d v="2021-12-18T00:00:00"/>
    <n v="12"/>
    <n v="10"/>
    <n v="5400000"/>
    <x v="0"/>
    <n v="526937.37725363357"/>
    <d v="2022-12-18T00:00:00"/>
    <n v="0.9"/>
    <s v="Undersecured"/>
    <x v="4"/>
    <n v="653"/>
    <s v="Medium Risk"/>
    <s v="High Risk Exposure"/>
    <s v="High"/>
  </r>
  <r>
    <s v="LN0094"/>
    <s v="C0054"/>
    <s v="B06"/>
    <x v="0"/>
    <n v="3000000"/>
    <n v="0.14799999999999999"/>
    <d v="2021-10-07T00:00:00"/>
    <n v="60"/>
    <n v="0"/>
    <n v="3210000"/>
    <x v="0"/>
    <n v="71055.229986035789"/>
    <d v="2026-10-07T00:00:00"/>
    <n v="1.07"/>
    <s v="Secured"/>
    <x v="6"/>
    <n v="347"/>
    <s v="High Risk"/>
    <s v="High Risk Exposure"/>
    <s v="High"/>
  </r>
  <r>
    <s v="LN0095"/>
    <s v="C0594"/>
    <s v="B15"/>
    <x v="0"/>
    <n v="6000000"/>
    <n v="0.18840000000000001"/>
    <d v="2021-03-25T00:00:00"/>
    <n v="60"/>
    <n v="45"/>
    <n v="7740000"/>
    <x v="2"/>
    <n v="155115.5546658572"/>
    <d v="2026-03-25T00:00:00"/>
    <n v="1.29"/>
    <s v="Secured"/>
    <x v="9"/>
    <n v="313"/>
    <s v="High Risk"/>
    <s v="High Risk Exposure"/>
    <s v="High"/>
  </r>
  <r>
    <s v="LN0096"/>
    <s v="C0529"/>
    <s v="B11"/>
    <x v="0"/>
    <n v="25000000"/>
    <n v="0.1444"/>
    <d v="2020-04-19T00:00:00"/>
    <n v="24"/>
    <n v="45"/>
    <n v="31500000"/>
    <x v="2"/>
    <n v="1205525.1750123345"/>
    <d v="2022-04-19T00:00:00"/>
    <n v="1.26"/>
    <s v="Secured"/>
    <x v="10"/>
    <n v="787"/>
    <s v="Very Low Risk"/>
    <s v="High Risk Exposure"/>
    <s v="High"/>
  </r>
  <r>
    <s v="LN0097"/>
    <s v="C0266"/>
    <s v="B01"/>
    <x v="3"/>
    <n v="1000000"/>
    <n v="0.13639999999999999"/>
    <d v="2021-07-20T00:00:00"/>
    <n v="60"/>
    <n v="90"/>
    <n v="870000"/>
    <x v="2"/>
    <n v="23082.035153322187"/>
    <d v="2026-07-20T00:00:00"/>
    <n v="0.87"/>
    <s v="Undersecured"/>
    <x v="1"/>
    <n v="426"/>
    <s v="High Risk"/>
    <s v="High Risk Exposure"/>
    <s v="High"/>
  </r>
  <r>
    <s v="LN0098"/>
    <s v="C0274"/>
    <s v="B08"/>
    <x v="2"/>
    <n v="80000000"/>
    <n v="0.12180000000000001"/>
    <d v="2023-09-06T00:00:00"/>
    <n v="48"/>
    <n v="0"/>
    <n v="64800000"/>
    <x v="0"/>
    <n v="2113784.0350262299"/>
    <d v="2027-09-06T00:00:00"/>
    <n v="0.81"/>
    <s v="Undersecured"/>
    <x v="5"/>
    <n v="547"/>
    <s v="High Risk"/>
    <s v="High Risk Exposure"/>
    <s v="High"/>
  </r>
  <r>
    <s v="LN0099"/>
    <s v="C0465"/>
    <s v="B02"/>
    <x v="2"/>
    <n v="6000000"/>
    <n v="0.11169999999999999"/>
    <d v="2025-07-11T00:00:00"/>
    <n v="36"/>
    <n v="45"/>
    <n v="3480000"/>
    <x v="2"/>
    <n v="196915.68962247914"/>
    <d v="2028-07-11T00:00:00"/>
    <n v="0.57999999999999996"/>
    <s v="Undersecured"/>
    <x v="11"/>
    <n v="358"/>
    <s v="High Risk"/>
    <s v="High Risk Exposure"/>
    <s v="High"/>
  </r>
  <r>
    <s v="LN0100"/>
    <s v="C0254"/>
    <s v="B06"/>
    <x v="2"/>
    <n v="6000000"/>
    <n v="0.1197"/>
    <d v="2020-08-06T00:00:00"/>
    <n v="36"/>
    <n v="0"/>
    <n v="4560000"/>
    <x v="0"/>
    <n v="199199.89826330772"/>
    <d v="2023-08-06T00:00:00"/>
    <n v="0.76"/>
    <s v="Undersecured"/>
    <x v="6"/>
    <n v="850"/>
    <s v="Prime"/>
    <s v="High Risk Exposure"/>
    <s v="High"/>
  </r>
  <r>
    <s v="LN0101"/>
    <s v="C0035"/>
    <s v="B06"/>
    <x v="3"/>
    <n v="500000"/>
    <n v="0.1699"/>
    <d v="2024-08-18T00:00:00"/>
    <n v="60"/>
    <n v="5"/>
    <n v="460000"/>
    <x v="0"/>
    <n v="12423.599566288252"/>
    <d v="2029-08-18T00:00:00"/>
    <n v="0.92"/>
    <s v="Undersecured"/>
    <x v="6"/>
    <n v="696"/>
    <s v="Low Risk"/>
    <s v="High Risk Exposure"/>
    <s v="High"/>
  </r>
  <r>
    <s v="LN0102"/>
    <s v="C0064"/>
    <s v="B03"/>
    <x v="1"/>
    <n v="250000"/>
    <n v="0.2213"/>
    <d v="2025-08-25T00:00:00"/>
    <n v="48"/>
    <n v="5"/>
    <n v="0"/>
    <x v="0"/>
    <n v="7894.1741269433478"/>
    <d v="2029-08-25T00:00:00"/>
    <n v="0"/>
    <s v="Undersecured"/>
    <x v="7"/>
    <n v="628"/>
    <s v="Medium Risk"/>
    <s v="High Risk Exposure"/>
    <s v="High"/>
  </r>
  <r>
    <s v="LN0103"/>
    <s v="C0143"/>
    <s v="B02"/>
    <x v="1"/>
    <n v="1000000"/>
    <n v="0.18740000000000001"/>
    <d v="2021-07-16T00:00:00"/>
    <n v="48"/>
    <n v="0"/>
    <n v="0"/>
    <x v="0"/>
    <n v="29763.092833269195"/>
    <d v="2025-07-16T00:00:00"/>
    <n v="0"/>
    <s v="Undersecured"/>
    <x v="11"/>
    <n v="762"/>
    <s v="Very Low Risk"/>
    <s v="High Risk Exposure"/>
    <s v="High"/>
  </r>
  <r>
    <s v="LN0104"/>
    <s v="C0075"/>
    <s v="B06"/>
    <x v="2"/>
    <n v="25000000"/>
    <n v="0.128"/>
    <d v="2025-01-06T00:00:00"/>
    <n v="48"/>
    <n v="0"/>
    <n v="28000000"/>
    <x v="0"/>
    <n v="668208.43222106935"/>
    <d v="2029-01-06T00:00:00"/>
    <n v="1.1200000000000001"/>
    <s v="Secured"/>
    <x v="6"/>
    <n v="753"/>
    <s v="Very Low Risk"/>
    <s v="Normal"/>
    <s v="Normal"/>
  </r>
  <r>
    <s v="LN0105"/>
    <s v="C0061"/>
    <s v="B14"/>
    <x v="3"/>
    <n v="3000000"/>
    <n v="0.1532"/>
    <d v="2022-10-08T00:00:00"/>
    <n v="12"/>
    <n v="0"/>
    <n v="2160000"/>
    <x v="0"/>
    <n v="271228.14013101079"/>
    <d v="2023-10-08T00:00:00"/>
    <n v="0.72"/>
    <s v="Undersecured"/>
    <x v="13"/>
    <n v="400"/>
    <s v="High Risk"/>
    <s v="High Risk Exposure"/>
    <s v="High"/>
  </r>
  <r>
    <s v="LN0106"/>
    <s v="C0116"/>
    <s v="B07"/>
    <x v="1"/>
    <n v="500000"/>
    <n v="0.20030000000000001"/>
    <d v="2024-09-20T00:00:00"/>
    <n v="36"/>
    <n v="45"/>
    <n v="0"/>
    <x v="2"/>
    <n v="18589.43546306264"/>
    <d v="2027-09-20T00:00:00"/>
    <n v="0"/>
    <s v="Undersecured"/>
    <x v="0"/>
    <n v="587"/>
    <s v="Medium Risk"/>
    <s v="High Risk Exposure"/>
    <s v="High"/>
  </r>
  <r>
    <s v="LN0107"/>
    <s v="C0350"/>
    <s v="B07"/>
    <x v="2"/>
    <n v="25000000"/>
    <n v="0.1222"/>
    <d v="2020-05-09T00:00:00"/>
    <n v="60"/>
    <n v="10"/>
    <n v="12500000"/>
    <x v="0"/>
    <n v="558894.51405793324"/>
    <d v="2025-05-09T00:00:00"/>
    <n v="0.5"/>
    <s v="Undersecured"/>
    <x v="0"/>
    <n v="488"/>
    <s v="High Risk"/>
    <s v="High Risk Exposure"/>
    <s v="High"/>
  </r>
  <r>
    <s v="LN0108"/>
    <s v="C0375"/>
    <s v="B11"/>
    <x v="0"/>
    <n v="1000000"/>
    <n v="0.21149999999999999"/>
    <d v="2025-09-19T00:00:00"/>
    <n v="72"/>
    <n v="10"/>
    <n v="690000"/>
    <x v="0"/>
    <n v="24624.074997750711"/>
    <d v="2031-09-19T00:00:00"/>
    <n v="0.69"/>
    <s v="Undersecured"/>
    <x v="10"/>
    <n v="411"/>
    <s v="High Risk"/>
    <s v="High Risk Exposure"/>
    <s v="High"/>
  </r>
  <r>
    <s v="LN0109"/>
    <s v="C0674"/>
    <s v="B11"/>
    <x v="2"/>
    <n v="25000000"/>
    <n v="0.1173"/>
    <d v="2023-03-13T00:00:00"/>
    <n v="48"/>
    <n v="0"/>
    <n v="18750000"/>
    <x v="0"/>
    <n v="655036.57120554778"/>
    <d v="2027-03-13T00:00:00"/>
    <n v="0.75"/>
    <s v="Undersecured"/>
    <x v="10"/>
    <n v="445"/>
    <s v="High Risk"/>
    <s v="High Risk Exposure"/>
    <s v="High"/>
  </r>
  <r>
    <s v="LN0110"/>
    <s v="C0219"/>
    <s v="B15"/>
    <x v="1"/>
    <n v="500000"/>
    <n v="0.17599999999999999"/>
    <d v="2020-06-06T00:00:00"/>
    <n v="36"/>
    <n v="0"/>
    <n v="0"/>
    <x v="0"/>
    <n v="17976.026293621755"/>
    <d v="2023-06-06T00:00:00"/>
    <n v="0"/>
    <s v="Undersecured"/>
    <x v="9"/>
    <n v="402"/>
    <s v="High Risk"/>
    <s v="High Risk Exposure"/>
    <s v="High"/>
  </r>
  <r>
    <s v="LN0111"/>
    <s v="C0519"/>
    <s v="B08"/>
    <x v="0"/>
    <n v="6000000"/>
    <n v="0.22170000000000001"/>
    <d v="2025-07-26T00:00:00"/>
    <n v="72"/>
    <n v="90"/>
    <n v="5040000"/>
    <x v="2"/>
    <n v="151362.80419118353"/>
    <d v="2031-07-26T00:00:00"/>
    <n v="0.84"/>
    <s v="Undersecured"/>
    <x v="5"/>
    <n v="329"/>
    <s v="High Risk"/>
    <s v="High Risk Exposure"/>
    <s v="High"/>
  </r>
  <r>
    <s v="LN0112"/>
    <s v="C0544"/>
    <s v="B06"/>
    <x v="2"/>
    <n v="25000000"/>
    <n v="0.1197"/>
    <d v="2025-09-13T00:00:00"/>
    <n v="60"/>
    <n v="20"/>
    <n v="30250000"/>
    <x v="0"/>
    <n v="555732.26678462117"/>
    <d v="2030-09-13T00:00:00"/>
    <n v="1.21"/>
    <s v="Secured"/>
    <x v="6"/>
    <n v="590"/>
    <s v="Medium Risk"/>
    <s v="Normal"/>
    <s v="Normal"/>
  </r>
  <r>
    <s v="LN0113"/>
    <s v="C0568"/>
    <s v="B07"/>
    <x v="3"/>
    <n v="6000000"/>
    <n v="0.13880000000000001"/>
    <d v="2024-09-19T00:00:00"/>
    <n v="48"/>
    <n v="20"/>
    <n v="4020000"/>
    <x v="0"/>
    <n v="163597.91318788627"/>
    <d v="2028-09-19T00:00:00"/>
    <n v="0.67"/>
    <s v="Undersecured"/>
    <x v="0"/>
    <n v="724"/>
    <s v="Low Risk"/>
    <s v="High Risk Exposure"/>
    <s v="High"/>
  </r>
  <r>
    <s v="LN0114"/>
    <s v="C0267"/>
    <s v="B13"/>
    <x v="0"/>
    <n v="6000000"/>
    <n v="0.1812"/>
    <d v="2024-03-27T00:00:00"/>
    <n v="12"/>
    <n v="90"/>
    <n v="8880000"/>
    <x v="2"/>
    <n v="550422.6731840265"/>
    <d v="2025-03-27T00:00:00"/>
    <n v="1.48"/>
    <s v="Secured"/>
    <x v="2"/>
    <n v="376"/>
    <s v="High Risk"/>
    <s v="High Risk Exposure"/>
    <s v="High"/>
  </r>
  <r>
    <s v="LN0115"/>
    <s v="C0613"/>
    <s v="B03"/>
    <x v="3"/>
    <n v="3000000"/>
    <n v="0.1477"/>
    <d v="2020-02-11T00:00:00"/>
    <n v="48"/>
    <n v="0"/>
    <n v="2430000"/>
    <x v="0"/>
    <n v="83142.896374804739"/>
    <d v="2024-02-11T00:00:00"/>
    <n v="0.81"/>
    <s v="Undersecured"/>
    <x v="7"/>
    <n v="764"/>
    <s v="Very Low Risk"/>
    <s v="High Risk Exposure"/>
    <s v="High"/>
  </r>
  <r>
    <s v="LN0116"/>
    <s v="C0010"/>
    <s v="B09"/>
    <x v="0"/>
    <n v="1000000"/>
    <n v="0.187"/>
    <d v="2022-03-09T00:00:00"/>
    <n v="48"/>
    <n v="0"/>
    <n v="1060000"/>
    <x v="0"/>
    <n v="29742.042799836174"/>
    <d v="2026-03-09T00:00:00"/>
    <n v="1.06"/>
    <s v="Secured"/>
    <x v="8"/>
    <n v="824"/>
    <s v="Prime"/>
    <s v="Normal"/>
    <s v="Normal"/>
  </r>
  <r>
    <s v="LN0117"/>
    <s v="C0314"/>
    <s v="B04"/>
    <x v="2"/>
    <n v="6000000"/>
    <n v="0.104"/>
    <d v="2025-09-15T00:00:00"/>
    <n v="72"/>
    <n v="5"/>
    <n v="7140000"/>
    <x v="0"/>
    <n v="112369.11066364389"/>
    <d v="2031-09-15T00:00:00"/>
    <n v="1.19"/>
    <s v="Secured"/>
    <x v="14"/>
    <n v="744"/>
    <s v="Very Low Risk"/>
    <s v="Normal"/>
    <s v="Normal"/>
  </r>
  <r>
    <s v="LN0118"/>
    <s v="C0430"/>
    <s v="B14"/>
    <x v="3"/>
    <n v="500000"/>
    <n v="0.1542"/>
    <d v="2025-04-07T00:00:00"/>
    <n v="36"/>
    <n v="120"/>
    <n v="735000"/>
    <x v="1"/>
    <n v="17435.678700705826"/>
    <d v="2028-04-07T00:00:00"/>
    <n v="1.47"/>
    <s v="Secured"/>
    <x v="13"/>
    <n v="389"/>
    <s v="High Risk"/>
    <s v="High Risk Exposure"/>
    <s v="Critical"/>
  </r>
  <r>
    <s v="LN0119"/>
    <s v="C0127"/>
    <s v="B03"/>
    <x v="0"/>
    <n v="1000000"/>
    <n v="0.17460000000000001"/>
    <d v="2023-11-07T00:00:00"/>
    <n v="36"/>
    <n v="10"/>
    <n v="1180000"/>
    <x v="0"/>
    <n v="35882.082316059699"/>
    <d v="2026-11-07T00:00:00"/>
    <n v="1.18"/>
    <s v="Secured"/>
    <x v="7"/>
    <n v="822"/>
    <s v="Prime"/>
    <s v="Normal"/>
    <s v="Normal"/>
  </r>
  <r>
    <s v="LN0120"/>
    <s v="C0171"/>
    <s v="B09"/>
    <x v="2"/>
    <n v="25000000"/>
    <n v="0.1159"/>
    <d v="2021-10-15T00:00:00"/>
    <n v="72"/>
    <n v="0"/>
    <n v="28500000"/>
    <x v="0"/>
    <n v="483440.95986090874"/>
    <d v="2027-10-15T00:00:00"/>
    <n v="1.1399999999999999"/>
    <s v="Secured"/>
    <x v="8"/>
    <n v="382"/>
    <s v="High Risk"/>
    <s v="High Risk Exposure"/>
    <s v="High"/>
  </r>
  <r>
    <s v="LN0121"/>
    <s v="C0641"/>
    <s v="B15"/>
    <x v="0"/>
    <n v="6000000"/>
    <n v="0.1522"/>
    <d v="2025-07-26T00:00:00"/>
    <n v="12"/>
    <n v="90"/>
    <n v="5160000"/>
    <x v="2"/>
    <n v="542172.93920024356"/>
    <d v="2026-07-26T00:00:00"/>
    <n v="0.86"/>
    <s v="Undersecured"/>
    <x v="9"/>
    <n v="790"/>
    <s v="Very Low Risk"/>
    <s v="High Risk Exposure"/>
    <s v="High"/>
  </r>
  <r>
    <s v="LN0122"/>
    <s v="C0124"/>
    <s v="B01"/>
    <x v="1"/>
    <n v="250000"/>
    <n v="0.18609999999999999"/>
    <d v="2025-05-24T00:00:00"/>
    <n v="36"/>
    <n v="120"/>
    <n v="0"/>
    <x v="1"/>
    <n v="9114.7842406892414"/>
    <d v="2028-05-24T00:00:00"/>
    <n v="0"/>
    <s v="Undersecured"/>
    <x v="1"/>
    <n v="748"/>
    <s v="Very Low Risk"/>
    <s v="High Risk Exposure"/>
    <s v="Critical"/>
  </r>
  <r>
    <s v="LN0123"/>
    <s v="C0656"/>
    <s v="B12"/>
    <x v="2"/>
    <n v="25000000"/>
    <n v="0.1197"/>
    <d v="2024-05-17T00:00:00"/>
    <n v="12"/>
    <n v="0"/>
    <n v="20000000"/>
    <x v="0"/>
    <n v="2220868.8755274112"/>
    <d v="2025-05-17T00:00:00"/>
    <n v="0.8"/>
    <s v="Undersecured"/>
    <x v="12"/>
    <n v="485"/>
    <s v="High Risk"/>
    <s v="High Risk Exposure"/>
    <s v="High"/>
  </r>
  <r>
    <s v="LN0124"/>
    <s v="C0465"/>
    <s v="B09"/>
    <x v="3"/>
    <n v="6000000"/>
    <n v="0.12670000000000001"/>
    <d v="2025-08-21T00:00:00"/>
    <n v="12"/>
    <n v="90"/>
    <n v="6600000"/>
    <x v="2"/>
    <n v="534975.15066768893"/>
    <d v="2026-08-21T00:00:00"/>
    <n v="1.1000000000000001"/>
    <s v="Secured"/>
    <x v="8"/>
    <n v="358"/>
    <s v="High Risk"/>
    <s v="High Risk Exposure"/>
    <s v="High"/>
  </r>
  <r>
    <s v="LN0125"/>
    <s v="C0575"/>
    <s v="B11"/>
    <x v="2"/>
    <n v="6000000"/>
    <n v="0.1074"/>
    <d v="2021-08-03T00:00:00"/>
    <n v="60"/>
    <n v="10"/>
    <n v="4380000"/>
    <x v="0"/>
    <n v="129677.90133536661"/>
    <d v="2026-08-03T00:00:00"/>
    <n v="0.73"/>
    <s v="Undersecured"/>
    <x v="10"/>
    <n v="803"/>
    <s v="Prime"/>
    <s v="High Risk Exposure"/>
    <s v="High"/>
  </r>
  <r>
    <s v="LN0126"/>
    <s v="C0690"/>
    <s v="B07"/>
    <x v="0"/>
    <n v="1000000"/>
    <n v="0.23080000000000001"/>
    <d v="2020-09-20T00:00:00"/>
    <n v="36"/>
    <n v="0"/>
    <n v="890000"/>
    <x v="0"/>
    <n v="38751.430160257638"/>
    <d v="2023-09-20T00:00:00"/>
    <n v="0.89"/>
    <s v="Undersecured"/>
    <x v="0"/>
    <n v="353"/>
    <s v="High Risk"/>
    <s v="High Risk Exposure"/>
    <s v="High"/>
  </r>
  <r>
    <s v="LN0127"/>
    <s v="C0497"/>
    <s v="B15"/>
    <x v="2"/>
    <n v="80000000"/>
    <n v="0.13109999999999999"/>
    <d v="2022-04-09T00:00:00"/>
    <n v="36"/>
    <n v="120"/>
    <n v="52000000"/>
    <x v="1"/>
    <n v="2699756.741913063"/>
    <d v="2025-04-09T00:00:00"/>
    <n v="0.65"/>
    <s v="Undersecured"/>
    <x v="9"/>
    <n v="426"/>
    <s v="High Risk"/>
    <s v="High Risk Exposure"/>
    <s v="Critical"/>
  </r>
  <r>
    <s v="LN0128"/>
    <s v="C0131"/>
    <s v="B05"/>
    <x v="2"/>
    <n v="6000000"/>
    <n v="9.0700000000000003E-2"/>
    <d v="2025-12-10T00:00:00"/>
    <n v="60"/>
    <n v="0"/>
    <n v="5520000"/>
    <x v="0"/>
    <n v="124754.06951911595"/>
    <d v="2030-12-10T00:00:00"/>
    <n v="0.92"/>
    <s v="Undersecured"/>
    <x v="4"/>
    <n v="324"/>
    <s v="High Risk"/>
    <s v="High Risk Exposure"/>
    <s v="High"/>
  </r>
  <r>
    <s v="LN0129"/>
    <s v="C0062"/>
    <s v="B05"/>
    <x v="0"/>
    <n v="3000000"/>
    <n v="0.2379"/>
    <d v="2021-03-27T00:00:00"/>
    <n v="60"/>
    <n v="5"/>
    <n v="2370000"/>
    <x v="0"/>
    <n v="85938.609444037895"/>
    <d v="2026-03-27T00:00:00"/>
    <n v="0.79"/>
    <s v="Undersecured"/>
    <x v="4"/>
    <n v="502"/>
    <s v="High Risk"/>
    <s v="High Risk Exposure"/>
    <s v="High"/>
  </r>
  <r>
    <s v="LN0130"/>
    <s v="C0495"/>
    <s v="B08"/>
    <x v="1"/>
    <n v="500000"/>
    <n v="0.20449999999999999"/>
    <d v="2024-04-21T00:00:00"/>
    <n v="12"/>
    <n v="20"/>
    <n v="0"/>
    <x v="0"/>
    <n v="46425.005358740229"/>
    <d v="2025-04-21T00:00:00"/>
    <n v="0"/>
    <s v="Undersecured"/>
    <x v="5"/>
    <n v="519"/>
    <s v="High Risk"/>
    <s v="High Risk Exposure"/>
    <s v="High"/>
  </r>
  <r>
    <s v="LN0131"/>
    <s v="C0566"/>
    <s v="B05"/>
    <x v="3"/>
    <n v="3000000"/>
    <n v="0.153"/>
    <d v="2021-07-28T00:00:00"/>
    <n v="60"/>
    <n v="20"/>
    <n v="3090000"/>
    <x v="0"/>
    <n v="71843.081054291804"/>
    <d v="2026-07-28T00:00:00"/>
    <n v="1.03"/>
    <s v="Secured"/>
    <x v="4"/>
    <n v="517"/>
    <s v="High Risk"/>
    <s v="High Risk Exposure"/>
    <s v="High"/>
  </r>
  <r>
    <s v="LN0132"/>
    <s v="C0578"/>
    <s v="B13"/>
    <x v="3"/>
    <n v="3000000"/>
    <n v="0.16930000000000001"/>
    <d v="2020-09-06T00:00:00"/>
    <n v="72"/>
    <n v="20"/>
    <n v="2400000"/>
    <x v="0"/>
    <n v="66621.269477251641"/>
    <d v="2026-09-06T00:00:00"/>
    <n v="0.8"/>
    <s v="Undersecured"/>
    <x v="2"/>
    <n v="642"/>
    <s v="Medium Risk"/>
    <s v="High Risk Exposure"/>
    <s v="High"/>
  </r>
  <r>
    <s v="LN0133"/>
    <s v="C0228"/>
    <s v="B12"/>
    <x v="3"/>
    <n v="3000000"/>
    <n v="0.1439"/>
    <d v="2025-12-04T00:00:00"/>
    <n v="24"/>
    <n v="45"/>
    <n v="1740000"/>
    <x v="2"/>
    <n v="144591.99068514095"/>
    <d v="2027-12-04T00:00:00"/>
    <n v="0.57999999999999996"/>
    <s v="Undersecured"/>
    <x v="12"/>
    <n v="487"/>
    <s v="High Risk"/>
    <s v="High Risk Exposure"/>
    <s v="High"/>
  </r>
  <r>
    <s v="LN0134"/>
    <s v="C0443"/>
    <s v="B09"/>
    <x v="3"/>
    <n v="3000000"/>
    <n v="0.19900000000000001"/>
    <d v="2025-04-14T00:00:00"/>
    <n v="36"/>
    <n v="10"/>
    <n v="1560000"/>
    <x v="0"/>
    <n v="111337.95087718708"/>
    <d v="2028-04-14T00:00:00"/>
    <n v="0.52"/>
    <s v="Undersecured"/>
    <x v="8"/>
    <n v="654"/>
    <s v="Medium Risk"/>
    <s v="High Risk Exposure"/>
    <s v="High"/>
  </r>
  <r>
    <s v="LN0135"/>
    <s v="C0201"/>
    <s v="B08"/>
    <x v="2"/>
    <n v="6000000"/>
    <n v="9.1700000000000004E-2"/>
    <d v="2023-10-04T00:00:00"/>
    <n v="12"/>
    <n v="0"/>
    <n v="4140000"/>
    <x v="0"/>
    <n v="525181.98274516477"/>
    <d v="2024-10-04T00:00:00"/>
    <n v="0.69"/>
    <s v="Undersecured"/>
    <x v="5"/>
    <n v="611"/>
    <s v="Medium Risk"/>
    <s v="High Risk Exposure"/>
    <s v="High"/>
  </r>
  <r>
    <s v="LN0136"/>
    <s v="C0155"/>
    <s v="B13"/>
    <x v="3"/>
    <n v="500000"/>
    <n v="0.15459999999999999"/>
    <d v="2023-06-27T00:00:00"/>
    <n v="72"/>
    <n v="45"/>
    <n v="355000"/>
    <x v="2"/>
    <n v="10697.81055087771"/>
    <d v="2029-06-27T00:00:00"/>
    <n v="0.71"/>
    <s v="Undersecured"/>
    <x v="2"/>
    <n v="407"/>
    <s v="High Risk"/>
    <s v="High Risk Exposure"/>
    <s v="High"/>
  </r>
  <r>
    <s v="LN0137"/>
    <s v="C0399"/>
    <s v="B12"/>
    <x v="0"/>
    <n v="3000000"/>
    <n v="0.1779"/>
    <d v="2024-01-25T00:00:00"/>
    <n v="72"/>
    <n v="0"/>
    <n v="1860000"/>
    <x v="0"/>
    <n v="68067.707937444837"/>
    <d v="2030-01-25T00:00:00"/>
    <n v="0.62"/>
    <s v="Undersecured"/>
    <x v="12"/>
    <n v="472"/>
    <s v="High Risk"/>
    <s v="High Risk Exposure"/>
    <s v="High"/>
  </r>
  <r>
    <s v="LN0138"/>
    <s v="C0051"/>
    <s v="B02"/>
    <x v="1"/>
    <n v="500000"/>
    <n v="0.24310000000000001"/>
    <d v="2025-02-23T00:00:00"/>
    <n v="24"/>
    <n v="10"/>
    <n v="0"/>
    <x v="0"/>
    <n v="26512.973651246484"/>
    <d v="2027-02-23T00:00:00"/>
    <n v="0"/>
    <s v="Undersecured"/>
    <x v="11"/>
    <n v="345"/>
    <s v="High Risk"/>
    <s v="High Risk Exposure"/>
    <s v="High"/>
  </r>
  <r>
    <s v="LN0139"/>
    <s v="C0427"/>
    <s v="B08"/>
    <x v="3"/>
    <n v="6000000"/>
    <n v="0.13239999999999999"/>
    <d v="2021-12-19T00:00:00"/>
    <n v="12"/>
    <n v="0"/>
    <n v="6900000"/>
    <x v="0"/>
    <n v="536579.48568066629"/>
    <d v="2022-12-19T00:00:00"/>
    <n v="1.1499999999999999"/>
    <s v="Secured"/>
    <x v="5"/>
    <n v="567"/>
    <s v="High Risk"/>
    <s v="High Risk Exposure"/>
    <s v="High"/>
  </r>
  <r>
    <s v="LN0140"/>
    <s v="C0082"/>
    <s v="B07"/>
    <x v="2"/>
    <n v="25000000"/>
    <n v="0.1181"/>
    <d v="2022-09-15T00:00:00"/>
    <n v="24"/>
    <n v="45"/>
    <n v="31250000"/>
    <x v="2"/>
    <n v="1174619.8138828373"/>
    <d v="2024-09-15T00:00:00"/>
    <n v="1.25"/>
    <s v="Secured"/>
    <x v="0"/>
    <n v="661"/>
    <s v="Medium Risk"/>
    <s v="High Risk Exposure"/>
    <s v="High"/>
  </r>
  <r>
    <s v="LN0141"/>
    <s v="C0187"/>
    <s v="B02"/>
    <x v="3"/>
    <n v="6000000"/>
    <n v="0.1593"/>
    <d v="2020-07-26T00:00:00"/>
    <n v="24"/>
    <n v="20"/>
    <n v="4320000"/>
    <x v="0"/>
    <n v="293578.0228310274"/>
    <d v="2022-07-26T00:00:00"/>
    <n v="0.72"/>
    <s v="Undersecured"/>
    <x v="11"/>
    <n v="603"/>
    <s v="Medium Risk"/>
    <s v="High Risk Exposure"/>
    <s v="High"/>
  </r>
  <r>
    <s v="LN0142"/>
    <s v="C0161"/>
    <s v="B10"/>
    <x v="2"/>
    <n v="6000000"/>
    <n v="0.1174"/>
    <d v="2025-01-23T00:00:00"/>
    <n v="36"/>
    <n v="5"/>
    <n v="7920000"/>
    <x v="0"/>
    <n v="198541.59361514697"/>
    <d v="2028-01-23T00:00:00"/>
    <n v="1.32"/>
    <s v="Secured"/>
    <x v="3"/>
    <n v="811"/>
    <s v="Prime"/>
    <s v="Normal"/>
    <s v="Normal"/>
  </r>
  <r>
    <s v="LN0143"/>
    <s v="C0606"/>
    <s v="B03"/>
    <x v="3"/>
    <n v="500000"/>
    <n v="0.16969999999999999"/>
    <d v="2024-08-06T00:00:00"/>
    <n v="36"/>
    <n v="20"/>
    <n v="385000"/>
    <x v="0"/>
    <n v="17818.899396861034"/>
    <d v="2027-08-06T00:00:00"/>
    <n v="0.77"/>
    <s v="Undersecured"/>
    <x v="7"/>
    <n v="597"/>
    <s v="Medium Risk"/>
    <s v="High Risk Exposure"/>
    <s v="High"/>
  </r>
  <r>
    <s v="LN0144"/>
    <s v="C0603"/>
    <s v="B12"/>
    <x v="1"/>
    <n v="250000"/>
    <n v="0.25750000000000001"/>
    <d v="2024-11-09T00:00:00"/>
    <n v="72"/>
    <n v="10"/>
    <n v="0"/>
    <x v="0"/>
    <n v="6849.8037308057337"/>
    <d v="2030-11-09T00:00:00"/>
    <n v="0"/>
    <s v="Undersecured"/>
    <x v="12"/>
    <n v="802"/>
    <s v="Prime"/>
    <s v="High Risk Exposure"/>
    <s v="High"/>
  </r>
  <r>
    <s v="LN0145"/>
    <s v="C0131"/>
    <s v="B12"/>
    <x v="0"/>
    <n v="6000000"/>
    <n v="0.15390000000000001"/>
    <d v="2021-05-17T00:00:00"/>
    <n v="36"/>
    <n v="45"/>
    <n v="3660000"/>
    <x v="2"/>
    <n v="209139.705852724"/>
    <d v="2024-05-17T00:00:00"/>
    <n v="0.61"/>
    <s v="Undersecured"/>
    <x v="12"/>
    <n v="324"/>
    <s v="High Risk"/>
    <s v="High Risk Exposure"/>
    <s v="High"/>
  </r>
  <r>
    <s v="LN0146"/>
    <s v="C0447"/>
    <s v="B06"/>
    <x v="3"/>
    <n v="3000000"/>
    <n v="0.13880000000000001"/>
    <d v="2020-10-23T00:00:00"/>
    <n v="36"/>
    <n v="90"/>
    <n v="3180000"/>
    <x v="2"/>
    <n v="102358.1274778474"/>
    <d v="2023-10-23T00:00:00"/>
    <n v="1.06"/>
    <s v="Secured"/>
    <x v="6"/>
    <n v="508"/>
    <s v="High Risk"/>
    <s v="High Risk Exposure"/>
    <s v="High"/>
  </r>
  <r>
    <s v="LN0147"/>
    <s v="C0355"/>
    <s v="B10"/>
    <x v="1"/>
    <n v="100000"/>
    <n v="0.18679999999999999"/>
    <d v="2020-09-13T00:00:00"/>
    <n v="72"/>
    <n v="0"/>
    <n v="0"/>
    <x v="0"/>
    <n v="2319.3879658650835"/>
    <d v="2026-09-13T00:00:00"/>
    <n v="0"/>
    <s v="Undersecured"/>
    <x v="3"/>
    <n v="809"/>
    <s v="Prime"/>
    <s v="High Risk Exposure"/>
    <s v="High"/>
  </r>
  <r>
    <s v="LN0148"/>
    <s v="C0457"/>
    <s v="B06"/>
    <x v="1"/>
    <n v="1000000"/>
    <n v="0.16339999999999999"/>
    <d v="2025-05-16T00:00:00"/>
    <n v="60"/>
    <n v="0"/>
    <n v="0"/>
    <x v="0"/>
    <n v="24499.079205346527"/>
    <d v="2030-05-16T00:00:00"/>
    <n v="0"/>
    <s v="Undersecured"/>
    <x v="6"/>
    <n v="306"/>
    <s v="High Risk"/>
    <s v="High Risk Exposure"/>
    <s v="High"/>
  </r>
  <r>
    <s v="LN0149"/>
    <s v="C0136"/>
    <s v="B05"/>
    <x v="3"/>
    <n v="500000"/>
    <n v="0.13450000000000001"/>
    <d v="2023-05-08T00:00:00"/>
    <n v="36"/>
    <n v="90"/>
    <n v="600000"/>
    <x v="2"/>
    <n v="16955.554224349336"/>
    <d v="2026-05-08T00:00:00"/>
    <n v="1.2"/>
    <s v="Secured"/>
    <x v="4"/>
    <n v="746"/>
    <s v="Very Low Risk"/>
    <s v="High Risk Exposure"/>
    <s v="High"/>
  </r>
  <r>
    <s v="LN0150"/>
    <s v="C0224"/>
    <s v="B08"/>
    <x v="3"/>
    <n v="500000"/>
    <n v="0.15590000000000001"/>
    <d v="2020-07-01T00:00:00"/>
    <n v="24"/>
    <n v="5"/>
    <n v="745000"/>
    <x v="0"/>
    <n v="24383.717518651818"/>
    <d v="2022-07-01T00:00:00"/>
    <n v="1.49"/>
    <s v="Secured"/>
    <x v="5"/>
    <n v="487"/>
    <s v="High Risk"/>
    <s v="High Risk Exposure"/>
    <s v="High"/>
  </r>
  <r>
    <s v="LN0151"/>
    <s v="C0227"/>
    <s v="B15"/>
    <x v="2"/>
    <n v="80000000"/>
    <n v="0.11310000000000001"/>
    <d v="2024-03-18T00:00:00"/>
    <n v="36"/>
    <n v="45"/>
    <n v="112800000"/>
    <x v="2"/>
    <n v="2630857.3557051541"/>
    <d v="2027-03-18T00:00:00"/>
    <n v="1.41"/>
    <s v="Secured"/>
    <x v="9"/>
    <n v="660"/>
    <s v="Medium Risk"/>
    <s v="High Risk Exposure"/>
    <s v="High"/>
  </r>
  <r>
    <s v="LN0152"/>
    <s v="C0111"/>
    <s v="B04"/>
    <x v="3"/>
    <n v="6000000"/>
    <n v="0.19309999999999999"/>
    <d v="2024-10-11T00:00:00"/>
    <n v="12"/>
    <n v="0"/>
    <n v="5820000"/>
    <x v="0"/>
    <n v="553827.55403593055"/>
    <d v="2025-10-11T00:00:00"/>
    <n v="0.97"/>
    <s v="Undersecured"/>
    <x v="14"/>
    <n v="377"/>
    <s v="High Risk"/>
    <s v="High Risk Exposure"/>
    <s v="High"/>
  </r>
  <r>
    <s v="LN0153"/>
    <s v="C0347"/>
    <s v="B12"/>
    <x v="1"/>
    <n v="250000"/>
    <n v="0.25869999999999999"/>
    <d v="2023-07-05T00:00:00"/>
    <n v="48"/>
    <n v="20"/>
    <n v="0"/>
    <x v="0"/>
    <n v="8411.0522201068616"/>
    <d v="2027-07-05T00:00:00"/>
    <n v="0"/>
    <s v="Undersecured"/>
    <x v="12"/>
    <n v="624"/>
    <s v="Medium Risk"/>
    <s v="High Risk Exposure"/>
    <s v="High"/>
  </r>
  <r>
    <s v="LN0154"/>
    <s v="C0168"/>
    <s v="B07"/>
    <x v="1"/>
    <n v="100000"/>
    <n v="0.2422"/>
    <d v="2025-08-27T00:00:00"/>
    <n v="60"/>
    <n v="45"/>
    <n v="0"/>
    <x v="2"/>
    <n v="2889.5804031945872"/>
    <d v="2030-08-27T00:00:00"/>
    <n v="0"/>
    <s v="Undersecured"/>
    <x v="0"/>
    <n v="641"/>
    <s v="Medium Risk"/>
    <s v="High Risk Exposure"/>
    <s v="High"/>
  </r>
  <r>
    <s v="LN0155"/>
    <s v="C0131"/>
    <s v="B03"/>
    <x v="3"/>
    <n v="500000"/>
    <n v="0.15679999999999999"/>
    <d v="2022-12-15T00:00:00"/>
    <n v="72"/>
    <n v="20"/>
    <n v="285000"/>
    <x v="0"/>
    <n v="10758.019739404905"/>
    <d v="2028-12-15T00:00:00"/>
    <n v="0.56999999999999995"/>
    <s v="Undersecured"/>
    <x v="7"/>
    <n v="324"/>
    <s v="High Risk"/>
    <s v="High Risk Exposure"/>
    <s v="High"/>
  </r>
  <r>
    <s v="LN0156"/>
    <s v="C0365"/>
    <s v="B01"/>
    <x v="0"/>
    <n v="3000000"/>
    <n v="0.22090000000000001"/>
    <d v="2022-01-28T00:00:00"/>
    <n v="60"/>
    <n v="5"/>
    <n v="1560000"/>
    <x v="0"/>
    <n v="83010.32224984435"/>
    <d v="2027-01-28T00:00:00"/>
    <n v="0.52"/>
    <s v="Undersecured"/>
    <x v="1"/>
    <n v="552"/>
    <s v="High Risk"/>
    <s v="High Risk Exposure"/>
    <s v="High"/>
  </r>
  <r>
    <s v="LN0157"/>
    <s v="C0652"/>
    <s v="B08"/>
    <x v="0"/>
    <n v="3000000"/>
    <n v="0.1804"/>
    <d v="2022-06-21T00:00:00"/>
    <n v="12"/>
    <n v="0"/>
    <n v="2370000"/>
    <x v="0"/>
    <n v="275097.09155677451"/>
    <d v="2023-06-21T00:00:00"/>
    <n v="0.79"/>
    <s v="Undersecured"/>
    <x v="5"/>
    <n v="383"/>
    <s v="High Risk"/>
    <s v="High Risk Exposure"/>
    <s v="High"/>
  </r>
  <r>
    <s v="LN0158"/>
    <s v="C0403"/>
    <s v="B12"/>
    <x v="2"/>
    <n v="80000000"/>
    <n v="0.13830000000000001"/>
    <d v="2020-08-27T00:00:00"/>
    <n v="48"/>
    <n v="120"/>
    <n v="72800000"/>
    <x v="1"/>
    <n v="2179302.0548370392"/>
    <d v="2024-08-27T00:00:00"/>
    <n v="0.91"/>
    <s v="Undersecured"/>
    <x v="12"/>
    <n v="787"/>
    <s v="Very Low Risk"/>
    <s v="High Risk Exposure"/>
    <s v="Critical"/>
  </r>
  <r>
    <s v="LN0159"/>
    <s v="C0594"/>
    <s v="B07"/>
    <x v="3"/>
    <n v="6000000"/>
    <n v="0.1583"/>
    <d v="2025-10-23T00:00:00"/>
    <n v="12"/>
    <n v="90"/>
    <n v="7920000"/>
    <x v="2"/>
    <n v="543902.57947984245"/>
    <d v="2026-10-23T00:00:00"/>
    <n v="1.32"/>
    <s v="Secured"/>
    <x v="0"/>
    <n v="313"/>
    <s v="High Risk"/>
    <s v="High Risk Exposure"/>
    <s v="High"/>
  </r>
  <r>
    <s v="LN0160"/>
    <s v="C0631"/>
    <s v="B03"/>
    <x v="3"/>
    <n v="3000000"/>
    <n v="0.14080000000000001"/>
    <d v="2023-12-16T00:00:00"/>
    <n v="60"/>
    <n v="10"/>
    <n v="2100000"/>
    <x v="0"/>
    <n v="69929.239889424047"/>
    <d v="2028-12-16T00:00:00"/>
    <n v="0.7"/>
    <s v="Undersecured"/>
    <x v="7"/>
    <n v="799"/>
    <s v="Very Low Risk"/>
    <s v="High Risk Exposure"/>
    <s v="High"/>
  </r>
  <r>
    <s v="LN0161"/>
    <s v="C0047"/>
    <s v="B07"/>
    <x v="2"/>
    <n v="6000000"/>
    <n v="0.1172"/>
    <d v="2025-11-07T00:00:00"/>
    <n v="48"/>
    <n v="20"/>
    <n v="3120000"/>
    <x v="0"/>
    <n v="157179.40592182815"/>
    <d v="2029-11-07T00:00:00"/>
    <n v="0.52"/>
    <s v="Undersecured"/>
    <x v="0"/>
    <n v="331"/>
    <s v="High Risk"/>
    <s v="High Risk Exposure"/>
    <s v="High"/>
  </r>
  <r>
    <s v="LN0162"/>
    <s v="C0357"/>
    <s v="B13"/>
    <x v="1"/>
    <n v="100000"/>
    <n v="0.193"/>
    <d v="2020-09-15T00:00:00"/>
    <n v="72"/>
    <n v="90"/>
    <n v="0"/>
    <x v="2"/>
    <n v="2354.8805595119125"/>
    <d v="2026-09-15T00:00:00"/>
    <n v="0"/>
    <s v="Undersecured"/>
    <x v="2"/>
    <n v="510"/>
    <s v="High Risk"/>
    <s v="High Risk Exposure"/>
    <s v="High"/>
  </r>
  <r>
    <s v="LN0163"/>
    <s v="C0148"/>
    <s v="B03"/>
    <x v="1"/>
    <n v="500000"/>
    <n v="0.23719999999999999"/>
    <d v="2024-07-25T00:00:00"/>
    <n v="60"/>
    <n v="45"/>
    <n v="0"/>
    <x v="2"/>
    <n v="14302.836581691899"/>
    <d v="2029-07-25T00:00:00"/>
    <n v="0"/>
    <s v="Undersecured"/>
    <x v="7"/>
    <n v="778"/>
    <s v="Very Low Risk"/>
    <s v="High Risk Exposure"/>
    <s v="High"/>
  </r>
  <r>
    <s v="LN0164"/>
    <s v="C0219"/>
    <s v="B12"/>
    <x v="1"/>
    <n v="250000"/>
    <n v="0.17510000000000001"/>
    <d v="2020-10-19T00:00:00"/>
    <n v="36"/>
    <n v="0"/>
    <n v="0"/>
    <x v="0"/>
    <n v="8976.7656944987466"/>
    <d v="2023-10-19T00:00:00"/>
    <n v="0"/>
    <s v="Undersecured"/>
    <x v="12"/>
    <n v="402"/>
    <s v="High Risk"/>
    <s v="High Risk Exposure"/>
    <s v="High"/>
  </r>
  <r>
    <s v="LN0165"/>
    <s v="C0183"/>
    <s v="B02"/>
    <x v="0"/>
    <n v="6000000"/>
    <n v="0.14430000000000001"/>
    <d v="2024-10-12T00:00:00"/>
    <n v="12"/>
    <n v="0"/>
    <n v="3960000"/>
    <x v="0"/>
    <n v="539937.39405951451"/>
    <d v="2025-10-12T00:00:00"/>
    <n v="0.66"/>
    <s v="Undersecured"/>
    <x v="11"/>
    <n v="561"/>
    <s v="High Risk"/>
    <s v="High Risk Exposure"/>
    <s v="High"/>
  </r>
  <r>
    <s v="LN0166"/>
    <s v="C0490"/>
    <s v="B03"/>
    <x v="2"/>
    <n v="80000000"/>
    <n v="9.8000000000000004E-2"/>
    <d v="2022-10-07T00:00:00"/>
    <n v="36"/>
    <n v="5"/>
    <n v="92800000"/>
    <x v="0"/>
    <n v="2573869.5891144555"/>
    <d v="2025-10-07T00:00:00"/>
    <n v="1.1599999999999999"/>
    <s v="Secured"/>
    <x v="7"/>
    <n v="552"/>
    <s v="High Risk"/>
    <s v="High Risk Exposure"/>
    <s v="High"/>
  </r>
  <r>
    <s v="LN0167"/>
    <s v="C0146"/>
    <s v="B08"/>
    <x v="2"/>
    <n v="80000000"/>
    <n v="0.1134"/>
    <d v="2021-12-09T00:00:00"/>
    <n v="24"/>
    <n v="0"/>
    <n v="64000000"/>
    <x v="0"/>
    <n v="3741267.8901177999"/>
    <d v="2023-12-09T00:00:00"/>
    <n v="0.8"/>
    <s v="Undersecured"/>
    <x v="5"/>
    <n v="709"/>
    <s v="Low Risk"/>
    <s v="High Risk Exposure"/>
    <s v="High"/>
  </r>
  <r>
    <s v="LN0168"/>
    <s v="C0209"/>
    <s v="B05"/>
    <x v="2"/>
    <n v="6000000"/>
    <n v="0.12909999999999999"/>
    <d v="2023-12-16T00:00:00"/>
    <n v="12"/>
    <n v="90"/>
    <n v="4020000"/>
    <x v="2"/>
    <n v="535650.338201412"/>
    <d v="2024-12-16T00:00:00"/>
    <n v="0.67"/>
    <s v="Undersecured"/>
    <x v="4"/>
    <n v="385"/>
    <s v="High Risk"/>
    <s v="High Risk Exposure"/>
    <s v="High"/>
  </r>
  <r>
    <s v="LN0169"/>
    <s v="C0548"/>
    <s v="B08"/>
    <x v="3"/>
    <n v="1000000"/>
    <n v="0.15659999999999999"/>
    <d v="2020-12-26T00:00:00"/>
    <n v="24"/>
    <n v="20"/>
    <n v="1030000"/>
    <x v="0"/>
    <n v="48800.811002074639"/>
    <d v="2022-12-26T00:00:00"/>
    <n v="1.03"/>
    <s v="Secured"/>
    <x v="5"/>
    <n v="696"/>
    <s v="Low Risk"/>
    <s v="Normal"/>
    <s v="Normal"/>
  </r>
  <r>
    <s v="LN0170"/>
    <s v="C0183"/>
    <s v="B03"/>
    <x v="2"/>
    <n v="25000000"/>
    <n v="0.1082"/>
    <d v="2020-12-16T00:00:00"/>
    <n v="12"/>
    <n v="0"/>
    <n v="35500000"/>
    <x v="0"/>
    <n v="2207442.9836874218"/>
    <d v="2021-12-16T00:00:00"/>
    <n v="1.42"/>
    <s v="Secured"/>
    <x v="7"/>
    <n v="561"/>
    <s v="High Risk"/>
    <s v="High Risk Exposure"/>
    <s v="High"/>
  </r>
  <r>
    <s v="LN0171"/>
    <s v="C0550"/>
    <s v="B09"/>
    <x v="0"/>
    <n v="3000000"/>
    <n v="0.1812"/>
    <d v="2020-09-14T00:00:00"/>
    <n v="60"/>
    <n v="0"/>
    <n v="3750000"/>
    <x v="0"/>
    <n v="76376.25700130772"/>
    <d v="2025-09-14T00:00:00"/>
    <n v="1.25"/>
    <s v="Secured"/>
    <x v="8"/>
    <n v="565"/>
    <s v="High Risk"/>
    <s v="High Risk Exposure"/>
    <s v="High"/>
  </r>
  <r>
    <s v="LN0172"/>
    <s v="C0372"/>
    <s v="B01"/>
    <x v="0"/>
    <n v="25000000"/>
    <n v="0.18490000000000001"/>
    <d v="2020-12-10T00:00:00"/>
    <n v="60"/>
    <n v="5"/>
    <n v="32250000"/>
    <x v="0"/>
    <n v="641518.45561945986"/>
    <d v="2025-12-10T00:00:00"/>
    <n v="1.29"/>
    <s v="Secured"/>
    <x v="1"/>
    <n v="844"/>
    <s v="Prime"/>
    <s v="Normal"/>
    <s v="Normal"/>
  </r>
  <r>
    <s v="LN0173"/>
    <s v="C0313"/>
    <s v="B02"/>
    <x v="0"/>
    <n v="3000000"/>
    <n v="0.15340000000000001"/>
    <d v="2021-04-27T00:00:00"/>
    <n v="36"/>
    <n v="0"/>
    <n v="4350000"/>
    <x v="0"/>
    <n v="104496.17812896571"/>
    <d v="2024-04-27T00:00:00"/>
    <n v="1.45"/>
    <s v="Secured"/>
    <x v="11"/>
    <n v="576"/>
    <s v="High Risk"/>
    <s v="High Risk Exposure"/>
    <s v="High"/>
  </r>
  <r>
    <s v="LN0174"/>
    <s v="C0232"/>
    <s v="B07"/>
    <x v="0"/>
    <n v="3000000"/>
    <n v="0.18"/>
    <d v="2023-07-11T00:00:00"/>
    <n v="12"/>
    <n v="90"/>
    <n v="2610000"/>
    <x v="2"/>
    <n v="275039.97871868679"/>
    <d v="2024-07-11T00:00:00"/>
    <n v="0.87"/>
    <s v="Undersecured"/>
    <x v="0"/>
    <n v="733"/>
    <s v="Low Risk"/>
    <s v="High Risk Exposure"/>
    <s v="High"/>
  </r>
  <r>
    <s v="LN0175"/>
    <s v="C0308"/>
    <s v="B01"/>
    <x v="1"/>
    <n v="500000"/>
    <n v="0.24110000000000001"/>
    <d v="2020-01-10T00:00:00"/>
    <n v="12"/>
    <n v="0"/>
    <n v="0"/>
    <x v="0"/>
    <n v="47306.419112230353"/>
    <d v="2021-01-10T00:00:00"/>
    <n v="0"/>
    <s v="Undersecured"/>
    <x v="1"/>
    <n v="625"/>
    <s v="Medium Risk"/>
    <s v="High Risk Exposure"/>
    <s v="High"/>
  </r>
  <r>
    <s v="LN0176"/>
    <s v="C0322"/>
    <s v="B07"/>
    <x v="3"/>
    <n v="3000000"/>
    <n v="0.1215"/>
    <d v="2022-07-11T00:00:00"/>
    <n v="72"/>
    <n v="20"/>
    <n v="2820000"/>
    <x v="0"/>
    <n v="58884.852166942648"/>
    <d v="2028-07-11T00:00:00"/>
    <n v="0.94"/>
    <s v="Undersecured"/>
    <x v="0"/>
    <n v="425"/>
    <s v="High Risk"/>
    <s v="High Risk Exposure"/>
    <s v="High"/>
  </r>
  <r>
    <s v="LN0177"/>
    <s v="C0253"/>
    <s v="B09"/>
    <x v="0"/>
    <n v="25000000"/>
    <n v="0.1542"/>
    <d v="2023-06-28T00:00:00"/>
    <n v="12"/>
    <n v="0"/>
    <n v="22250000"/>
    <x v="0"/>
    <n v="2261415.4263792476"/>
    <d v="2024-06-28T00:00:00"/>
    <n v="0.89"/>
    <s v="Undersecured"/>
    <x v="8"/>
    <n v="628"/>
    <s v="Medium Risk"/>
    <s v="High Risk Exposure"/>
    <s v="High"/>
  </r>
  <r>
    <s v="LN0178"/>
    <s v="C0581"/>
    <s v="B11"/>
    <x v="2"/>
    <n v="80000000"/>
    <n v="0.11609999999999999"/>
    <d v="2023-09-25T00:00:00"/>
    <n v="60"/>
    <n v="0"/>
    <n v="88000000"/>
    <x v="0"/>
    <n v="1763829.6285162065"/>
    <d v="2028-09-25T00:00:00"/>
    <n v="1.1000000000000001"/>
    <s v="Secured"/>
    <x v="10"/>
    <n v="474"/>
    <s v="High Risk"/>
    <s v="High Risk Exposure"/>
    <s v="High"/>
  </r>
  <r>
    <s v="LN0179"/>
    <s v="C0321"/>
    <s v="B14"/>
    <x v="1"/>
    <n v="250000"/>
    <n v="0.20369999999999999"/>
    <d v="2022-10-09T00:00:00"/>
    <n v="36"/>
    <n v="0"/>
    <n v="0"/>
    <x v="0"/>
    <n v="9338.0941168788268"/>
    <d v="2025-10-09T00:00:00"/>
    <n v="0"/>
    <s v="Undersecured"/>
    <x v="13"/>
    <n v="336"/>
    <s v="High Risk"/>
    <s v="High Risk Exposure"/>
    <s v="High"/>
  </r>
  <r>
    <s v="LN0180"/>
    <s v="C0168"/>
    <s v="B11"/>
    <x v="1"/>
    <n v="250000"/>
    <n v="0.19389999999999999"/>
    <d v="2023-11-08T00:00:00"/>
    <n v="48"/>
    <n v="0"/>
    <n v="0"/>
    <x v="0"/>
    <n v="7526.5764393467152"/>
    <d v="2027-11-08T00:00:00"/>
    <n v="0"/>
    <s v="Undersecured"/>
    <x v="10"/>
    <n v="641"/>
    <s v="Medium Risk"/>
    <s v="High Risk Exposure"/>
    <s v="High"/>
  </r>
  <r>
    <s v="LN0181"/>
    <s v="C0463"/>
    <s v="B12"/>
    <x v="3"/>
    <n v="3000000"/>
    <n v="0.18060000000000001"/>
    <d v="2024-03-09T00:00:00"/>
    <n v="24"/>
    <n v="90"/>
    <n v="3930000"/>
    <x v="2"/>
    <n v="149859.29235794451"/>
    <d v="2026-03-09T00:00:00"/>
    <n v="1.31"/>
    <s v="Secured"/>
    <x v="12"/>
    <n v="619"/>
    <s v="Medium Risk"/>
    <s v="High Risk Exposure"/>
    <s v="High"/>
  </r>
  <r>
    <s v="LN0182"/>
    <s v="C0508"/>
    <s v="B10"/>
    <x v="0"/>
    <n v="6000000"/>
    <n v="0.17699999999999999"/>
    <d v="2025-04-27T00:00:00"/>
    <n v="12"/>
    <n v="10"/>
    <n v="3240000"/>
    <x v="0"/>
    <n v="549223.67633728392"/>
    <d v="2026-04-27T00:00:00"/>
    <n v="0.54"/>
    <s v="Undersecured"/>
    <x v="3"/>
    <n v="842"/>
    <s v="Prime"/>
    <s v="High Risk Exposure"/>
    <s v="High"/>
  </r>
  <r>
    <s v="LN0183"/>
    <s v="C0436"/>
    <s v="B01"/>
    <x v="3"/>
    <n v="1000000"/>
    <n v="0.1913"/>
    <d v="2025-08-16T00:00:00"/>
    <n v="24"/>
    <n v="0"/>
    <n v="740000"/>
    <x v="0"/>
    <n v="50471.800465754692"/>
    <d v="2027-08-16T00:00:00"/>
    <n v="0.74"/>
    <s v="Undersecured"/>
    <x v="1"/>
    <n v="467"/>
    <s v="High Risk"/>
    <s v="High Risk Exposure"/>
    <s v="High"/>
  </r>
  <r>
    <s v="LN0184"/>
    <s v="C0169"/>
    <s v="B05"/>
    <x v="3"/>
    <n v="500000"/>
    <n v="0.1648"/>
    <d v="2020-11-19T00:00:00"/>
    <n v="48"/>
    <n v="5"/>
    <n v="585000"/>
    <x v="0"/>
    <n v="14293.357880897578"/>
    <d v="2024-11-19T00:00:00"/>
    <n v="1.17"/>
    <s v="Secured"/>
    <x v="4"/>
    <n v="737"/>
    <s v="Low Risk"/>
    <s v="Normal"/>
    <s v="Normal"/>
  </r>
  <r>
    <s v="LN0185"/>
    <s v="C0169"/>
    <s v="B07"/>
    <x v="1"/>
    <n v="500000"/>
    <n v="0.1913"/>
    <d v="2022-10-27T00:00:00"/>
    <n v="12"/>
    <n v="90"/>
    <n v="0"/>
    <x v="2"/>
    <n v="46109.316479166453"/>
    <d v="2023-10-27T00:00:00"/>
    <n v="0"/>
    <s v="Undersecured"/>
    <x v="0"/>
    <n v="737"/>
    <s v="Low Risk"/>
    <s v="High Risk Exposure"/>
    <s v="High"/>
  </r>
  <r>
    <s v="LN0186"/>
    <s v="C0346"/>
    <s v="B15"/>
    <x v="3"/>
    <n v="1000000"/>
    <n v="0.16009999999999999"/>
    <d v="2020-05-03T00:00:00"/>
    <n v="24"/>
    <n v="0"/>
    <n v="830000"/>
    <x v="0"/>
    <n v="48967.888743504649"/>
    <d v="2022-05-03T00:00:00"/>
    <n v="0.83"/>
    <s v="Undersecured"/>
    <x v="9"/>
    <n v="327"/>
    <s v="High Risk"/>
    <s v="High Risk Exposure"/>
    <s v="High"/>
  </r>
  <r>
    <s v="LN0187"/>
    <s v="C0459"/>
    <s v="B13"/>
    <x v="1"/>
    <n v="100000"/>
    <n v="0.2102"/>
    <d v="2023-02-19T00:00:00"/>
    <n v="48"/>
    <n v="45"/>
    <n v="0"/>
    <x v="2"/>
    <n v="3097.6453259649074"/>
    <d v="2027-02-19T00:00:00"/>
    <n v="0"/>
    <s v="Undersecured"/>
    <x v="2"/>
    <n v="502"/>
    <s v="High Risk"/>
    <s v="High Risk Exposure"/>
    <s v="High"/>
  </r>
  <r>
    <s v="LN0188"/>
    <s v="C0072"/>
    <s v="B05"/>
    <x v="1"/>
    <n v="500000"/>
    <n v="0.1779"/>
    <d v="2022-09-22T00:00:00"/>
    <n v="48"/>
    <n v="0"/>
    <n v="0"/>
    <x v="0"/>
    <n v="14632.689635584062"/>
    <d v="2026-09-22T00:00:00"/>
    <n v="0"/>
    <s v="Undersecured"/>
    <x v="4"/>
    <n v="309"/>
    <s v="High Risk"/>
    <s v="High Risk Exposure"/>
    <s v="High"/>
  </r>
  <r>
    <s v="LN0189"/>
    <s v="C0590"/>
    <s v="B06"/>
    <x v="1"/>
    <n v="1000000"/>
    <n v="0.2235"/>
    <d v="2024-09-09T00:00:00"/>
    <n v="60"/>
    <n v="45"/>
    <n v="0"/>
    <x v="2"/>
    <n v="27818.278032197624"/>
    <d v="2029-09-09T00:00:00"/>
    <n v="0"/>
    <s v="Undersecured"/>
    <x v="6"/>
    <n v="369"/>
    <s v="High Risk"/>
    <s v="High Risk Exposure"/>
    <s v="High"/>
  </r>
  <r>
    <s v="LN0190"/>
    <s v="C0133"/>
    <s v="B02"/>
    <x v="2"/>
    <n v="25000000"/>
    <n v="0.11650000000000001"/>
    <d v="2020-06-09T00:00:00"/>
    <n v="48"/>
    <n v="0"/>
    <n v="13750000"/>
    <x v="0"/>
    <n v="654057.90718962415"/>
    <d v="2024-06-09T00:00:00"/>
    <n v="0.55000000000000004"/>
    <s v="Undersecured"/>
    <x v="11"/>
    <n v="325"/>
    <s v="High Risk"/>
    <s v="High Risk Exposure"/>
    <s v="High"/>
  </r>
  <r>
    <s v="LN0191"/>
    <s v="C0661"/>
    <s v="B08"/>
    <x v="2"/>
    <n v="6000000"/>
    <n v="0.13819999999999999"/>
    <d v="2025-03-27T00:00:00"/>
    <n v="72"/>
    <n v="120"/>
    <n v="4320000"/>
    <x v="1"/>
    <n v="123056.87445326638"/>
    <d v="2031-03-27T00:00:00"/>
    <n v="0.72"/>
    <s v="Undersecured"/>
    <x v="5"/>
    <n v="459"/>
    <s v="High Risk"/>
    <s v="High Risk Exposure"/>
    <s v="Critical"/>
  </r>
  <r>
    <s v="LN0192"/>
    <s v="C0439"/>
    <s v="B03"/>
    <x v="2"/>
    <n v="80000000"/>
    <n v="0.1041"/>
    <d v="2022-08-24T00:00:00"/>
    <n v="12"/>
    <n v="0"/>
    <n v="85600000"/>
    <x v="0"/>
    <n v="7048535.1182617489"/>
    <d v="2023-08-24T00:00:00"/>
    <n v="1.07"/>
    <s v="Secured"/>
    <x v="7"/>
    <n v="466"/>
    <s v="High Risk"/>
    <s v="High Risk Exposure"/>
    <s v="High"/>
  </r>
  <r>
    <s v="LN0193"/>
    <s v="C0195"/>
    <s v="B10"/>
    <x v="1"/>
    <n v="100000"/>
    <n v="0.26590000000000003"/>
    <d v="2022-11-10T00:00:00"/>
    <n v="72"/>
    <n v="45"/>
    <n v="0"/>
    <x v="2"/>
    <n v="2792.0982719573767"/>
    <d v="2028-11-10T00:00:00"/>
    <n v="0"/>
    <s v="Undersecured"/>
    <x v="3"/>
    <n v="720"/>
    <s v="Low Risk"/>
    <s v="High Risk Exposure"/>
    <s v="High"/>
  </r>
  <r>
    <s v="LN0194"/>
    <s v="C0294"/>
    <s v="B14"/>
    <x v="3"/>
    <n v="3000000"/>
    <n v="0.17019999999999999"/>
    <d v="2022-08-23T00:00:00"/>
    <n v="48"/>
    <n v="5"/>
    <n v="4170000"/>
    <x v="0"/>
    <n v="86596.171942087458"/>
    <d v="2026-08-23T00:00:00"/>
    <n v="1.39"/>
    <s v="Secured"/>
    <x v="13"/>
    <n v="804"/>
    <s v="Prime"/>
    <s v="Normal"/>
    <s v="Normal"/>
  </r>
  <r>
    <s v="LN0195"/>
    <s v="C0141"/>
    <s v="B05"/>
    <x v="3"/>
    <n v="500000"/>
    <n v="0.18459999999999999"/>
    <d v="2025-06-03T00:00:00"/>
    <n v="12"/>
    <n v="20"/>
    <n v="595000"/>
    <x v="0"/>
    <n v="45949.527647974232"/>
    <d v="2026-06-03T00:00:00"/>
    <n v="1.19"/>
    <s v="Secured"/>
    <x v="4"/>
    <n v="615"/>
    <s v="Medium Risk"/>
    <s v="Normal"/>
    <s v="Normal"/>
  </r>
  <r>
    <s v="LN0196"/>
    <s v="C0217"/>
    <s v="B15"/>
    <x v="3"/>
    <n v="3000000"/>
    <n v="0.14399999999999999"/>
    <d v="2021-08-07T00:00:00"/>
    <n v="48"/>
    <n v="10"/>
    <n v="3150000"/>
    <x v="0"/>
    <n v="82582.655802089022"/>
    <d v="2025-08-07T00:00:00"/>
    <n v="1.05"/>
    <s v="Secured"/>
    <x v="9"/>
    <n v="841"/>
    <s v="Prime"/>
    <s v="Normal"/>
    <s v="Normal"/>
  </r>
  <r>
    <s v="LN0197"/>
    <s v="C0257"/>
    <s v="B02"/>
    <x v="2"/>
    <n v="25000000"/>
    <n v="0.13200000000000001"/>
    <d v="2021-03-26T00:00:00"/>
    <n v="12"/>
    <n v="0"/>
    <n v="33000000"/>
    <x v="0"/>
    <n v="2235278.3941774671"/>
    <d v="2022-03-26T00:00:00"/>
    <n v="1.32"/>
    <s v="Secured"/>
    <x v="11"/>
    <n v="724"/>
    <s v="Low Risk"/>
    <s v="Normal"/>
    <s v="Normal"/>
  </r>
  <r>
    <s v="LN0198"/>
    <s v="C0548"/>
    <s v="B14"/>
    <x v="1"/>
    <n v="500000"/>
    <n v="0.27750000000000002"/>
    <d v="2021-12-16T00:00:00"/>
    <n v="60"/>
    <n v="90"/>
    <n v="0"/>
    <x v="2"/>
    <n v="15492.586683109303"/>
    <d v="2026-12-16T00:00:00"/>
    <n v="0"/>
    <s v="Undersecured"/>
    <x v="13"/>
    <n v="696"/>
    <s v="Low Risk"/>
    <s v="High Risk Exposure"/>
    <s v="High"/>
  </r>
  <r>
    <s v="LN0199"/>
    <s v="C0066"/>
    <s v="B07"/>
    <x v="2"/>
    <n v="6000000"/>
    <n v="0.1265"/>
    <d v="2025-01-15T00:00:00"/>
    <n v="12"/>
    <n v="0"/>
    <n v="6240000"/>
    <x v="0"/>
    <n v="534918.90618390217"/>
    <d v="2026-01-15T00:00:00"/>
    <n v="1.04"/>
    <s v="Secured"/>
    <x v="0"/>
    <n v="506"/>
    <s v="High Risk"/>
    <s v="High Risk Exposure"/>
    <s v="High"/>
  </r>
  <r>
    <s v="LN0200"/>
    <s v="C0529"/>
    <s v="B13"/>
    <x v="2"/>
    <n v="6000000"/>
    <n v="0.1105"/>
    <d v="2022-03-15T00:00:00"/>
    <n v="72"/>
    <n v="0"/>
    <n v="8820000"/>
    <x v="0"/>
    <n v="114358.18978661644"/>
    <d v="2028-03-15T00:00:00"/>
    <n v="1.47"/>
    <s v="Secured"/>
    <x v="2"/>
    <n v="787"/>
    <s v="Very Low Risk"/>
    <s v="Normal"/>
    <s v="Normal"/>
  </r>
  <r>
    <s v="LN0201"/>
    <s v="C0561"/>
    <s v="B02"/>
    <x v="2"/>
    <n v="6000000"/>
    <n v="0.13320000000000001"/>
    <d v="2021-06-10T00:00:00"/>
    <n v="24"/>
    <n v="45"/>
    <n v="4800000"/>
    <x v="2"/>
    <n v="286153.60450508411"/>
    <d v="2023-06-10T00:00:00"/>
    <n v="0.8"/>
    <s v="Undersecured"/>
    <x v="11"/>
    <n v="621"/>
    <s v="Medium Risk"/>
    <s v="High Risk Exposure"/>
    <s v="High"/>
  </r>
  <r>
    <s v="LN0202"/>
    <s v="C0157"/>
    <s v="B15"/>
    <x v="1"/>
    <n v="250000"/>
    <n v="0.2253"/>
    <d v="2023-04-07T00:00:00"/>
    <n v="72"/>
    <n v="0"/>
    <n v="0"/>
    <x v="0"/>
    <n v="6360.4204029246857"/>
    <d v="2029-04-07T00:00:00"/>
    <n v="0"/>
    <s v="Undersecured"/>
    <x v="9"/>
    <n v="306"/>
    <s v="High Risk"/>
    <s v="High Risk Exposure"/>
    <s v="High"/>
  </r>
  <r>
    <s v="LN0203"/>
    <s v="C0195"/>
    <s v="B13"/>
    <x v="1"/>
    <n v="500000"/>
    <n v="0.22209999999999999"/>
    <d v="2024-04-04T00:00:00"/>
    <n v="72"/>
    <n v="0"/>
    <n v="0"/>
    <x v="0"/>
    <n v="12625.46450955734"/>
    <d v="2030-04-04T00:00:00"/>
    <n v="0"/>
    <s v="Undersecured"/>
    <x v="2"/>
    <n v="720"/>
    <s v="Low Risk"/>
    <s v="High Risk Exposure"/>
    <s v="High"/>
  </r>
  <r>
    <s v="LN0204"/>
    <s v="C0472"/>
    <s v="B10"/>
    <x v="0"/>
    <n v="1000000"/>
    <n v="0.1799"/>
    <d v="2022-10-22T00:00:00"/>
    <n v="36"/>
    <n v="0"/>
    <n v="1240000"/>
    <x v="0"/>
    <n v="36147.379242366311"/>
    <d v="2025-10-22T00:00:00"/>
    <n v="1.24"/>
    <s v="Secured"/>
    <x v="3"/>
    <n v="767"/>
    <s v="Very Low Risk"/>
    <s v="Normal"/>
    <s v="Normal"/>
  </r>
  <r>
    <s v="LN0205"/>
    <s v="C0228"/>
    <s v="B12"/>
    <x v="3"/>
    <n v="3000000"/>
    <n v="0.18609999999999999"/>
    <d v="2023-02-10T00:00:00"/>
    <n v="48"/>
    <n v="20"/>
    <n v="1860000"/>
    <x v="0"/>
    <n v="89084.130829876085"/>
    <d v="2027-02-10T00:00:00"/>
    <n v="0.62"/>
    <s v="Undersecured"/>
    <x v="12"/>
    <n v="487"/>
    <s v="High Risk"/>
    <s v="High Risk Exposure"/>
    <s v="High"/>
  </r>
  <r>
    <s v="LN0206"/>
    <s v="C0356"/>
    <s v="B01"/>
    <x v="2"/>
    <n v="6000000"/>
    <n v="0.1084"/>
    <d v="2025-07-28T00:00:00"/>
    <n v="36"/>
    <n v="10"/>
    <n v="4620000"/>
    <x v="0"/>
    <n v="195977.99385112867"/>
    <d v="2028-07-28T00:00:00"/>
    <n v="0.77"/>
    <s v="Undersecured"/>
    <x v="1"/>
    <n v="641"/>
    <s v="Medium Risk"/>
    <s v="High Risk Exposure"/>
    <s v="High"/>
  </r>
  <r>
    <s v="LN0207"/>
    <s v="C0364"/>
    <s v="B13"/>
    <x v="1"/>
    <n v="500000"/>
    <n v="0.24970000000000001"/>
    <d v="2023-05-21T00:00:00"/>
    <n v="12"/>
    <n v="0"/>
    <n v="0"/>
    <x v="0"/>
    <n v="47514.822857515137"/>
    <d v="2024-05-21T00:00:00"/>
    <n v="0"/>
    <s v="Undersecured"/>
    <x v="2"/>
    <n v="597"/>
    <s v="Medium Risk"/>
    <s v="High Risk Exposure"/>
    <s v="High"/>
  </r>
  <r>
    <s v="LN0208"/>
    <s v="C0207"/>
    <s v="B01"/>
    <x v="1"/>
    <n v="500000"/>
    <n v="0.2001"/>
    <d v="2023-07-26T00:00:00"/>
    <n v="72"/>
    <n v="45"/>
    <n v="0"/>
    <x v="2"/>
    <n v="11979.31147675972"/>
    <d v="2029-07-26T00:00:00"/>
    <n v="0"/>
    <s v="Undersecured"/>
    <x v="1"/>
    <n v="347"/>
    <s v="High Risk"/>
    <s v="High Risk Exposure"/>
    <s v="High"/>
  </r>
  <r>
    <s v="LN0209"/>
    <s v="C0460"/>
    <s v="B06"/>
    <x v="0"/>
    <n v="25000000"/>
    <n v="0.1479"/>
    <d v="2024-05-19T00:00:00"/>
    <n v="48"/>
    <n v="120"/>
    <n v="20250000"/>
    <x v="1"/>
    <n v="693110.34438732208"/>
    <d v="2028-05-19T00:00:00"/>
    <n v="0.81"/>
    <s v="Undersecured"/>
    <x v="6"/>
    <n v="544"/>
    <s v="High Risk"/>
    <s v="High Risk Exposure"/>
    <s v="Critical"/>
  </r>
  <r>
    <s v="LN0210"/>
    <s v="C0314"/>
    <s v="B04"/>
    <x v="2"/>
    <n v="6000000"/>
    <n v="9.2200000000000004E-2"/>
    <d v="2022-06-11T00:00:00"/>
    <n v="12"/>
    <n v="10"/>
    <n v="7560000"/>
    <x v="0"/>
    <n v="525321.18127488531"/>
    <d v="2023-06-11T00:00:00"/>
    <n v="1.26"/>
    <s v="Secured"/>
    <x v="14"/>
    <n v="744"/>
    <s v="Very Low Risk"/>
    <s v="Normal"/>
    <s v="Normal"/>
  </r>
  <r>
    <s v="LN0211"/>
    <s v="C0437"/>
    <s v="B07"/>
    <x v="1"/>
    <n v="250000"/>
    <n v="0.24890000000000001"/>
    <d v="2022-02-17T00:00:00"/>
    <n v="72"/>
    <n v="10"/>
    <n v="0"/>
    <x v="0"/>
    <n v="6717.4295717760924"/>
    <d v="2028-02-17T00:00:00"/>
    <n v="0"/>
    <s v="Undersecured"/>
    <x v="0"/>
    <n v="695"/>
    <s v="Low Risk"/>
    <s v="High Risk Exposure"/>
    <s v="High"/>
  </r>
  <r>
    <s v="LN0212"/>
    <s v="C0005"/>
    <s v="B13"/>
    <x v="0"/>
    <n v="25000000"/>
    <n v="0.157"/>
    <d v="2022-08-12T00:00:00"/>
    <n v="48"/>
    <n v="0"/>
    <n v="32500000"/>
    <x v="0"/>
    <n v="704671.76320844819"/>
    <d v="2026-08-12T00:00:00"/>
    <n v="1.3"/>
    <s v="Secured"/>
    <x v="2"/>
    <n v="576"/>
    <s v="High Risk"/>
    <s v="High Risk Exposure"/>
    <s v="High"/>
  </r>
  <r>
    <s v="LN0213"/>
    <s v="C0475"/>
    <s v="B03"/>
    <x v="3"/>
    <n v="1000000"/>
    <n v="0.15740000000000001"/>
    <d v="2021-12-23T00:00:00"/>
    <n v="12"/>
    <n v="20"/>
    <n v="1060000"/>
    <x v="0"/>
    <n v="90607.866195901661"/>
    <d v="2022-12-23T00:00:00"/>
    <n v="1.06"/>
    <s v="Secured"/>
    <x v="7"/>
    <n v="428"/>
    <s v="High Risk"/>
    <s v="High Risk Exposure"/>
    <s v="High"/>
  </r>
  <r>
    <s v="LN0214"/>
    <s v="C0338"/>
    <s v="B03"/>
    <x v="1"/>
    <n v="1000000"/>
    <n v="0.26939999999999997"/>
    <d v="2022-11-27T00:00:00"/>
    <n v="48"/>
    <n v="45"/>
    <n v="0"/>
    <x v="2"/>
    <n v="34248.290855325053"/>
    <d v="2026-11-27T00:00:00"/>
    <n v="0"/>
    <s v="Undersecured"/>
    <x v="7"/>
    <n v="334"/>
    <s v="High Risk"/>
    <s v="High Risk Exposure"/>
    <s v="High"/>
  </r>
  <r>
    <s v="LN0215"/>
    <s v="C0684"/>
    <s v="B12"/>
    <x v="0"/>
    <n v="1000000"/>
    <n v="0.1855"/>
    <d v="2022-05-15T00:00:00"/>
    <n v="24"/>
    <n v="120"/>
    <n v="930000"/>
    <x v="1"/>
    <n v="50190.254479328752"/>
    <d v="2024-05-15T00:00:00"/>
    <n v="0.93"/>
    <s v="Undersecured"/>
    <x v="12"/>
    <n v="673"/>
    <s v="Low Risk"/>
    <s v="High Risk Exposure"/>
    <s v="Critical"/>
  </r>
  <r>
    <s v="LN0216"/>
    <s v="C0107"/>
    <s v="B14"/>
    <x v="1"/>
    <n v="250000"/>
    <n v="0.22320000000000001"/>
    <d v="2024-04-10T00:00:00"/>
    <n v="24"/>
    <n v="20"/>
    <n v="0"/>
    <x v="0"/>
    <n v="13009.078848353516"/>
    <d v="2026-04-10T00:00:00"/>
    <n v="0"/>
    <s v="Undersecured"/>
    <x v="13"/>
    <n v="717"/>
    <s v="Low Risk"/>
    <s v="High Risk Exposure"/>
    <s v="High"/>
  </r>
  <r>
    <s v="LN0217"/>
    <s v="C0341"/>
    <s v="B02"/>
    <x v="0"/>
    <n v="3000000"/>
    <n v="0.1507"/>
    <d v="2025-07-24T00:00:00"/>
    <n v="48"/>
    <n v="90"/>
    <n v="4380000"/>
    <x v="2"/>
    <n v="83598.73400295488"/>
    <d v="2029-07-24T00:00:00"/>
    <n v="1.46"/>
    <s v="Secured"/>
    <x v="11"/>
    <n v="623"/>
    <s v="Medium Risk"/>
    <s v="High Risk Exposure"/>
    <s v="High"/>
  </r>
  <r>
    <s v="LN0218"/>
    <s v="C0595"/>
    <s v="B11"/>
    <x v="3"/>
    <n v="6000000"/>
    <n v="0.12139999999999999"/>
    <d v="2023-09-03T00:00:00"/>
    <n v="48"/>
    <n v="45"/>
    <n v="6960000"/>
    <x v="2"/>
    <n v="158415.75949140856"/>
    <d v="2027-09-03T00:00:00"/>
    <n v="1.1599999999999999"/>
    <s v="Secured"/>
    <x v="10"/>
    <n v="490"/>
    <s v="High Risk"/>
    <s v="High Risk Exposure"/>
    <s v="High"/>
  </r>
  <r>
    <s v="LN0219"/>
    <s v="C0061"/>
    <s v="B08"/>
    <x v="2"/>
    <n v="80000000"/>
    <n v="0.1179"/>
    <d v="2024-04-17T00:00:00"/>
    <n v="12"/>
    <n v="10"/>
    <n v="68000000"/>
    <x v="0"/>
    <n v="7100046.2980520064"/>
    <d v="2025-04-17T00:00:00"/>
    <n v="0.85"/>
    <s v="Undersecured"/>
    <x v="5"/>
    <n v="400"/>
    <s v="High Risk"/>
    <s v="High Risk Exposure"/>
    <s v="High"/>
  </r>
  <r>
    <s v="LN0220"/>
    <s v="C0076"/>
    <s v="B10"/>
    <x v="2"/>
    <n v="25000000"/>
    <n v="9.9699999999999997E-2"/>
    <d v="2024-10-25T00:00:00"/>
    <n v="24"/>
    <n v="5"/>
    <n v="18250000"/>
    <x v="0"/>
    <n v="1153277.0274656978"/>
    <d v="2026-10-25T00:00:00"/>
    <n v="0.73"/>
    <s v="Undersecured"/>
    <x v="3"/>
    <n v="434"/>
    <s v="High Risk"/>
    <s v="High Risk Exposure"/>
    <s v="High"/>
  </r>
  <r>
    <s v="LN0221"/>
    <s v="C0574"/>
    <s v="B15"/>
    <x v="2"/>
    <n v="25000000"/>
    <n v="9.5100000000000004E-2"/>
    <d v="2020-10-12T00:00:00"/>
    <n v="12"/>
    <n v="120"/>
    <n v="15000000"/>
    <x v="1"/>
    <n v="2192203.8986874735"/>
    <d v="2021-10-12T00:00:00"/>
    <n v="0.6"/>
    <s v="Undersecured"/>
    <x v="9"/>
    <n v="559"/>
    <s v="High Risk"/>
    <s v="High Risk Exposure"/>
    <s v="Critical"/>
  </r>
  <r>
    <s v="LN0222"/>
    <s v="C0421"/>
    <s v="B05"/>
    <x v="0"/>
    <n v="6000000"/>
    <n v="0.1938"/>
    <d v="2023-05-19T00:00:00"/>
    <n v="48"/>
    <n v="45"/>
    <n v="7800000"/>
    <x v="2"/>
    <n v="180606.05505875876"/>
    <d v="2027-05-19T00:00:00"/>
    <n v="1.3"/>
    <s v="Secured"/>
    <x v="4"/>
    <n v="789"/>
    <s v="Very Low Risk"/>
    <s v="High Risk Exposure"/>
    <s v="High"/>
  </r>
  <r>
    <s v="LN0223"/>
    <s v="C0132"/>
    <s v="B12"/>
    <x v="1"/>
    <n v="100000"/>
    <n v="0.20849999999999999"/>
    <d v="2023-05-14T00:00:00"/>
    <n v="48"/>
    <n v="5"/>
    <n v="0"/>
    <x v="0"/>
    <n v="3088.5072170675717"/>
    <d v="2027-05-14T00:00:00"/>
    <n v="0"/>
    <s v="Undersecured"/>
    <x v="12"/>
    <n v="444"/>
    <s v="High Risk"/>
    <s v="High Risk Exposure"/>
    <s v="High"/>
  </r>
  <r>
    <s v="LN0224"/>
    <s v="C0085"/>
    <s v="B06"/>
    <x v="1"/>
    <n v="250000"/>
    <n v="0.18990000000000001"/>
    <d v="2021-10-24T00:00:00"/>
    <n v="60"/>
    <n v="0"/>
    <n v="0"/>
    <x v="0"/>
    <n v="6483.7622660229272"/>
    <d v="2026-10-24T00:00:00"/>
    <n v="0"/>
    <s v="Undersecured"/>
    <x v="6"/>
    <n v="329"/>
    <s v="High Risk"/>
    <s v="High Risk Exposure"/>
    <s v="High"/>
  </r>
  <r>
    <s v="LN0225"/>
    <s v="C0092"/>
    <s v="B05"/>
    <x v="3"/>
    <n v="3000000"/>
    <n v="0.18279999999999999"/>
    <d v="2020-07-01T00:00:00"/>
    <n v="60"/>
    <n v="0"/>
    <n v="2130000"/>
    <x v="0"/>
    <n v="76637.977564610148"/>
    <d v="2025-07-01T00:00:00"/>
    <n v="0.71"/>
    <s v="Undersecured"/>
    <x v="4"/>
    <n v="503"/>
    <s v="High Risk"/>
    <s v="High Risk Exposure"/>
    <s v="High"/>
  </r>
  <r>
    <s v="LN0226"/>
    <s v="C0569"/>
    <s v="B10"/>
    <x v="1"/>
    <n v="500000"/>
    <n v="0.27710000000000001"/>
    <d v="2022-11-21T00:00:00"/>
    <n v="48"/>
    <n v="5"/>
    <n v="0"/>
    <x v="0"/>
    <n v="17343.203920077973"/>
    <d v="2026-11-21T00:00:00"/>
    <n v="0"/>
    <s v="Undersecured"/>
    <x v="3"/>
    <n v="469"/>
    <s v="High Risk"/>
    <s v="High Risk Exposure"/>
    <s v="High"/>
  </r>
  <r>
    <s v="LN0227"/>
    <s v="C0675"/>
    <s v="B10"/>
    <x v="3"/>
    <n v="6000000"/>
    <n v="0.1729"/>
    <d v="2021-01-18T00:00:00"/>
    <n v="24"/>
    <n v="120"/>
    <n v="3600000"/>
    <x v="1"/>
    <n v="297490.32615833083"/>
    <d v="2023-01-18T00:00:00"/>
    <n v="0.6"/>
    <s v="Undersecured"/>
    <x v="3"/>
    <n v="563"/>
    <s v="High Risk"/>
    <s v="High Risk Exposure"/>
    <s v="Critical"/>
  </r>
  <r>
    <s v="LN0228"/>
    <s v="C0267"/>
    <s v="B05"/>
    <x v="1"/>
    <n v="500000"/>
    <n v="0.2296"/>
    <d v="2020-02-20T00:00:00"/>
    <n v="48"/>
    <n v="45"/>
    <n v="0"/>
    <x v="2"/>
    <n v="16014.780046253061"/>
    <d v="2024-02-20T00:00:00"/>
    <n v="0"/>
    <s v="Undersecured"/>
    <x v="4"/>
    <n v="376"/>
    <s v="High Risk"/>
    <s v="High Risk Exposure"/>
    <s v="High"/>
  </r>
  <r>
    <s v="LN0229"/>
    <s v="C0039"/>
    <s v="B07"/>
    <x v="2"/>
    <n v="6000000"/>
    <n v="0.1298"/>
    <d v="2024-03-06T00:00:00"/>
    <n v="48"/>
    <n v="0"/>
    <n v="4740000"/>
    <x v="0"/>
    <n v="160905.42271849891"/>
    <d v="2028-03-06T00:00:00"/>
    <n v="0.79"/>
    <s v="Undersecured"/>
    <x v="0"/>
    <n v="681"/>
    <s v="Low Risk"/>
    <s v="High Risk Exposure"/>
    <s v="High"/>
  </r>
  <r>
    <s v="LN0230"/>
    <s v="C0525"/>
    <s v="B01"/>
    <x v="2"/>
    <n v="80000000"/>
    <n v="9.5899999999999999E-2"/>
    <d v="2023-04-06T00:00:00"/>
    <n v="48"/>
    <n v="10"/>
    <n v="67200000"/>
    <x v="0"/>
    <n v="2013290.9887719203"/>
    <d v="2027-04-06T00:00:00"/>
    <n v="0.84"/>
    <s v="Undersecured"/>
    <x v="1"/>
    <n v="557"/>
    <s v="High Risk"/>
    <s v="High Risk Exposure"/>
    <s v="High"/>
  </r>
  <r>
    <s v="LN0231"/>
    <s v="C0532"/>
    <s v="B14"/>
    <x v="2"/>
    <n v="25000000"/>
    <n v="0.12790000000000001"/>
    <d v="2023-09-26T00:00:00"/>
    <n v="60"/>
    <n v="0"/>
    <n v="17000000"/>
    <x v="0"/>
    <n v="566142.91340518626"/>
    <d v="2028-09-26T00:00:00"/>
    <n v="0.68"/>
    <s v="Undersecured"/>
    <x v="13"/>
    <n v="602"/>
    <s v="Medium Risk"/>
    <s v="High Risk Exposure"/>
    <s v="High"/>
  </r>
  <r>
    <s v="LN0232"/>
    <s v="C0664"/>
    <s v="B12"/>
    <x v="1"/>
    <n v="500000"/>
    <n v="0.27089999999999997"/>
    <d v="2020-01-24T00:00:00"/>
    <n v="12"/>
    <n v="120"/>
    <n v="0"/>
    <x v="1"/>
    <n v="48030.660089053614"/>
    <d v="2021-01-24T00:00:00"/>
    <n v="0"/>
    <s v="Undersecured"/>
    <x v="12"/>
    <n v="573"/>
    <s v="High Risk"/>
    <s v="High Risk Exposure"/>
    <s v="Critical"/>
  </r>
  <r>
    <s v="LN0233"/>
    <s v="C0504"/>
    <s v="B07"/>
    <x v="3"/>
    <n v="6000000"/>
    <n v="0.14319999999999999"/>
    <d v="2022-02-14T00:00:00"/>
    <n v="36"/>
    <n v="0"/>
    <n v="3120000"/>
    <x v="0"/>
    <n v="205999.53952933388"/>
    <d v="2025-02-14T00:00:00"/>
    <n v="0.52"/>
    <s v="Undersecured"/>
    <x v="0"/>
    <n v="834"/>
    <s v="Prime"/>
    <s v="High Risk Exposure"/>
    <s v="High"/>
  </r>
  <r>
    <s v="LN0234"/>
    <s v="C0481"/>
    <s v="B05"/>
    <x v="2"/>
    <n v="6000000"/>
    <n v="0.1211"/>
    <d v="2025-08-28T00:00:00"/>
    <n v="24"/>
    <n v="0"/>
    <n v="4080000"/>
    <x v="0"/>
    <n v="282749.14743665862"/>
    <d v="2027-08-28T00:00:00"/>
    <n v="0.68"/>
    <s v="Undersecured"/>
    <x v="4"/>
    <n v="420"/>
    <s v="High Risk"/>
    <s v="High Risk Exposure"/>
    <s v="High"/>
  </r>
  <r>
    <s v="LN0235"/>
    <s v="C0367"/>
    <s v="B13"/>
    <x v="3"/>
    <n v="500000"/>
    <n v="0.16889999999999999"/>
    <d v="2024-11-27T00:00:00"/>
    <n v="60"/>
    <n v="5"/>
    <n v="390000"/>
    <x v="0"/>
    <n v="12396.733816400778"/>
    <d v="2029-11-27T00:00:00"/>
    <n v="0.78"/>
    <s v="Undersecured"/>
    <x v="2"/>
    <n v="309"/>
    <s v="High Risk"/>
    <s v="High Risk Exposure"/>
    <s v="High"/>
  </r>
  <r>
    <s v="LN0236"/>
    <s v="C0699"/>
    <s v="B01"/>
    <x v="0"/>
    <n v="1000000"/>
    <n v="0.1527"/>
    <d v="2021-10-12T00:00:00"/>
    <n v="60"/>
    <n v="0"/>
    <n v="670000"/>
    <x v="0"/>
    <n v="23931.891252982114"/>
    <d v="2026-10-12T00:00:00"/>
    <n v="0.67"/>
    <s v="Undersecured"/>
    <x v="1"/>
    <n v="850"/>
    <s v="Prime"/>
    <s v="High Risk Exposure"/>
    <s v="High"/>
  </r>
  <r>
    <s v="LN0237"/>
    <s v="C0072"/>
    <s v="B08"/>
    <x v="0"/>
    <n v="6000000"/>
    <n v="0.191"/>
    <d v="2023-04-16T00:00:00"/>
    <n v="60"/>
    <n v="10"/>
    <n v="3660000"/>
    <x v="0"/>
    <n v="155973.63637530332"/>
    <d v="2028-04-16T00:00:00"/>
    <n v="0.61"/>
    <s v="Undersecured"/>
    <x v="5"/>
    <n v="309"/>
    <s v="High Risk"/>
    <s v="High Risk Exposure"/>
    <s v="High"/>
  </r>
  <r>
    <s v="LN0238"/>
    <s v="C0523"/>
    <s v="B12"/>
    <x v="3"/>
    <n v="500000"/>
    <n v="0.12180000000000001"/>
    <d v="2021-02-21T00:00:00"/>
    <n v="72"/>
    <n v="0"/>
    <n v="280000"/>
    <x v="0"/>
    <n v="9821.9617013148636"/>
    <d v="2027-02-21T00:00:00"/>
    <n v="0.56000000000000005"/>
    <s v="Undersecured"/>
    <x v="12"/>
    <n v="375"/>
    <s v="High Risk"/>
    <s v="High Risk Exposure"/>
    <s v="High"/>
  </r>
  <r>
    <s v="LN0239"/>
    <s v="C0071"/>
    <s v="B02"/>
    <x v="0"/>
    <n v="25000000"/>
    <n v="0.16719999999999999"/>
    <d v="2023-05-22T00:00:00"/>
    <n v="60"/>
    <n v="45"/>
    <n v="21000000"/>
    <x v="2"/>
    <n v="617556.74031684245"/>
    <d v="2028-05-22T00:00:00"/>
    <n v="0.84"/>
    <s v="Undersecured"/>
    <x v="11"/>
    <n v="330"/>
    <s v="High Risk"/>
    <s v="High Risk Exposure"/>
    <s v="High"/>
  </r>
  <r>
    <s v="LN0240"/>
    <s v="C0260"/>
    <s v="B12"/>
    <x v="3"/>
    <n v="500000"/>
    <n v="0.15"/>
    <d v="2022-01-23T00:00:00"/>
    <n v="36"/>
    <n v="90"/>
    <n v="275000"/>
    <x v="2"/>
    <n v="17332.664252097064"/>
    <d v="2025-01-23T00:00:00"/>
    <n v="0.55000000000000004"/>
    <s v="Undersecured"/>
    <x v="12"/>
    <n v="787"/>
    <s v="Very Low Risk"/>
    <s v="High Risk Exposure"/>
    <s v="High"/>
  </r>
  <r>
    <s v="LN0241"/>
    <s v="C0013"/>
    <s v="B02"/>
    <x v="1"/>
    <n v="1000000"/>
    <n v="0.23769999999999999"/>
    <d v="2020-10-14T00:00:00"/>
    <n v="72"/>
    <n v="0"/>
    <n v="0"/>
    <x v="0"/>
    <n v="26187.383982003183"/>
    <d v="2026-10-14T00:00:00"/>
    <n v="0"/>
    <s v="Undersecured"/>
    <x v="11"/>
    <n v="659"/>
    <s v="Medium Risk"/>
    <s v="High Risk Exposure"/>
    <s v="High"/>
  </r>
  <r>
    <s v="LN0242"/>
    <s v="C0638"/>
    <s v="B08"/>
    <x v="1"/>
    <n v="250000"/>
    <n v="0.2717"/>
    <d v="2022-12-14T00:00:00"/>
    <n v="12"/>
    <n v="45"/>
    <n v="0"/>
    <x v="2"/>
    <n v="24025.091991680249"/>
    <d v="2023-12-14T00:00:00"/>
    <n v="0"/>
    <s v="Undersecured"/>
    <x v="5"/>
    <n v="746"/>
    <s v="Very Low Risk"/>
    <s v="High Risk Exposure"/>
    <s v="High"/>
  </r>
  <r>
    <s v="LN0243"/>
    <s v="C0298"/>
    <s v="B04"/>
    <x v="0"/>
    <n v="3000000"/>
    <n v="0.17"/>
    <d v="2023-03-20T00:00:00"/>
    <n v="72"/>
    <n v="0"/>
    <n v="3930000"/>
    <x v="0"/>
    <n v="66738.393444274101"/>
    <d v="2029-03-20T00:00:00"/>
    <n v="1.31"/>
    <s v="Secured"/>
    <x v="14"/>
    <n v="830"/>
    <s v="Prime"/>
    <s v="Normal"/>
    <s v="Normal"/>
  </r>
  <r>
    <s v="LN0244"/>
    <s v="C0644"/>
    <s v="B07"/>
    <x v="1"/>
    <n v="1000000"/>
    <n v="0.2016"/>
    <d v="2025-08-10T00:00:00"/>
    <n v="12"/>
    <n v="5"/>
    <n v="0"/>
    <x v="0"/>
    <n v="92711.098750935271"/>
    <d v="2026-08-10T00:00:00"/>
    <n v="0"/>
    <s v="Undersecured"/>
    <x v="0"/>
    <n v="772"/>
    <s v="Very Low Risk"/>
    <s v="High Risk Exposure"/>
    <s v="High"/>
  </r>
  <r>
    <s v="LN0245"/>
    <s v="C0391"/>
    <s v="B15"/>
    <x v="3"/>
    <n v="1000000"/>
    <n v="0.12920000000000001"/>
    <d v="2025-10-10T00:00:00"/>
    <n v="60"/>
    <n v="0"/>
    <n v="1360000"/>
    <x v="0"/>
    <n v="22712.141228097396"/>
    <d v="2030-10-10T00:00:00"/>
    <n v="1.36"/>
    <s v="Secured"/>
    <x v="9"/>
    <n v="333"/>
    <s v="High Risk"/>
    <s v="High Risk Exposure"/>
    <s v="High"/>
  </r>
  <r>
    <s v="LN0246"/>
    <s v="C0662"/>
    <s v="B04"/>
    <x v="3"/>
    <n v="6000000"/>
    <n v="0.17829999999999999"/>
    <d v="2024-12-05T00:00:00"/>
    <n v="72"/>
    <n v="10"/>
    <n v="7740000"/>
    <x v="0"/>
    <n v="136270.75881629254"/>
    <d v="2030-12-05T00:00:00"/>
    <n v="1.29"/>
    <s v="Secured"/>
    <x v="14"/>
    <n v="380"/>
    <s v="High Risk"/>
    <s v="High Risk Exposure"/>
    <s v="High"/>
  </r>
  <r>
    <s v="LN0247"/>
    <s v="C0450"/>
    <s v="B13"/>
    <x v="2"/>
    <n v="80000000"/>
    <n v="0.13750000000000001"/>
    <d v="2022-12-16T00:00:00"/>
    <n v="72"/>
    <n v="0"/>
    <n v="118400000"/>
    <x v="0"/>
    <n v="1637768.9141852707"/>
    <d v="2028-12-16T00:00:00"/>
    <n v="1.48"/>
    <s v="Secured"/>
    <x v="2"/>
    <n v="749"/>
    <s v="Very Low Risk"/>
    <s v="Normal"/>
    <s v="Normal"/>
  </r>
  <r>
    <s v="LN0248"/>
    <s v="C0565"/>
    <s v="B02"/>
    <x v="2"/>
    <n v="6000000"/>
    <n v="0.13439999999999999"/>
    <d v="2021-05-02T00:00:00"/>
    <n v="72"/>
    <n v="0"/>
    <n v="5160000"/>
    <x v="0"/>
    <n v="121842.46644306948"/>
    <d v="2027-05-02T00:00:00"/>
    <n v="0.86"/>
    <s v="Undersecured"/>
    <x v="11"/>
    <n v="598"/>
    <s v="Medium Risk"/>
    <s v="High Risk Exposure"/>
    <s v="High"/>
  </r>
  <r>
    <s v="LN0249"/>
    <s v="C0503"/>
    <s v="B04"/>
    <x v="1"/>
    <n v="100000"/>
    <n v="0.25340000000000001"/>
    <d v="2022-03-11T00:00:00"/>
    <n v="72"/>
    <n v="45"/>
    <n v="0"/>
    <x v="2"/>
    <n v="2714.6183545537565"/>
    <d v="2028-03-11T00:00:00"/>
    <n v="0"/>
    <s v="Undersecured"/>
    <x v="14"/>
    <n v="568"/>
    <s v="High Risk"/>
    <s v="High Risk Exposure"/>
    <s v="High"/>
  </r>
  <r>
    <s v="LN0250"/>
    <s v="C0482"/>
    <s v="B04"/>
    <x v="2"/>
    <n v="25000000"/>
    <n v="0.13370000000000001"/>
    <d v="2020-12-22T00:00:00"/>
    <n v="72"/>
    <n v="10"/>
    <n v="25750000"/>
    <x v="0"/>
    <n v="506747.85526868328"/>
    <d v="2026-12-22T00:00:00"/>
    <n v="1.03"/>
    <s v="Secured"/>
    <x v="14"/>
    <n v="723"/>
    <s v="Low Risk"/>
    <s v="Normal"/>
    <s v="Normal"/>
  </r>
  <r>
    <s v="LN0251"/>
    <s v="C0677"/>
    <s v="B10"/>
    <x v="3"/>
    <n v="3000000"/>
    <n v="0.1686"/>
    <d v="2021-05-20T00:00:00"/>
    <n v="36"/>
    <n v="20"/>
    <n v="3690000"/>
    <x v="0"/>
    <n v="106749.27212924552"/>
    <d v="2024-05-20T00:00:00"/>
    <n v="1.23"/>
    <s v="Secured"/>
    <x v="3"/>
    <n v="599"/>
    <s v="Medium Risk"/>
    <s v="Normal"/>
    <s v="Normal"/>
  </r>
  <r>
    <s v="LN0252"/>
    <s v="C0494"/>
    <s v="B05"/>
    <x v="3"/>
    <n v="500000"/>
    <n v="0.18690000000000001"/>
    <d v="2020-10-07T00:00:00"/>
    <n v="24"/>
    <n v="0"/>
    <n v="465000"/>
    <x v="0"/>
    <n v="25129.065782987782"/>
    <d v="2022-10-07T00:00:00"/>
    <n v="0.93"/>
    <s v="Undersecured"/>
    <x v="4"/>
    <n v="474"/>
    <s v="High Risk"/>
    <s v="High Risk Exposure"/>
    <s v="High"/>
  </r>
  <r>
    <s v="LN0253"/>
    <s v="C0337"/>
    <s v="B06"/>
    <x v="2"/>
    <n v="25000000"/>
    <n v="0.1168"/>
    <d v="2022-09-14T00:00:00"/>
    <n v="60"/>
    <n v="10"/>
    <n v="37000000"/>
    <x v="0"/>
    <n v="552076.98530810198"/>
    <d v="2027-09-14T00:00:00"/>
    <n v="1.48"/>
    <s v="Secured"/>
    <x v="6"/>
    <n v="539"/>
    <s v="High Risk"/>
    <s v="High Risk Exposure"/>
    <s v="High"/>
  </r>
  <r>
    <s v="LN0254"/>
    <s v="C0672"/>
    <s v="B05"/>
    <x v="0"/>
    <n v="6000000"/>
    <n v="0.1454"/>
    <d v="2020-06-23T00:00:00"/>
    <n v="24"/>
    <n v="90"/>
    <n v="8340000"/>
    <x v="2"/>
    <n v="289610.28482286475"/>
    <d v="2022-06-23T00:00:00"/>
    <n v="1.39"/>
    <s v="Secured"/>
    <x v="4"/>
    <n v="656"/>
    <s v="Medium Risk"/>
    <s v="High Risk Exposure"/>
    <s v="High"/>
  </r>
  <r>
    <s v="LN0255"/>
    <s v="C0059"/>
    <s v="B07"/>
    <x v="0"/>
    <n v="3000000"/>
    <n v="0.222"/>
    <d v="2022-11-26T00:00:00"/>
    <n v="48"/>
    <n v="0"/>
    <n v="1920000"/>
    <x v="0"/>
    <n v="94844.270976119675"/>
    <d v="2026-11-26T00:00:00"/>
    <n v="0.64"/>
    <s v="Undersecured"/>
    <x v="0"/>
    <n v="482"/>
    <s v="High Risk"/>
    <s v="High Risk Exposure"/>
    <s v="High"/>
  </r>
  <r>
    <s v="LN0256"/>
    <s v="C0321"/>
    <s v="B06"/>
    <x v="1"/>
    <n v="250000"/>
    <n v="0.16919999999999999"/>
    <d v="2025-12-13T00:00:00"/>
    <n v="36"/>
    <n v="5"/>
    <n v="0"/>
    <x v="0"/>
    <n v="8903.2313800955617"/>
    <d v="2028-12-13T00:00:00"/>
    <n v="0"/>
    <s v="Undersecured"/>
    <x v="6"/>
    <n v="336"/>
    <s v="High Risk"/>
    <s v="High Risk Exposure"/>
    <s v="High"/>
  </r>
  <r>
    <s v="LN0257"/>
    <s v="C0190"/>
    <s v="B05"/>
    <x v="1"/>
    <n v="1000000"/>
    <n v="0.2208"/>
    <d v="2020-07-11T00:00:00"/>
    <n v="72"/>
    <n v="0"/>
    <n v="0"/>
    <x v="0"/>
    <n v="25173.635291264913"/>
    <d v="2026-07-11T00:00:00"/>
    <n v="0"/>
    <s v="Undersecured"/>
    <x v="4"/>
    <n v="359"/>
    <s v="High Risk"/>
    <s v="High Risk Exposure"/>
    <s v="High"/>
  </r>
  <r>
    <s v="LN0258"/>
    <s v="C0395"/>
    <s v="B07"/>
    <x v="2"/>
    <n v="80000000"/>
    <n v="9.8400000000000001E-2"/>
    <d v="2023-05-06T00:00:00"/>
    <n v="24"/>
    <n v="0"/>
    <n v="56800000"/>
    <x v="0"/>
    <n v="3685689.0749106146"/>
    <d v="2025-05-06T00:00:00"/>
    <n v="0.71"/>
    <s v="Undersecured"/>
    <x v="0"/>
    <n v="320"/>
    <s v="High Risk"/>
    <s v="High Risk Exposure"/>
    <s v="High"/>
  </r>
  <r>
    <s v="LN0259"/>
    <s v="C0420"/>
    <s v="B04"/>
    <x v="2"/>
    <n v="6000000"/>
    <n v="0.1227"/>
    <d v="2024-02-16T00:00:00"/>
    <n v="48"/>
    <n v="0"/>
    <n v="3420000"/>
    <x v="0"/>
    <n v="158799.58720281225"/>
    <d v="2028-02-16T00:00:00"/>
    <n v="0.56999999999999995"/>
    <s v="Undersecured"/>
    <x v="14"/>
    <n v="732"/>
    <s v="Low Risk"/>
    <s v="High Risk Exposure"/>
    <s v="High"/>
  </r>
  <r>
    <s v="LN0260"/>
    <s v="C0540"/>
    <s v="B12"/>
    <x v="3"/>
    <n v="3000000"/>
    <n v="0.19059999999999999"/>
    <d v="2021-11-21T00:00:00"/>
    <n v="72"/>
    <n v="0"/>
    <n v="2100000"/>
    <x v="0"/>
    <n v="70233.263866422451"/>
    <d v="2027-11-21T00:00:00"/>
    <n v="0.7"/>
    <s v="Undersecured"/>
    <x v="12"/>
    <n v="823"/>
    <s v="Prime"/>
    <s v="High Risk Exposure"/>
    <s v="High"/>
  </r>
  <r>
    <s v="LN0261"/>
    <s v="C0557"/>
    <s v="B11"/>
    <x v="1"/>
    <n v="100000"/>
    <n v="0.2452"/>
    <d v="2024-03-18T00:00:00"/>
    <n v="36"/>
    <n v="0"/>
    <n v="0"/>
    <x v="0"/>
    <n v="3950.640051218882"/>
    <d v="2027-03-18T00:00:00"/>
    <n v="0"/>
    <s v="Undersecured"/>
    <x v="10"/>
    <n v="376"/>
    <s v="High Risk"/>
    <s v="High Risk Exposure"/>
    <s v="High"/>
  </r>
  <r>
    <s v="LN0262"/>
    <s v="C0489"/>
    <s v="B15"/>
    <x v="3"/>
    <n v="1000000"/>
    <n v="0.1249"/>
    <d v="2023-10-03T00:00:00"/>
    <n v="48"/>
    <n v="20"/>
    <n v="1280000"/>
    <x v="0"/>
    <n v="26575.06254240674"/>
    <d v="2027-10-03T00:00:00"/>
    <n v="1.28"/>
    <s v="Secured"/>
    <x v="9"/>
    <n v="690"/>
    <s v="Low Risk"/>
    <s v="Normal"/>
    <s v="Normal"/>
  </r>
  <r>
    <s v="LN0263"/>
    <s v="C0092"/>
    <s v="B01"/>
    <x v="0"/>
    <n v="25000000"/>
    <n v="0.18840000000000001"/>
    <d v="2025-09-03T00:00:00"/>
    <n v="72"/>
    <n v="20"/>
    <n v="34750000"/>
    <x v="0"/>
    <n v="582130.23286537128"/>
    <d v="2031-09-03T00:00:00"/>
    <n v="1.39"/>
    <s v="Secured"/>
    <x v="1"/>
    <n v="503"/>
    <s v="High Risk"/>
    <s v="High Risk Exposure"/>
    <s v="High"/>
  </r>
  <r>
    <s v="LN0264"/>
    <s v="C0564"/>
    <s v="B09"/>
    <x v="2"/>
    <n v="6000000"/>
    <n v="0.12479999999999999"/>
    <d v="2025-08-21T00:00:00"/>
    <n v="48"/>
    <n v="90"/>
    <n v="7740000"/>
    <x v="2"/>
    <n v="159420.76035893845"/>
    <d v="2029-08-21T00:00:00"/>
    <n v="1.29"/>
    <s v="Secured"/>
    <x v="8"/>
    <n v="595"/>
    <s v="Medium Risk"/>
    <s v="High Risk Exposure"/>
    <s v="High"/>
  </r>
  <r>
    <s v="LN0265"/>
    <s v="C0581"/>
    <s v="B05"/>
    <x v="2"/>
    <n v="25000000"/>
    <n v="0.10290000000000001"/>
    <d v="2025-05-01T00:00:00"/>
    <n v="12"/>
    <n v="90"/>
    <n v="37250000"/>
    <x v="2"/>
    <n v="2201270.5223399037"/>
    <d v="2026-05-01T00:00:00"/>
    <n v="1.49"/>
    <s v="Secured"/>
    <x v="4"/>
    <n v="474"/>
    <s v="High Risk"/>
    <s v="High Risk Exposure"/>
    <s v="High"/>
  </r>
  <r>
    <s v="LN0266"/>
    <s v="C0408"/>
    <s v="B07"/>
    <x v="0"/>
    <n v="1000000"/>
    <n v="0.2374"/>
    <d v="2025-05-12T00:00:00"/>
    <n v="48"/>
    <n v="10"/>
    <n v="1160000"/>
    <x v="0"/>
    <n v="32458.265067994809"/>
    <d v="2029-05-12T00:00:00"/>
    <n v="1.1599999999999999"/>
    <s v="Secured"/>
    <x v="0"/>
    <n v="572"/>
    <s v="High Risk"/>
    <s v="High Risk Exposure"/>
    <s v="High"/>
  </r>
  <r>
    <s v="LN0267"/>
    <s v="C0672"/>
    <s v="B09"/>
    <x v="1"/>
    <n v="100000"/>
    <n v="0.26019999999999999"/>
    <d v="2021-02-10T00:00:00"/>
    <n v="24"/>
    <n v="0"/>
    <n v="0"/>
    <x v="0"/>
    <n v="5388.4654602344835"/>
    <d v="2023-02-10T00:00:00"/>
    <n v="0"/>
    <s v="Undersecured"/>
    <x v="8"/>
    <n v="656"/>
    <s v="Medium Risk"/>
    <s v="High Risk Exposure"/>
    <s v="High"/>
  </r>
  <r>
    <s v="LN0268"/>
    <s v="C0364"/>
    <s v="B09"/>
    <x v="1"/>
    <n v="250000"/>
    <n v="0.19570000000000001"/>
    <d v="2020-08-11T00:00:00"/>
    <n v="24"/>
    <n v="0"/>
    <n v="0"/>
    <x v="0"/>
    <n v="12671.49653422202"/>
    <d v="2022-08-11T00:00:00"/>
    <n v="0"/>
    <s v="Undersecured"/>
    <x v="8"/>
    <n v="597"/>
    <s v="Medium Risk"/>
    <s v="High Risk Exposure"/>
    <s v="High"/>
  </r>
  <r>
    <s v="LN0269"/>
    <s v="C0386"/>
    <s v="B05"/>
    <x v="3"/>
    <n v="3000000"/>
    <n v="0.1313"/>
    <d v="2024-07-05T00:00:00"/>
    <n v="48"/>
    <n v="0"/>
    <n v="1500000"/>
    <x v="0"/>
    <n v="80676.1893619006"/>
    <d v="2028-07-05T00:00:00"/>
    <n v="0.5"/>
    <s v="Undersecured"/>
    <x v="4"/>
    <n v="830"/>
    <s v="Prime"/>
    <s v="High Risk Exposure"/>
    <s v="High"/>
  </r>
  <r>
    <s v="LN0270"/>
    <s v="C0652"/>
    <s v="B15"/>
    <x v="0"/>
    <n v="25000000"/>
    <n v="0.1757"/>
    <d v="2024-07-14T00:00:00"/>
    <n v="60"/>
    <n v="0"/>
    <n v="13250000"/>
    <x v="0"/>
    <n v="629002.22399369557"/>
    <d v="2029-07-14T00:00:00"/>
    <n v="0.53"/>
    <s v="Undersecured"/>
    <x v="9"/>
    <n v="383"/>
    <s v="High Risk"/>
    <s v="High Risk Exposure"/>
    <s v="High"/>
  </r>
  <r>
    <s v="LN0271"/>
    <s v="C0455"/>
    <s v="B08"/>
    <x v="0"/>
    <n v="25000000"/>
    <n v="0.17480000000000001"/>
    <d v="2021-07-19T00:00:00"/>
    <n v="48"/>
    <n v="0"/>
    <n v="22000000"/>
    <x v="0"/>
    <n v="727599.38673022331"/>
    <d v="2025-07-19T00:00:00"/>
    <n v="0.88"/>
    <s v="Undersecured"/>
    <x v="5"/>
    <n v="411"/>
    <s v="High Risk"/>
    <s v="High Risk Exposure"/>
    <s v="High"/>
  </r>
  <r>
    <s v="LN0272"/>
    <s v="C0566"/>
    <s v="B05"/>
    <x v="3"/>
    <n v="500000"/>
    <n v="0.1376"/>
    <d v="2025-01-06T00:00:00"/>
    <n v="36"/>
    <n v="45"/>
    <n v="625000"/>
    <x v="2"/>
    <n v="17030.589911282357"/>
    <d v="2028-01-06T00:00:00"/>
    <n v="1.25"/>
    <s v="Secured"/>
    <x v="4"/>
    <n v="517"/>
    <s v="High Risk"/>
    <s v="High Risk Exposure"/>
    <s v="High"/>
  </r>
  <r>
    <s v="LN0273"/>
    <s v="C0137"/>
    <s v="B15"/>
    <x v="0"/>
    <n v="3000000"/>
    <n v="0.22700000000000001"/>
    <d v="2023-09-17T00:00:00"/>
    <n v="36"/>
    <n v="0"/>
    <n v="4290000"/>
    <x v="0"/>
    <n v="115660.60364512869"/>
    <d v="2026-09-17T00:00:00"/>
    <n v="1.43"/>
    <s v="Secured"/>
    <x v="9"/>
    <n v="700"/>
    <s v="Low Risk"/>
    <s v="Normal"/>
    <s v="Normal"/>
  </r>
  <r>
    <s v="LN0274"/>
    <s v="C0163"/>
    <s v="B03"/>
    <x v="3"/>
    <n v="3000000"/>
    <n v="0.14319999999999999"/>
    <d v="2025-09-08T00:00:00"/>
    <n v="60"/>
    <n v="0"/>
    <n v="1650000"/>
    <x v="0"/>
    <n v="70303.450095894921"/>
    <d v="2030-09-08T00:00:00"/>
    <n v="0.55000000000000004"/>
    <s v="Undersecured"/>
    <x v="7"/>
    <n v="673"/>
    <s v="Low Risk"/>
    <s v="High Risk Exposure"/>
    <s v="High"/>
  </r>
  <r>
    <s v="LN0275"/>
    <s v="C0557"/>
    <s v="B08"/>
    <x v="2"/>
    <n v="6000000"/>
    <n v="0.1226"/>
    <d v="2025-07-19T00:00:00"/>
    <n v="36"/>
    <n v="5"/>
    <n v="5580000"/>
    <x v="0"/>
    <n v="200031.76663462946"/>
    <d v="2028-07-19T00:00:00"/>
    <n v="0.93"/>
    <s v="Undersecured"/>
    <x v="5"/>
    <n v="376"/>
    <s v="High Risk"/>
    <s v="High Risk Exposure"/>
    <s v="High"/>
  </r>
  <r>
    <s v="LN0276"/>
    <s v="C0236"/>
    <s v="B06"/>
    <x v="3"/>
    <n v="3000000"/>
    <n v="0.1749"/>
    <d v="2025-10-11T00:00:00"/>
    <n v="36"/>
    <n v="0"/>
    <n v="4350000"/>
    <x v="0"/>
    <n v="107691.20821084781"/>
    <d v="2028-10-11T00:00:00"/>
    <n v="1.45"/>
    <s v="Secured"/>
    <x v="6"/>
    <n v="325"/>
    <s v="High Risk"/>
    <s v="High Risk Exposure"/>
    <s v="High"/>
  </r>
  <r>
    <s v="LN0277"/>
    <s v="C0539"/>
    <s v="B04"/>
    <x v="2"/>
    <n v="6000000"/>
    <n v="0.1089"/>
    <d v="2025-05-10T00:00:00"/>
    <n v="48"/>
    <n v="10"/>
    <n v="4200000"/>
    <x v="0"/>
    <n v="154752.81483432968"/>
    <d v="2029-05-10T00:00:00"/>
    <n v="0.7"/>
    <s v="Undersecured"/>
    <x v="14"/>
    <n v="714"/>
    <s v="Low Risk"/>
    <s v="High Risk Exposure"/>
    <s v="High"/>
  </r>
  <r>
    <s v="LN0278"/>
    <s v="C0586"/>
    <s v="B15"/>
    <x v="0"/>
    <n v="25000000"/>
    <n v="0.20599999999999999"/>
    <d v="2021-09-23T00:00:00"/>
    <n v="48"/>
    <n v="90"/>
    <n v="16250000"/>
    <x v="2"/>
    <n v="768773.84296365781"/>
    <d v="2025-09-23T00:00:00"/>
    <n v="0.65"/>
    <s v="Undersecured"/>
    <x v="9"/>
    <n v="416"/>
    <s v="High Risk"/>
    <s v="High Risk Exposure"/>
    <s v="High"/>
  </r>
  <r>
    <s v="LN0279"/>
    <s v="C0072"/>
    <s v="B05"/>
    <x v="3"/>
    <n v="3000000"/>
    <n v="0.16900000000000001"/>
    <d v="2022-01-15T00:00:00"/>
    <n v="12"/>
    <n v="0"/>
    <n v="2190000"/>
    <x v="0"/>
    <n v="273471.90607293654"/>
    <d v="2023-01-15T00:00:00"/>
    <n v="0.73"/>
    <s v="Undersecured"/>
    <x v="4"/>
    <n v="309"/>
    <s v="High Risk"/>
    <s v="High Risk Exposure"/>
    <s v="High"/>
  </r>
  <r>
    <s v="LN0280"/>
    <s v="C0117"/>
    <s v="B04"/>
    <x v="3"/>
    <n v="500000"/>
    <n v="0.1275"/>
    <d v="2024-03-08T00:00:00"/>
    <n v="48"/>
    <n v="45"/>
    <n v="315000"/>
    <x v="2"/>
    <n v="13351.790457804984"/>
    <d v="2028-03-08T00:00:00"/>
    <n v="0.63"/>
    <s v="Undersecured"/>
    <x v="14"/>
    <n v="835"/>
    <s v="Prime"/>
    <s v="High Risk Exposure"/>
    <s v="High"/>
  </r>
  <r>
    <s v="LN0281"/>
    <s v="C0376"/>
    <s v="B07"/>
    <x v="3"/>
    <n v="500000"/>
    <n v="0.1779"/>
    <d v="2025-11-27T00:00:00"/>
    <n v="24"/>
    <n v="10"/>
    <n v="440000"/>
    <x v="0"/>
    <n v="24911.346845918612"/>
    <d v="2027-11-27T00:00:00"/>
    <n v="0.88"/>
    <s v="Undersecured"/>
    <x v="0"/>
    <n v="828"/>
    <s v="Prime"/>
    <s v="High Risk Exposure"/>
    <s v="High"/>
  </r>
  <r>
    <s v="LN0282"/>
    <s v="C0029"/>
    <s v="B02"/>
    <x v="1"/>
    <n v="1000000"/>
    <n v="0.2606"/>
    <d v="2023-06-02T00:00:00"/>
    <n v="36"/>
    <n v="45"/>
    <n v="0"/>
    <x v="2"/>
    <n v="40322.589278520005"/>
    <d v="2026-06-02T00:00:00"/>
    <n v="0"/>
    <s v="Undersecured"/>
    <x v="11"/>
    <n v="376"/>
    <s v="High Risk"/>
    <s v="High Risk Exposure"/>
    <s v="High"/>
  </r>
  <r>
    <s v="LN0283"/>
    <s v="C0539"/>
    <s v="B05"/>
    <x v="0"/>
    <n v="25000000"/>
    <n v="0.16070000000000001"/>
    <d v="2024-06-22T00:00:00"/>
    <n v="12"/>
    <n v="0"/>
    <n v="29000000"/>
    <x v="0"/>
    <n v="2269099.6644604546"/>
    <d v="2025-06-22T00:00:00"/>
    <n v="1.1599999999999999"/>
    <s v="Secured"/>
    <x v="4"/>
    <n v="714"/>
    <s v="Low Risk"/>
    <s v="Normal"/>
    <s v="Normal"/>
  </r>
  <r>
    <s v="LN0284"/>
    <s v="C0048"/>
    <s v="B03"/>
    <x v="0"/>
    <n v="25000000"/>
    <n v="0.14779999999999999"/>
    <d v="2022-12-14T00:00:00"/>
    <n v="48"/>
    <n v="0"/>
    <n v="35500000"/>
    <x v="0"/>
    <n v="692983.900504063"/>
    <d v="2026-12-14T00:00:00"/>
    <n v="1.42"/>
    <s v="Secured"/>
    <x v="7"/>
    <n v="850"/>
    <s v="Prime"/>
    <s v="Normal"/>
    <s v="Normal"/>
  </r>
  <r>
    <s v="LN0285"/>
    <s v="C0221"/>
    <s v="B14"/>
    <x v="2"/>
    <n v="6000000"/>
    <n v="0.12690000000000001"/>
    <d v="2023-04-09T00:00:00"/>
    <n v="72"/>
    <n v="45"/>
    <n v="5640000"/>
    <x v="2"/>
    <n v="119465.17639699165"/>
    <d v="2029-04-09T00:00:00"/>
    <n v="0.94"/>
    <s v="Undersecured"/>
    <x v="13"/>
    <n v="522"/>
    <s v="High Risk"/>
    <s v="High Risk Exposure"/>
    <s v="High"/>
  </r>
  <r>
    <s v="LN0286"/>
    <s v="C0570"/>
    <s v="B09"/>
    <x v="0"/>
    <n v="25000000"/>
    <n v="0.1898"/>
    <d v="2024-02-01T00:00:00"/>
    <n v="60"/>
    <n v="20"/>
    <n v="24500000"/>
    <x v="0"/>
    <n v="648238.69017336029"/>
    <d v="2029-02-01T00:00:00"/>
    <n v="0.98"/>
    <s v="Undersecured"/>
    <x v="8"/>
    <n v="712"/>
    <s v="Low Risk"/>
    <s v="High Risk Exposure"/>
    <s v="High"/>
  </r>
  <r>
    <s v="LN0287"/>
    <s v="C0311"/>
    <s v="B15"/>
    <x v="3"/>
    <n v="3000000"/>
    <n v="0.1522"/>
    <d v="2025-03-25T00:00:00"/>
    <n v="48"/>
    <n v="0"/>
    <n v="1830000"/>
    <x v="0"/>
    <n v="83827.185417835906"/>
    <d v="2029-03-25T00:00:00"/>
    <n v="0.61"/>
    <s v="Undersecured"/>
    <x v="9"/>
    <n v="370"/>
    <s v="High Risk"/>
    <s v="High Risk Exposure"/>
    <s v="High"/>
  </r>
  <r>
    <s v="LN0288"/>
    <s v="C0346"/>
    <s v="B02"/>
    <x v="3"/>
    <n v="6000000"/>
    <n v="0.12379999999999999"/>
    <d v="2024-11-14T00:00:00"/>
    <n v="24"/>
    <n v="0"/>
    <n v="9000000"/>
    <x v="0"/>
    <n v="283506.75419719471"/>
    <d v="2026-11-14T00:00:00"/>
    <n v="1.5"/>
    <s v="Secured"/>
    <x v="11"/>
    <n v="327"/>
    <s v="High Risk"/>
    <s v="High Risk Exposure"/>
    <s v="High"/>
  </r>
  <r>
    <s v="LN0289"/>
    <s v="C0356"/>
    <s v="B05"/>
    <x v="0"/>
    <n v="25000000"/>
    <n v="0.16139999999999999"/>
    <d v="2022-08-02T00:00:00"/>
    <n v="48"/>
    <n v="45"/>
    <n v="27250000"/>
    <x v="2"/>
    <n v="710300.83439691097"/>
    <d v="2026-08-02T00:00:00"/>
    <n v="1.0900000000000001"/>
    <s v="Secured"/>
    <x v="4"/>
    <n v="641"/>
    <s v="Medium Risk"/>
    <s v="High Risk Exposure"/>
    <s v="High"/>
  </r>
  <r>
    <s v="LN0290"/>
    <s v="C0112"/>
    <s v="B02"/>
    <x v="0"/>
    <n v="6000000"/>
    <n v="0.14219999999999999"/>
    <d v="2025-05-28T00:00:00"/>
    <n v="60"/>
    <n v="0"/>
    <n v="7500000"/>
    <x v="0"/>
    <n v="140294.78574060978"/>
    <d v="2030-05-28T00:00:00"/>
    <n v="1.25"/>
    <s v="Secured"/>
    <x v="11"/>
    <n v="527"/>
    <s v="High Risk"/>
    <s v="High Risk Exposure"/>
    <s v="High"/>
  </r>
  <r>
    <s v="LN0291"/>
    <s v="C0419"/>
    <s v="B05"/>
    <x v="0"/>
    <n v="25000000"/>
    <n v="0.22520000000000001"/>
    <d v="2022-06-13T00:00:00"/>
    <n v="72"/>
    <n v="0"/>
    <n v="16250000"/>
    <x v="0"/>
    <n v="635892.7511513452"/>
    <d v="2028-06-13T00:00:00"/>
    <n v="0.65"/>
    <s v="Undersecured"/>
    <x v="4"/>
    <n v="775"/>
    <s v="Very Low Risk"/>
    <s v="High Risk Exposure"/>
    <s v="High"/>
  </r>
  <r>
    <s v="LN0292"/>
    <s v="C0657"/>
    <s v="B14"/>
    <x v="1"/>
    <n v="100000"/>
    <n v="0.25"/>
    <d v="2020-07-12T00:00:00"/>
    <n v="36"/>
    <n v="0"/>
    <n v="0"/>
    <x v="0"/>
    <n v="3975.9825901255522"/>
    <d v="2023-07-12T00:00:00"/>
    <n v="0"/>
    <s v="Undersecured"/>
    <x v="13"/>
    <n v="702"/>
    <s v="Low Risk"/>
    <s v="High Risk Exposure"/>
    <s v="High"/>
  </r>
  <r>
    <s v="LN0293"/>
    <s v="C0049"/>
    <s v="B01"/>
    <x v="0"/>
    <n v="3000000"/>
    <n v="0.19719999999999999"/>
    <d v="2022-12-13T00:00:00"/>
    <n v="72"/>
    <n v="0"/>
    <n v="1710000"/>
    <x v="0"/>
    <n v="71372.400861644419"/>
    <d v="2028-12-13T00:00:00"/>
    <n v="0.56999999999999995"/>
    <s v="Undersecured"/>
    <x v="1"/>
    <n v="374"/>
    <s v="High Risk"/>
    <s v="High Risk Exposure"/>
    <s v="High"/>
  </r>
  <r>
    <s v="LN0294"/>
    <s v="C0066"/>
    <s v="B15"/>
    <x v="1"/>
    <n v="1000000"/>
    <n v="0.25040000000000001"/>
    <d v="2024-11-27T00:00:00"/>
    <n v="48"/>
    <n v="0"/>
    <n v="0"/>
    <x v="0"/>
    <n v="33179.441840113053"/>
    <d v="2028-11-27T00:00:00"/>
    <n v="0"/>
    <s v="Undersecured"/>
    <x v="9"/>
    <n v="506"/>
    <s v="High Risk"/>
    <s v="High Risk Exposure"/>
    <s v="High"/>
  </r>
  <r>
    <s v="LN0295"/>
    <s v="C0524"/>
    <s v="B01"/>
    <x v="0"/>
    <n v="3000000"/>
    <n v="0.22020000000000001"/>
    <d v="2025-04-22T00:00:00"/>
    <n v="36"/>
    <n v="90"/>
    <n v="3480000"/>
    <x v="2"/>
    <n v="114602.40168642509"/>
    <d v="2028-04-22T00:00:00"/>
    <n v="1.1599999999999999"/>
    <s v="Secured"/>
    <x v="1"/>
    <n v="662"/>
    <s v="Medium Risk"/>
    <s v="High Risk Exposure"/>
    <s v="High"/>
  </r>
  <r>
    <s v="LN0296"/>
    <s v="C0446"/>
    <s v="B15"/>
    <x v="0"/>
    <n v="25000000"/>
    <n v="0.23599999999999999"/>
    <d v="2020-12-03T00:00:00"/>
    <n v="36"/>
    <n v="0"/>
    <n v="22750000"/>
    <x v="0"/>
    <n v="975578.44888550101"/>
    <d v="2023-12-03T00:00:00"/>
    <n v="0.91"/>
    <s v="Undersecured"/>
    <x v="9"/>
    <n v="751"/>
    <s v="Very Low Risk"/>
    <s v="High Risk Exposure"/>
    <s v="High"/>
  </r>
  <r>
    <s v="LN0297"/>
    <s v="C0492"/>
    <s v="B13"/>
    <x v="1"/>
    <n v="250000"/>
    <n v="0.25159999999999999"/>
    <d v="2020-07-24T00:00:00"/>
    <n v="12"/>
    <n v="0"/>
    <n v="0"/>
    <x v="0"/>
    <n v="23780.465931337247"/>
    <d v="2021-07-24T00:00:00"/>
    <n v="0"/>
    <s v="Undersecured"/>
    <x v="2"/>
    <n v="611"/>
    <s v="Medium Risk"/>
    <s v="High Risk Exposure"/>
    <s v="High"/>
  </r>
  <r>
    <s v="LN0298"/>
    <s v="C0463"/>
    <s v="B04"/>
    <x v="3"/>
    <n v="500000"/>
    <n v="0.185"/>
    <d v="2020-06-13T00:00:00"/>
    <n v="72"/>
    <n v="0"/>
    <n v="435000"/>
    <x v="0"/>
    <n v="11545.677129985013"/>
    <d v="2026-06-13T00:00:00"/>
    <n v="0.87"/>
    <s v="Undersecured"/>
    <x v="14"/>
    <n v="619"/>
    <s v="Medium Risk"/>
    <s v="High Risk Exposure"/>
    <s v="High"/>
  </r>
  <r>
    <s v="LN0299"/>
    <s v="C0007"/>
    <s v="B14"/>
    <x v="1"/>
    <n v="100000"/>
    <n v="0.16889999999999999"/>
    <d v="2025-12-05T00:00:00"/>
    <n v="12"/>
    <n v="20"/>
    <n v="0"/>
    <x v="0"/>
    <n v="9115.2557759622559"/>
    <d v="2026-12-05T00:00:00"/>
    <n v="0"/>
    <s v="Undersecured"/>
    <x v="13"/>
    <n v="366"/>
    <s v="High Risk"/>
    <s v="High Risk Exposure"/>
    <s v="High"/>
  </r>
  <r>
    <s v="LN0300"/>
    <s v="C0399"/>
    <s v="B11"/>
    <x v="1"/>
    <n v="250000"/>
    <n v="0.21909999999999999"/>
    <d v="2025-11-28T00:00:00"/>
    <n v="24"/>
    <n v="5"/>
    <n v="0"/>
    <x v="0"/>
    <n v="12958.430194304148"/>
    <d v="2027-11-28T00:00:00"/>
    <n v="0"/>
    <s v="Undersecured"/>
    <x v="10"/>
    <n v="472"/>
    <s v="High Risk"/>
    <s v="High Risk Exposure"/>
    <s v="High"/>
  </r>
  <r>
    <s v="LN0301"/>
    <s v="C0542"/>
    <s v="B10"/>
    <x v="3"/>
    <n v="6000000"/>
    <n v="0.1207"/>
    <d v="2023-02-10T00:00:00"/>
    <n v="60"/>
    <n v="0"/>
    <n v="5700000"/>
    <x v="0"/>
    <n v="133679.02290607573"/>
    <d v="2028-02-10T00:00:00"/>
    <n v="0.95"/>
    <s v="Undersecured"/>
    <x v="3"/>
    <n v="635"/>
    <s v="Medium Risk"/>
    <s v="High Risk Exposure"/>
    <s v="High"/>
  </r>
  <r>
    <s v="LN0302"/>
    <s v="C0700"/>
    <s v="B01"/>
    <x v="1"/>
    <n v="100000"/>
    <n v="0.16650000000000001"/>
    <d v="2024-06-09T00:00:00"/>
    <n v="72"/>
    <n v="20"/>
    <n v="0"/>
    <x v="0"/>
    <n v="2205.1286305431549"/>
    <d v="2030-06-09T00:00:00"/>
    <n v="0"/>
    <s v="Undersecured"/>
    <x v="1"/>
    <n v="571"/>
    <s v="High Risk"/>
    <s v="High Risk Exposure"/>
    <s v="High"/>
  </r>
  <r>
    <s v="LN0303"/>
    <s v="C0179"/>
    <s v="B15"/>
    <x v="3"/>
    <n v="1000000"/>
    <n v="0.14729999999999999"/>
    <d v="2024-02-25T00:00:00"/>
    <n v="36"/>
    <n v="20"/>
    <n v="670000"/>
    <x v="0"/>
    <n v="34533.254426841871"/>
    <d v="2027-02-25T00:00:00"/>
    <n v="0.67"/>
    <s v="Undersecured"/>
    <x v="9"/>
    <n v="811"/>
    <s v="Prime"/>
    <s v="High Risk Exposure"/>
    <s v="High"/>
  </r>
  <r>
    <s v="LN0304"/>
    <s v="C0326"/>
    <s v="B05"/>
    <x v="3"/>
    <n v="3000000"/>
    <n v="0.16739999999999999"/>
    <d v="2025-11-28T00:00:00"/>
    <n v="60"/>
    <n v="10"/>
    <n v="4020000"/>
    <x v="0"/>
    <n v="74138.967817060562"/>
    <d v="2030-11-28T00:00:00"/>
    <n v="1.34"/>
    <s v="Secured"/>
    <x v="4"/>
    <n v="537"/>
    <s v="High Risk"/>
    <s v="High Risk Exposure"/>
    <s v="High"/>
  </r>
  <r>
    <s v="LN0305"/>
    <s v="C0350"/>
    <s v="B12"/>
    <x v="2"/>
    <n v="80000000"/>
    <n v="9.9699999999999997E-2"/>
    <d v="2020-06-22T00:00:00"/>
    <n v="36"/>
    <n v="0"/>
    <n v="88000000"/>
    <x v="0"/>
    <n v="2580248.3359657279"/>
    <d v="2023-06-22T00:00:00"/>
    <n v="1.1000000000000001"/>
    <s v="Secured"/>
    <x v="12"/>
    <n v="488"/>
    <s v="High Risk"/>
    <s v="High Risk Exposure"/>
    <s v="High"/>
  </r>
  <r>
    <s v="LN0306"/>
    <s v="C0696"/>
    <s v="B13"/>
    <x v="0"/>
    <n v="3000000"/>
    <n v="0.21629999999999999"/>
    <d v="2024-01-23T00:00:00"/>
    <n v="60"/>
    <n v="45"/>
    <n v="3300000"/>
    <x v="2"/>
    <n v="82226.861654929686"/>
    <d v="2029-01-23T00:00:00"/>
    <n v="1.1000000000000001"/>
    <s v="Secured"/>
    <x v="2"/>
    <n v="719"/>
    <s v="Low Risk"/>
    <s v="High Risk Exposure"/>
    <s v="High"/>
  </r>
  <r>
    <s v="LN0307"/>
    <s v="C0610"/>
    <s v="B10"/>
    <x v="2"/>
    <n v="6000000"/>
    <n v="0.1047"/>
    <d v="2025-01-04T00:00:00"/>
    <n v="60"/>
    <n v="90"/>
    <n v="6300000"/>
    <x v="2"/>
    <n v="128874.2518491142"/>
    <d v="2030-01-04T00:00:00"/>
    <n v="1.05"/>
    <s v="Secured"/>
    <x v="3"/>
    <n v="318"/>
    <s v="High Risk"/>
    <s v="High Risk Exposure"/>
    <s v="High"/>
  </r>
  <r>
    <s v="LN0308"/>
    <s v="C0457"/>
    <s v="B03"/>
    <x v="2"/>
    <n v="25000000"/>
    <n v="0.1305"/>
    <d v="2020-10-16T00:00:00"/>
    <n v="60"/>
    <n v="5"/>
    <n v="32250000"/>
    <x v="0"/>
    <n v="569466.91817744903"/>
    <d v="2025-10-16T00:00:00"/>
    <n v="1.29"/>
    <s v="Secured"/>
    <x v="7"/>
    <n v="306"/>
    <s v="High Risk"/>
    <s v="High Risk Exposure"/>
    <s v="High"/>
  </r>
  <r>
    <s v="LN0309"/>
    <s v="C0305"/>
    <s v="B12"/>
    <x v="2"/>
    <n v="6000000"/>
    <n v="0.1069"/>
    <d v="2024-02-06T00:00:00"/>
    <n v="24"/>
    <n v="0"/>
    <n v="5880000"/>
    <x v="0"/>
    <n v="278784.26470461237"/>
    <d v="2026-02-06T00:00:00"/>
    <n v="0.98"/>
    <s v="Undersecured"/>
    <x v="12"/>
    <n v="654"/>
    <s v="Medium Risk"/>
    <s v="High Risk Exposure"/>
    <s v="High"/>
  </r>
  <r>
    <s v="LN0310"/>
    <s v="C0158"/>
    <s v="B10"/>
    <x v="0"/>
    <n v="6000000"/>
    <n v="0.1479"/>
    <d v="2023-02-07T00:00:00"/>
    <n v="12"/>
    <n v="0"/>
    <n v="7080000"/>
    <x v="0"/>
    <n v="540955.49600886286"/>
    <d v="2024-02-07T00:00:00"/>
    <n v="1.18"/>
    <s v="Secured"/>
    <x v="3"/>
    <n v="614"/>
    <s v="Medium Risk"/>
    <s v="Normal"/>
    <s v="Normal"/>
  </r>
  <r>
    <s v="LN0311"/>
    <s v="C0072"/>
    <s v="B12"/>
    <x v="2"/>
    <n v="80000000"/>
    <n v="0.1123"/>
    <d v="2024-01-26T00:00:00"/>
    <n v="24"/>
    <n v="0"/>
    <n v="44800000"/>
    <x v="0"/>
    <n v="3737175.4546573609"/>
    <d v="2026-01-26T00:00:00"/>
    <n v="0.56000000000000005"/>
    <s v="Undersecured"/>
    <x v="12"/>
    <n v="309"/>
    <s v="High Risk"/>
    <s v="High Risk Exposure"/>
    <s v="High"/>
  </r>
  <r>
    <s v="LN0312"/>
    <s v="C0377"/>
    <s v="B07"/>
    <x v="3"/>
    <n v="1000000"/>
    <n v="0.19450000000000001"/>
    <d v="2023-02-07T00:00:00"/>
    <n v="60"/>
    <n v="90"/>
    <n v="1410000"/>
    <x v="2"/>
    <n v="26188.786313468001"/>
    <d v="2028-02-07T00:00:00"/>
    <n v="1.41"/>
    <s v="Secured"/>
    <x v="0"/>
    <n v="436"/>
    <s v="High Risk"/>
    <s v="High Risk Exposure"/>
    <s v="High"/>
  </r>
  <r>
    <s v="LN0313"/>
    <s v="C0135"/>
    <s v="B08"/>
    <x v="2"/>
    <n v="80000000"/>
    <n v="0.13689999999999999"/>
    <d v="2024-09-09T00:00:00"/>
    <n v="72"/>
    <n v="5"/>
    <n v="52800000"/>
    <x v="0"/>
    <n v="1635208.95125479"/>
    <d v="2030-09-09T00:00:00"/>
    <n v="0.66"/>
    <s v="Undersecured"/>
    <x v="5"/>
    <n v="571"/>
    <s v="High Risk"/>
    <s v="High Risk Exposure"/>
    <s v="High"/>
  </r>
  <r>
    <s v="LN0314"/>
    <s v="C0440"/>
    <s v="B05"/>
    <x v="3"/>
    <n v="500000"/>
    <n v="0.17230000000000001"/>
    <d v="2022-03-17T00:00:00"/>
    <n v="60"/>
    <n v="20"/>
    <n v="515000"/>
    <x v="0"/>
    <n v="12488.206518499424"/>
    <d v="2027-03-17T00:00:00"/>
    <n v="1.03"/>
    <s v="Secured"/>
    <x v="4"/>
    <n v="734"/>
    <s v="Low Risk"/>
    <s v="Normal"/>
    <s v="Normal"/>
  </r>
  <r>
    <s v="LN0315"/>
    <s v="C0130"/>
    <s v="B01"/>
    <x v="1"/>
    <n v="250000"/>
    <n v="0.2127"/>
    <d v="2023-05-26T00:00:00"/>
    <n v="36"/>
    <n v="0"/>
    <n v="0"/>
    <x v="0"/>
    <n v="9453.459445293729"/>
    <d v="2026-05-26T00:00:00"/>
    <n v="0"/>
    <s v="Undersecured"/>
    <x v="1"/>
    <n v="841"/>
    <s v="Prime"/>
    <s v="High Risk Exposure"/>
    <s v="High"/>
  </r>
  <r>
    <s v="LN0316"/>
    <s v="C0097"/>
    <s v="B14"/>
    <x v="2"/>
    <n v="25000000"/>
    <n v="9.2700000000000005E-2"/>
    <d v="2020-09-27T00:00:00"/>
    <n v="60"/>
    <n v="120"/>
    <n v="22500000"/>
    <x v="1"/>
    <n v="522240.99724897899"/>
    <d v="2025-09-27T00:00:00"/>
    <n v="0.9"/>
    <s v="Undersecured"/>
    <x v="13"/>
    <n v="595"/>
    <s v="Medium Risk"/>
    <s v="High Risk Exposure"/>
    <s v="Critical"/>
  </r>
  <r>
    <s v="LN0317"/>
    <s v="C0179"/>
    <s v="B02"/>
    <x v="2"/>
    <n v="6000000"/>
    <n v="0.12139999999999999"/>
    <d v="2021-01-16T00:00:00"/>
    <n v="36"/>
    <n v="5"/>
    <n v="5220000"/>
    <x v="0"/>
    <n v="199687.29751028059"/>
    <d v="2024-01-16T00:00:00"/>
    <n v="0.87"/>
    <s v="Undersecured"/>
    <x v="11"/>
    <n v="811"/>
    <s v="Prime"/>
    <s v="High Risk Exposure"/>
    <s v="High"/>
  </r>
  <r>
    <s v="LN0318"/>
    <s v="C0512"/>
    <s v="B15"/>
    <x v="0"/>
    <n v="6000000"/>
    <n v="0.1762"/>
    <d v="2025-05-21T00:00:00"/>
    <n v="48"/>
    <n v="10"/>
    <n v="8880000"/>
    <x v="0"/>
    <n v="175060.83560595257"/>
    <d v="2029-05-21T00:00:00"/>
    <n v="1.48"/>
    <s v="Secured"/>
    <x v="9"/>
    <n v="663"/>
    <s v="Medium Risk"/>
    <s v="Normal"/>
    <s v="Normal"/>
  </r>
  <r>
    <s v="LN0319"/>
    <s v="C0383"/>
    <s v="B15"/>
    <x v="3"/>
    <n v="6000000"/>
    <n v="0.19189999999999999"/>
    <d v="2025-05-27T00:00:00"/>
    <n v="36"/>
    <n v="120"/>
    <n v="4500000"/>
    <x v="1"/>
    <n v="220512.92706548003"/>
    <d v="2028-05-27T00:00:00"/>
    <n v="0.75"/>
    <s v="Undersecured"/>
    <x v="9"/>
    <n v="417"/>
    <s v="High Risk"/>
    <s v="High Risk Exposure"/>
    <s v="Critical"/>
  </r>
  <r>
    <s v="LN0320"/>
    <s v="C0621"/>
    <s v="B03"/>
    <x v="3"/>
    <n v="1000000"/>
    <n v="0.1231"/>
    <d v="2021-05-06T00:00:00"/>
    <n v="48"/>
    <n v="10"/>
    <n v="780000"/>
    <x v="0"/>
    <n v="26486.299499934456"/>
    <d v="2025-05-06T00:00:00"/>
    <n v="0.78"/>
    <s v="Undersecured"/>
    <x v="7"/>
    <n v="702"/>
    <s v="Low Risk"/>
    <s v="High Risk Exposure"/>
    <s v="High"/>
  </r>
  <r>
    <s v="LN0321"/>
    <s v="C0179"/>
    <s v="B05"/>
    <x v="2"/>
    <n v="25000000"/>
    <n v="0.1014"/>
    <d v="2023-09-26T00:00:00"/>
    <n v="36"/>
    <n v="0"/>
    <n v="30250000"/>
    <x v="0"/>
    <n v="808323.90815428994"/>
    <d v="2026-09-26T00:00:00"/>
    <n v="1.21"/>
    <s v="Secured"/>
    <x v="4"/>
    <n v="811"/>
    <s v="Prime"/>
    <s v="Normal"/>
    <s v="Normal"/>
  </r>
  <r>
    <s v="LN0322"/>
    <s v="C0318"/>
    <s v="B11"/>
    <x v="0"/>
    <n v="25000000"/>
    <n v="0.2326"/>
    <d v="2025-10-11T00:00:00"/>
    <n v="24"/>
    <n v="0"/>
    <n v="32750000"/>
    <x v="0"/>
    <n v="1312561.9529095476"/>
    <d v="2027-10-11T00:00:00"/>
    <n v="1.31"/>
    <s v="Secured"/>
    <x v="10"/>
    <n v="461"/>
    <s v="High Risk"/>
    <s v="High Risk Exposure"/>
    <s v="High"/>
  </r>
  <r>
    <s v="LN0323"/>
    <s v="C0467"/>
    <s v="B12"/>
    <x v="3"/>
    <n v="1000000"/>
    <n v="0.16200000000000001"/>
    <d v="2021-12-01T00:00:00"/>
    <n v="48"/>
    <n v="120"/>
    <n v="610000"/>
    <x v="1"/>
    <n v="28442.815830082243"/>
    <d v="2025-12-01T00:00:00"/>
    <n v="0.61"/>
    <s v="Undersecured"/>
    <x v="12"/>
    <n v="303"/>
    <s v="High Risk"/>
    <s v="High Risk Exposure"/>
    <s v="Critical"/>
  </r>
  <r>
    <s v="LN0324"/>
    <s v="C0238"/>
    <s v="B04"/>
    <x v="3"/>
    <n v="500000"/>
    <n v="0.1598"/>
    <d v="2023-02-19T00:00:00"/>
    <n v="60"/>
    <n v="0"/>
    <n v="610000"/>
    <x v="0"/>
    <n v="12153.71587331135"/>
    <d v="2028-02-19T00:00:00"/>
    <n v="1.22"/>
    <s v="Secured"/>
    <x v="14"/>
    <n v="389"/>
    <s v="High Risk"/>
    <s v="High Risk Exposure"/>
    <s v="High"/>
  </r>
  <r>
    <s v="LN0325"/>
    <s v="C0002"/>
    <s v="B11"/>
    <x v="0"/>
    <n v="1000000"/>
    <n v="0.20799999999999999"/>
    <d v="2024-10-27T00:00:00"/>
    <n v="24"/>
    <n v="0"/>
    <n v="1220000"/>
    <x v="0"/>
    <n v="51287.468623407825"/>
    <d v="2026-10-27T00:00:00"/>
    <n v="1.22"/>
    <s v="Secured"/>
    <x v="10"/>
    <n v="316"/>
    <s v="High Risk"/>
    <s v="High Risk Exposure"/>
    <s v="High"/>
  </r>
  <r>
    <s v="LN0326"/>
    <s v="C0420"/>
    <s v="B02"/>
    <x v="0"/>
    <n v="25000000"/>
    <n v="0.15870000000000001"/>
    <d v="2025-03-05T00:00:00"/>
    <n v="60"/>
    <n v="0"/>
    <n v="19000000"/>
    <x v="0"/>
    <n v="606225.94837779074"/>
    <d v="2030-03-05T00:00:00"/>
    <n v="0.76"/>
    <s v="Undersecured"/>
    <x v="11"/>
    <n v="732"/>
    <s v="Low Risk"/>
    <s v="High Risk Exposure"/>
    <s v="High"/>
  </r>
  <r>
    <s v="LN0327"/>
    <s v="C0142"/>
    <s v="B08"/>
    <x v="1"/>
    <n v="250000"/>
    <n v="0.22620000000000001"/>
    <d v="2023-10-13T00:00:00"/>
    <n v="60"/>
    <n v="20"/>
    <n v="0"/>
    <x v="0"/>
    <n v="6993.143882962615"/>
    <d v="2028-10-13T00:00:00"/>
    <n v="0"/>
    <s v="Undersecured"/>
    <x v="5"/>
    <n v="633"/>
    <s v="Medium Risk"/>
    <s v="High Risk Exposure"/>
    <s v="High"/>
  </r>
  <r>
    <s v="LN0328"/>
    <s v="C0289"/>
    <s v="B06"/>
    <x v="1"/>
    <n v="100000"/>
    <n v="0.2457"/>
    <d v="2024-08-15T00:00:00"/>
    <n v="36"/>
    <n v="0"/>
    <n v="0"/>
    <x v="0"/>
    <n v="3953.2757841572734"/>
    <d v="2027-08-15T00:00:00"/>
    <n v="0"/>
    <s v="Undersecured"/>
    <x v="6"/>
    <n v="607"/>
    <s v="Medium Risk"/>
    <s v="High Risk Exposure"/>
    <s v="High"/>
  </r>
  <r>
    <s v="LN0329"/>
    <s v="C0662"/>
    <s v="B06"/>
    <x v="3"/>
    <n v="500000"/>
    <n v="0.13950000000000001"/>
    <d v="2025-01-26T00:00:00"/>
    <n v="12"/>
    <n v="5"/>
    <n v="470000"/>
    <x v="0"/>
    <n v="44881.796684820321"/>
    <d v="2026-01-26T00:00:00"/>
    <n v="0.94"/>
    <s v="Undersecured"/>
    <x v="6"/>
    <n v="380"/>
    <s v="High Risk"/>
    <s v="High Risk Exposure"/>
    <s v="High"/>
  </r>
  <r>
    <s v="LN0330"/>
    <s v="C0512"/>
    <s v="B11"/>
    <x v="0"/>
    <n v="3000000"/>
    <n v="0.17799999999999999"/>
    <d v="2023-11-11T00:00:00"/>
    <n v="72"/>
    <n v="10"/>
    <n v="2220000"/>
    <x v="0"/>
    <n v="68084.622524017555"/>
    <d v="2029-11-11T00:00:00"/>
    <n v="0.74"/>
    <s v="Undersecured"/>
    <x v="10"/>
    <n v="663"/>
    <s v="Medium Risk"/>
    <s v="High Risk Exposure"/>
    <s v="High"/>
  </r>
  <r>
    <s v="LN0331"/>
    <s v="C0338"/>
    <s v="B06"/>
    <x v="1"/>
    <n v="100000"/>
    <n v="0.26229999999999998"/>
    <d v="2020-10-12T00:00:00"/>
    <n v="12"/>
    <n v="45"/>
    <n v="0"/>
    <x v="2"/>
    <n v="9564.2091978396384"/>
    <d v="2021-10-12T00:00:00"/>
    <n v="0"/>
    <s v="Undersecured"/>
    <x v="6"/>
    <n v="334"/>
    <s v="High Risk"/>
    <s v="High Risk Exposure"/>
    <s v="High"/>
  </r>
  <r>
    <s v="LN0332"/>
    <s v="C0004"/>
    <s v="B06"/>
    <x v="3"/>
    <n v="1000000"/>
    <n v="0.17"/>
    <d v="2025-04-13T00:00:00"/>
    <n v="36"/>
    <n v="45"/>
    <n v="1060000"/>
    <x v="2"/>
    <n v="35652.727526744675"/>
    <d v="2028-04-13T00:00:00"/>
    <n v="1.06"/>
    <s v="Secured"/>
    <x v="6"/>
    <n v="555"/>
    <s v="High Risk"/>
    <s v="High Risk Exposure"/>
    <s v="High"/>
  </r>
  <r>
    <s v="LN0333"/>
    <s v="C0622"/>
    <s v="B06"/>
    <x v="1"/>
    <n v="1000000"/>
    <n v="0.20930000000000001"/>
    <d v="2022-11-04T00:00:00"/>
    <n v="24"/>
    <n v="10"/>
    <n v="0"/>
    <x v="0"/>
    <n v="51351.27505647207"/>
    <d v="2024-11-04T00:00:00"/>
    <n v="0"/>
    <s v="Undersecured"/>
    <x v="6"/>
    <n v="634"/>
    <s v="Medium Risk"/>
    <s v="High Risk Exposure"/>
    <s v="High"/>
  </r>
  <r>
    <s v="LN0334"/>
    <s v="C0357"/>
    <s v="B12"/>
    <x v="2"/>
    <n v="6000000"/>
    <n v="9.2200000000000004E-2"/>
    <d v="2025-05-15T00:00:00"/>
    <n v="36"/>
    <n v="45"/>
    <n v="6660000"/>
    <x v="2"/>
    <n v="191413.33422216104"/>
    <d v="2028-05-15T00:00:00"/>
    <n v="1.1100000000000001"/>
    <s v="Secured"/>
    <x v="12"/>
    <n v="510"/>
    <s v="High Risk"/>
    <s v="High Risk Exposure"/>
    <s v="High"/>
  </r>
  <r>
    <s v="LN0335"/>
    <s v="C0343"/>
    <s v="B01"/>
    <x v="1"/>
    <n v="250000"/>
    <n v="0.2041"/>
    <d v="2025-10-04T00:00:00"/>
    <n v="12"/>
    <n v="10"/>
    <n v="0"/>
    <x v="0"/>
    <n v="23207.710937237527"/>
    <d v="2026-10-04T00:00:00"/>
    <n v="0"/>
    <s v="Undersecured"/>
    <x v="1"/>
    <n v="655"/>
    <s v="Medium Risk"/>
    <s v="High Risk Exposure"/>
    <s v="High"/>
  </r>
  <r>
    <s v="LN0336"/>
    <s v="C0292"/>
    <s v="B07"/>
    <x v="1"/>
    <n v="1000000"/>
    <n v="0.23119999999999999"/>
    <d v="2024-12-28T00:00:00"/>
    <n v="60"/>
    <n v="5"/>
    <n v="0"/>
    <x v="0"/>
    <n v="28259.458475029227"/>
    <d v="2029-12-28T00:00:00"/>
    <n v="0"/>
    <s v="Undersecured"/>
    <x v="0"/>
    <n v="649"/>
    <s v="Medium Risk"/>
    <s v="High Risk Exposure"/>
    <s v="High"/>
  </r>
  <r>
    <s v="LN0337"/>
    <s v="C0677"/>
    <s v="B12"/>
    <x v="2"/>
    <n v="80000000"/>
    <n v="0.11990000000000001"/>
    <d v="2020-06-12T00:00:00"/>
    <n v="60"/>
    <n v="90"/>
    <n v="63200000"/>
    <x v="2"/>
    <n v="1779151.5749521796"/>
    <d v="2025-06-12T00:00:00"/>
    <n v="0.79"/>
    <s v="Undersecured"/>
    <x v="12"/>
    <n v="599"/>
    <s v="Medium Risk"/>
    <s v="High Risk Exposure"/>
    <s v="High"/>
  </r>
  <r>
    <s v="LN0338"/>
    <s v="C0492"/>
    <s v="B04"/>
    <x v="3"/>
    <n v="1000000"/>
    <n v="0.1215"/>
    <d v="2025-11-03T00:00:00"/>
    <n v="72"/>
    <n v="0"/>
    <n v="1270000"/>
    <x v="0"/>
    <n v="19628.284055647549"/>
    <d v="2031-11-03T00:00:00"/>
    <n v="1.27"/>
    <s v="Secured"/>
    <x v="14"/>
    <n v="611"/>
    <s v="Medium Risk"/>
    <s v="Normal"/>
    <s v="Normal"/>
  </r>
  <r>
    <s v="LN0339"/>
    <s v="C0543"/>
    <s v="B09"/>
    <x v="1"/>
    <n v="500000"/>
    <n v="0.1749"/>
    <d v="2020-09-14T00:00:00"/>
    <n v="12"/>
    <n v="0"/>
    <n v="0"/>
    <x v="0"/>
    <n v="45718.725978093396"/>
    <d v="2021-09-14T00:00:00"/>
    <n v="0"/>
    <s v="Undersecured"/>
    <x v="8"/>
    <n v="705"/>
    <s v="Low Risk"/>
    <s v="High Risk Exposure"/>
    <s v="High"/>
  </r>
  <r>
    <s v="LN0340"/>
    <s v="C0359"/>
    <s v="B11"/>
    <x v="0"/>
    <n v="3000000"/>
    <n v="0.22850000000000001"/>
    <d v="2025-08-25T00:00:00"/>
    <n v="24"/>
    <n v="0"/>
    <n v="2130000"/>
    <x v="0"/>
    <n v="156896.59451650243"/>
    <d v="2027-08-25T00:00:00"/>
    <n v="0.71"/>
    <s v="Undersecured"/>
    <x v="10"/>
    <n v="651"/>
    <s v="Medium Risk"/>
    <s v="High Risk Exposure"/>
    <s v="High"/>
  </r>
  <r>
    <s v="LN0341"/>
    <s v="C0554"/>
    <s v="B03"/>
    <x v="0"/>
    <n v="1000000"/>
    <n v="0.18820000000000001"/>
    <d v="2020-08-17T00:00:00"/>
    <n v="24"/>
    <n v="0"/>
    <n v="720000"/>
    <x v="0"/>
    <n v="50321.207191269787"/>
    <d v="2022-08-17T00:00:00"/>
    <n v="0.72"/>
    <s v="Undersecured"/>
    <x v="7"/>
    <n v="664"/>
    <s v="Medium Risk"/>
    <s v="High Risk Exposure"/>
    <s v="High"/>
  </r>
  <r>
    <s v="LN0342"/>
    <s v="C0006"/>
    <s v="B08"/>
    <x v="3"/>
    <n v="1000000"/>
    <n v="0.16039999999999999"/>
    <d v="2025-04-19T00:00:00"/>
    <n v="36"/>
    <n v="20"/>
    <n v="1190000"/>
    <x v="0"/>
    <n v="35176.784316207973"/>
    <d v="2028-04-19T00:00:00"/>
    <n v="1.19"/>
    <s v="Secured"/>
    <x v="5"/>
    <n v="609"/>
    <s v="Medium Risk"/>
    <s v="Normal"/>
    <s v="Normal"/>
  </r>
  <r>
    <s v="LN0343"/>
    <s v="C0393"/>
    <s v="B05"/>
    <x v="1"/>
    <n v="100000"/>
    <n v="0.24679999999999999"/>
    <d v="2022-12-17T00:00:00"/>
    <n v="24"/>
    <n v="45"/>
    <n v="0"/>
    <x v="2"/>
    <n v="5321.1099075630673"/>
    <d v="2024-12-17T00:00:00"/>
    <n v="0"/>
    <s v="Undersecured"/>
    <x v="4"/>
    <n v="549"/>
    <s v="High Risk"/>
    <s v="High Risk Exposure"/>
    <s v="High"/>
  </r>
  <r>
    <s v="LN0344"/>
    <s v="C0555"/>
    <s v="B09"/>
    <x v="3"/>
    <n v="1000000"/>
    <n v="0.19600000000000001"/>
    <d v="2023-12-02T00:00:00"/>
    <n v="72"/>
    <n v="10"/>
    <n v="1280000"/>
    <x v="0"/>
    <n v="23721.530863948105"/>
    <d v="2029-12-02T00:00:00"/>
    <n v="1.28"/>
    <s v="Secured"/>
    <x v="8"/>
    <n v="642"/>
    <s v="Medium Risk"/>
    <s v="Normal"/>
    <s v="Normal"/>
  </r>
  <r>
    <s v="LN0345"/>
    <s v="C0210"/>
    <s v="B04"/>
    <x v="3"/>
    <n v="3000000"/>
    <n v="0.15579999999999999"/>
    <d v="2020-02-04T00:00:00"/>
    <n v="24"/>
    <n v="0"/>
    <n v="2730000"/>
    <x v="0"/>
    <n v="146288.0043594575"/>
    <d v="2022-02-04T00:00:00"/>
    <n v="0.91"/>
    <s v="Undersecured"/>
    <x v="14"/>
    <n v="305"/>
    <s v="High Risk"/>
    <s v="High Risk Exposure"/>
    <s v="High"/>
  </r>
  <r>
    <s v="LN0346"/>
    <s v="C0141"/>
    <s v="B09"/>
    <x v="3"/>
    <n v="500000"/>
    <n v="0.1759"/>
    <d v="2023-08-10T00:00:00"/>
    <n v="24"/>
    <n v="120"/>
    <n v="650000"/>
    <x v="1"/>
    <n v="24863.112105693548"/>
    <d v="2025-08-10T00:00:00"/>
    <n v="1.3"/>
    <s v="Secured"/>
    <x v="8"/>
    <n v="615"/>
    <s v="Medium Risk"/>
    <s v="High Risk Exposure"/>
    <s v="Critical"/>
  </r>
  <r>
    <s v="LN0347"/>
    <s v="C0444"/>
    <s v="B04"/>
    <x v="1"/>
    <n v="1000000"/>
    <n v="0.23480000000000001"/>
    <d v="2020-04-09T00:00:00"/>
    <n v="36"/>
    <n v="45"/>
    <n v="0"/>
    <x v="2"/>
    <n v="38960.34363946996"/>
    <d v="2023-04-09T00:00:00"/>
    <n v="0"/>
    <s v="Undersecured"/>
    <x v="14"/>
    <n v="486"/>
    <s v="High Risk"/>
    <s v="High Risk Exposure"/>
    <s v="High"/>
  </r>
  <r>
    <s v="LN0348"/>
    <s v="C0653"/>
    <s v="B01"/>
    <x v="1"/>
    <n v="1000000"/>
    <n v="0.20399999999999999"/>
    <d v="2025-07-04T00:00:00"/>
    <n v="36"/>
    <n v="45"/>
    <n v="0"/>
    <x v="2"/>
    <n v="37367.707512312096"/>
    <d v="2028-07-04T00:00:00"/>
    <n v="0"/>
    <s v="Undersecured"/>
    <x v="1"/>
    <n v="755"/>
    <s v="Very Low Risk"/>
    <s v="High Risk Exposure"/>
    <s v="High"/>
  </r>
  <r>
    <s v="LN0349"/>
    <s v="C0344"/>
    <s v="B05"/>
    <x v="1"/>
    <n v="100000"/>
    <n v="0.24379999999999999"/>
    <d v="2023-08-03T00:00:00"/>
    <n v="36"/>
    <n v="0"/>
    <n v="0"/>
    <x v="0"/>
    <n v="3943.2650957069836"/>
    <d v="2026-08-03T00:00:00"/>
    <n v="0"/>
    <s v="Undersecured"/>
    <x v="4"/>
    <n v="572"/>
    <s v="High Risk"/>
    <s v="High Risk Exposure"/>
    <s v="High"/>
  </r>
  <r>
    <s v="LN0350"/>
    <s v="C0630"/>
    <s v="B13"/>
    <x v="1"/>
    <n v="250000"/>
    <n v="0.2122"/>
    <d v="2022-04-27T00:00:00"/>
    <n v="72"/>
    <n v="0"/>
    <n v="0"/>
    <x v="0"/>
    <n v="6166.307954098892"/>
    <d v="2028-04-27T00:00:00"/>
    <n v="0"/>
    <s v="Undersecured"/>
    <x v="2"/>
    <n v="434"/>
    <s v="High Risk"/>
    <s v="High Risk Exposure"/>
    <s v="High"/>
  </r>
  <r>
    <s v="LN0351"/>
    <s v="C0484"/>
    <s v="B14"/>
    <x v="1"/>
    <n v="500000"/>
    <n v="0.2717"/>
    <d v="2022-10-13T00:00:00"/>
    <n v="72"/>
    <n v="5"/>
    <n v="0"/>
    <x v="0"/>
    <n v="14141.929093225639"/>
    <d v="2028-10-13T00:00:00"/>
    <n v="0"/>
    <s v="Undersecured"/>
    <x v="13"/>
    <n v="686"/>
    <s v="Low Risk"/>
    <s v="High Risk Exposure"/>
    <s v="High"/>
  </r>
  <r>
    <s v="LN0352"/>
    <s v="C0439"/>
    <s v="B15"/>
    <x v="1"/>
    <n v="100000"/>
    <n v="0.25040000000000001"/>
    <d v="2021-01-02T00:00:00"/>
    <n v="48"/>
    <n v="90"/>
    <n v="0"/>
    <x v="2"/>
    <n v="3317.944184011305"/>
    <d v="2025-01-02T00:00:00"/>
    <n v="0"/>
    <s v="Undersecured"/>
    <x v="9"/>
    <n v="466"/>
    <s v="High Risk"/>
    <s v="High Risk Exposure"/>
    <s v="High"/>
  </r>
  <r>
    <s v="LN0353"/>
    <s v="C0061"/>
    <s v="B03"/>
    <x v="1"/>
    <n v="500000"/>
    <n v="0.17319999999999999"/>
    <d v="2021-12-07T00:00:00"/>
    <n v="24"/>
    <n v="0"/>
    <n v="0"/>
    <x v="0"/>
    <n v="24798.080242271259"/>
    <d v="2023-12-07T00:00:00"/>
    <n v="0"/>
    <s v="Undersecured"/>
    <x v="7"/>
    <n v="400"/>
    <s v="High Risk"/>
    <s v="High Risk Exposure"/>
    <s v="High"/>
  </r>
  <r>
    <s v="LN0354"/>
    <s v="C0086"/>
    <s v="B11"/>
    <x v="2"/>
    <n v="80000000"/>
    <n v="9.8400000000000001E-2"/>
    <d v="2022-06-26T00:00:00"/>
    <n v="12"/>
    <n v="20"/>
    <n v="46400000"/>
    <x v="0"/>
    <n v="7027319.2046188833"/>
    <d v="2023-06-26T00:00:00"/>
    <n v="0.57999999999999996"/>
    <s v="Undersecured"/>
    <x v="10"/>
    <n v="521"/>
    <s v="High Risk"/>
    <s v="High Risk Exposure"/>
    <s v="High"/>
  </r>
  <r>
    <s v="LN0355"/>
    <s v="C0107"/>
    <s v="B15"/>
    <x v="1"/>
    <n v="250000"/>
    <n v="0.25119999999999998"/>
    <d v="2021-03-28T00:00:00"/>
    <n v="36"/>
    <n v="0"/>
    <n v="0"/>
    <x v="0"/>
    <n v="9955.8299773833114"/>
    <d v="2024-03-28T00:00:00"/>
    <n v="0"/>
    <s v="Undersecured"/>
    <x v="9"/>
    <n v="717"/>
    <s v="Low Risk"/>
    <s v="High Risk Exposure"/>
    <s v="High"/>
  </r>
  <r>
    <s v="LN0356"/>
    <s v="C0278"/>
    <s v="B02"/>
    <x v="3"/>
    <n v="3000000"/>
    <n v="0.16619999999999999"/>
    <d v="2025-07-08T00:00:00"/>
    <n v="72"/>
    <n v="5"/>
    <n v="4320000"/>
    <x v="0"/>
    <n v="66103.882374637193"/>
    <d v="2031-07-08T00:00:00"/>
    <n v="1.44"/>
    <s v="Secured"/>
    <x v="11"/>
    <n v="666"/>
    <s v="Medium Risk"/>
    <s v="Normal"/>
    <s v="Normal"/>
  </r>
  <r>
    <s v="LN0357"/>
    <s v="C0064"/>
    <s v="B14"/>
    <x v="1"/>
    <n v="100000"/>
    <n v="0.2581"/>
    <d v="2020-12-17T00:00:00"/>
    <n v="12"/>
    <n v="0"/>
    <n v="0"/>
    <x v="0"/>
    <n v="9543.7709040710652"/>
    <d v="2021-12-17T00:00:00"/>
    <n v="0"/>
    <s v="Undersecured"/>
    <x v="13"/>
    <n v="628"/>
    <s v="Medium Risk"/>
    <s v="High Risk Exposure"/>
    <s v="High"/>
  </r>
  <r>
    <s v="LN0358"/>
    <s v="C0610"/>
    <s v="B12"/>
    <x v="2"/>
    <n v="25000000"/>
    <n v="0.12559999999999999"/>
    <d v="2025-07-22T00:00:00"/>
    <n v="36"/>
    <n v="90"/>
    <n v="17000000"/>
    <x v="2"/>
    <n v="837060.28548163327"/>
    <d v="2028-07-22T00:00:00"/>
    <n v="0.68"/>
    <s v="Undersecured"/>
    <x v="12"/>
    <n v="318"/>
    <s v="High Risk"/>
    <s v="High Risk Exposure"/>
    <s v="High"/>
  </r>
  <r>
    <s v="LN0359"/>
    <s v="C0370"/>
    <s v="B11"/>
    <x v="0"/>
    <n v="25000000"/>
    <n v="0.22720000000000001"/>
    <d v="2025-04-22T00:00:00"/>
    <n v="48"/>
    <n v="0"/>
    <n v="17750000"/>
    <x v="0"/>
    <n v="797456.46339717065"/>
    <d v="2029-04-22T00:00:00"/>
    <n v="0.71"/>
    <s v="Undersecured"/>
    <x v="10"/>
    <n v="435"/>
    <s v="High Risk"/>
    <s v="High Risk Exposure"/>
    <s v="High"/>
  </r>
  <r>
    <s v="LN0360"/>
    <s v="C0581"/>
    <s v="B10"/>
    <x v="3"/>
    <n v="6000000"/>
    <n v="0.19600000000000001"/>
    <d v="2023-11-14T00:00:00"/>
    <n v="24"/>
    <n v="0"/>
    <n v="7620000"/>
    <x v="0"/>
    <n v="304203.65104908304"/>
    <d v="2025-11-14T00:00:00"/>
    <n v="1.27"/>
    <s v="Secured"/>
    <x v="3"/>
    <n v="474"/>
    <s v="High Risk"/>
    <s v="High Risk Exposure"/>
    <s v="High"/>
  </r>
  <r>
    <s v="LN0361"/>
    <s v="C0599"/>
    <s v="B04"/>
    <x v="0"/>
    <n v="25000000"/>
    <n v="0.151"/>
    <d v="2020-04-21T00:00:00"/>
    <n v="60"/>
    <n v="0"/>
    <n v="20000000"/>
    <x v="0"/>
    <n v="596061.33864910319"/>
    <d v="2025-04-21T00:00:00"/>
    <n v="0.8"/>
    <s v="Undersecured"/>
    <x v="14"/>
    <n v="835"/>
    <s v="Prime"/>
    <s v="High Risk Exposure"/>
    <s v="High"/>
  </r>
  <r>
    <s v="LN0362"/>
    <s v="C0532"/>
    <s v="B13"/>
    <x v="0"/>
    <n v="1000000"/>
    <n v="0.18429999999999999"/>
    <d v="2020-03-25T00:00:00"/>
    <n v="48"/>
    <n v="20"/>
    <n v="560000"/>
    <x v="0"/>
    <n v="29600.170151886105"/>
    <d v="2024-03-25T00:00:00"/>
    <n v="0.56000000000000005"/>
    <s v="Undersecured"/>
    <x v="2"/>
    <n v="602"/>
    <s v="Medium Risk"/>
    <s v="High Risk Exposure"/>
    <s v="High"/>
  </r>
  <r>
    <s v="LN0363"/>
    <s v="C0088"/>
    <s v="B03"/>
    <x v="0"/>
    <n v="25000000"/>
    <n v="0.17549999999999999"/>
    <d v="2022-03-20T00:00:00"/>
    <n v="36"/>
    <n v="0"/>
    <n v="14500000"/>
    <x v="0"/>
    <n v="898176.35711398255"/>
    <d v="2025-03-20T00:00:00"/>
    <n v="0.57999999999999996"/>
    <s v="Undersecured"/>
    <x v="7"/>
    <n v="523"/>
    <s v="High Risk"/>
    <s v="High Risk Exposure"/>
    <s v="High"/>
  </r>
  <r>
    <s v="LN0364"/>
    <s v="C0632"/>
    <s v="B08"/>
    <x v="1"/>
    <n v="100000"/>
    <n v="0.22209999999999999"/>
    <d v="2022-10-13T00:00:00"/>
    <n v="60"/>
    <n v="0"/>
    <n v="0"/>
    <x v="0"/>
    <n v="2773.8443524211548"/>
    <d v="2027-10-13T00:00:00"/>
    <n v="0"/>
    <s v="Undersecured"/>
    <x v="5"/>
    <n v="580"/>
    <s v="Medium Risk"/>
    <s v="High Risk Exposure"/>
    <s v="High"/>
  </r>
  <r>
    <s v="LN0365"/>
    <s v="C0130"/>
    <s v="B01"/>
    <x v="1"/>
    <n v="100000"/>
    <n v="0.25419999999999998"/>
    <d v="2022-11-12T00:00:00"/>
    <n v="24"/>
    <n v="90"/>
    <n v="0"/>
    <x v="2"/>
    <n v="5358.2480816711677"/>
    <d v="2024-11-12T00:00:00"/>
    <n v="0"/>
    <s v="Undersecured"/>
    <x v="1"/>
    <n v="841"/>
    <s v="Prime"/>
    <s v="High Risk Exposure"/>
    <s v="High"/>
  </r>
  <r>
    <s v="LN0366"/>
    <s v="C0074"/>
    <s v="B10"/>
    <x v="0"/>
    <n v="1000000"/>
    <n v="0.14699999999999999"/>
    <d v="2021-10-01T00:00:00"/>
    <n v="12"/>
    <n v="0"/>
    <n v="1390000"/>
    <x v="0"/>
    <n v="90116.81199923926"/>
    <d v="2022-10-01T00:00:00"/>
    <n v="1.39"/>
    <s v="Secured"/>
    <x v="3"/>
    <n v="540"/>
    <s v="High Risk"/>
    <s v="High Risk Exposure"/>
    <s v="High"/>
  </r>
  <r>
    <s v="LN0367"/>
    <s v="C0469"/>
    <s v="B10"/>
    <x v="1"/>
    <n v="250000"/>
    <n v="0.25790000000000002"/>
    <d v="2020-02-15T00:00:00"/>
    <n v="24"/>
    <n v="0"/>
    <n v="0"/>
    <x v="0"/>
    <n v="13442.177486399405"/>
    <d v="2022-02-15T00:00:00"/>
    <n v="0"/>
    <s v="Undersecured"/>
    <x v="3"/>
    <n v="760"/>
    <s v="Very Low Risk"/>
    <s v="High Risk Exposure"/>
    <s v="High"/>
  </r>
  <r>
    <s v="LN0368"/>
    <s v="C0259"/>
    <s v="B07"/>
    <x v="0"/>
    <n v="1000000"/>
    <n v="0.18540000000000001"/>
    <d v="2024-01-13T00:00:00"/>
    <n v="36"/>
    <n v="45"/>
    <n v="1050000"/>
    <x v="2"/>
    <n v="36423.862475051101"/>
    <d v="2027-01-13T00:00:00"/>
    <n v="1.05"/>
    <s v="Secured"/>
    <x v="0"/>
    <n v="734"/>
    <s v="Low Risk"/>
    <s v="High Risk Exposure"/>
    <s v="High"/>
  </r>
  <r>
    <s v="LN0369"/>
    <s v="C0083"/>
    <s v="B04"/>
    <x v="3"/>
    <n v="3000000"/>
    <n v="0.1933"/>
    <d v="2020-11-19T00:00:00"/>
    <n v="12"/>
    <n v="0"/>
    <n v="2670000"/>
    <x v="0"/>
    <n v="276942.43819577532"/>
    <d v="2021-11-19T00:00:00"/>
    <n v="0.89"/>
    <s v="Undersecured"/>
    <x v="14"/>
    <n v="316"/>
    <s v="High Risk"/>
    <s v="High Risk Exposure"/>
    <s v="High"/>
  </r>
  <r>
    <s v="LN0370"/>
    <s v="C0553"/>
    <s v="B10"/>
    <x v="3"/>
    <n v="500000"/>
    <n v="0.13550000000000001"/>
    <d v="2022-10-26T00:00:00"/>
    <n v="72"/>
    <n v="120"/>
    <n v="495000"/>
    <x v="1"/>
    <n v="10182.776828654976"/>
    <d v="2028-10-26T00:00:00"/>
    <n v="0.99"/>
    <s v="Undersecured"/>
    <x v="3"/>
    <n v="634"/>
    <s v="Medium Risk"/>
    <s v="High Risk Exposure"/>
    <s v="Critical"/>
  </r>
  <r>
    <s v="LN0371"/>
    <s v="C0125"/>
    <s v="B07"/>
    <x v="2"/>
    <n v="25000000"/>
    <n v="0.11210000000000001"/>
    <d v="2020-03-03T00:00:00"/>
    <n v="24"/>
    <n v="10"/>
    <n v="20000000"/>
    <x v="0"/>
    <n v="1167634.8932606883"/>
    <d v="2022-03-03T00:00:00"/>
    <n v="0.8"/>
    <s v="Undersecured"/>
    <x v="0"/>
    <n v="810"/>
    <s v="Prime"/>
    <s v="High Risk Exposure"/>
    <s v="High"/>
  </r>
  <r>
    <s v="LN0372"/>
    <s v="C0511"/>
    <s v="B01"/>
    <x v="1"/>
    <n v="1000000"/>
    <n v="0.27839999999999998"/>
    <d v="2023-04-10T00:00:00"/>
    <n v="24"/>
    <n v="0"/>
    <n v="0"/>
    <x v="0"/>
    <n v="54806.99979049369"/>
    <d v="2025-04-10T00:00:00"/>
    <n v="0"/>
    <s v="Undersecured"/>
    <x v="1"/>
    <n v="607"/>
    <s v="Medium Risk"/>
    <s v="High Risk Exposure"/>
    <s v="High"/>
  </r>
  <r>
    <s v="LN0373"/>
    <s v="C0558"/>
    <s v="B13"/>
    <x v="1"/>
    <n v="500000"/>
    <n v="0.2525"/>
    <d v="2022-11-01T00:00:00"/>
    <n v="24"/>
    <n v="0"/>
    <n v="0"/>
    <x v="0"/>
    <n v="26748.518160596952"/>
    <d v="2024-11-01T00:00:00"/>
    <n v="0"/>
    <s v="Undersecured"/>
    <x v="2"/>
    <n v="350"/>
    <s v="High Risk"/>
    <s v="High Risk Exposure"/>
    <s v="High"/>
  </r>
  <r>
    <s v="LN0374"/>
    <s v="C0013"/>
    <s v="B05"/>
    <x v="2"/>
    <n v="80000000"/>
    <n v="0.1154"/>
    <d v="2021-04-07T00:00:00"/>
    <n v="48"/>
    <n v="0"/>
    <n v="73600000"/>
    <x v="0"/>
    <n v="2088683.6600406822"/>
    <d v="2025-04-07T00:00:00"/>
    <n v="0.92"/>
    <s v="Undersecured"/>
    <x v="4"/>
    <n v="659"/>
    <s v="Medium Risk"/>
    <s v="High Risk Exposure"/>
    <s v="High"/>
  </r>
  <r>
    <s v="LN0375"/>
    <s v="C0659"/>
    <s v="B14"/>
    <x v="1"/>
    <n v="500000"/>
    <n v="0.2402"/>
    <d v="2020-10-16T00:00:00"/>
    <n v="72"/>
    <n v="120"/>
    <n v="0"/>
    <x v="1"/>
    <n v="13169.48654731382"/>
    <d v="2026-10-16T00:00:00"/>
    <n v="0"/>
    <s v="Undersecured"/>
    <x v="13"/>
    <n v="517"/>
    <s v="High Risk"/>
    <s v="High Risk Exposure"/>
    <s v="Critical"/>
  </r>
  <r>
    <s v="LN0376"/>
    <s v="C0655"/>
    <s v="B03"/>
    <x v="2"/>
    <n v="6000000"/>
    <n v="0.13919999999999999"/>
    <d v="2022-07-16T00:00:00"/>
    <n v="24"/>
    <n v="20"/>
    <n v="5520000"/>
    <x v="0"/>
    <n v="287850.59291757777"/>
    <d v="2024-07-16T00:00:00"/>
    <n v="0.92"/>
    <s v="Undersecured"/>
    <x v="7"/>
    <n v="317"/>
    <s v="High Risk"/>
    <s v="High Risk Exposure"/>
    <s v="High"/>
  </r>
  <r>
    <s v="LN0377"/>
    <s v="C0683"/>
    <s v="B01"/>
    <x v="3"/>
    <n v="1000000"/>
    <n v="0.14810000000000001"/>
    <d v="2024-11-08T00:00:00"/>
    <n v="36"/>
    <n v="0"/>
    <n v="910000"/>
    <x v="0"/>
    <n v="34572.357024408637"/>
    <d v="2027-11-08T00:00:00"/>
    <n v="0.91"/>
    <s v="Undersecured"/>
    <x v="1"/>
    <n v="640"/>
    <s v="Medium Risk"/>
    <s v="High Risk Exposure"/>
    <s v="High"/>
  </r>
  <r>
    <s v="LN0378"/>
    <s v="C0413"/>
    <s v="B08"/>
    <x v="1"/>
    <n v="100000"/>
    <n v="0.1681"/>
    <d v="2023-01-08T00:00:00"/>
    <n v="36"/>
    <n v="0"/>
    <n v="0"/>
    <x v="0"/>
    <n v="3555.823930114464"/>
    <d v="2026-01-08T00:00:00"/>
    <n v="0"/>
    <s v="Undersecured"/>
    <x v="5"/>
    <n v="455"/>
    <s v="High Risk"/>
    <s v="High Risk Exposure"/>
    <s v="High"/>
  </r>
  <r>
    <s v="LN0379"/>
    <s v="C0571"/>
    <s v="B01"/>
    <x v="3"/>
    <n v="1000000"/>
    <n v="0.17879999999999999"/>
    <d v="2024-09-06T00:00:00"/>
    <n v="12"/>
    <n v="0"/>
    <n v="730000"/>
    <x v="0"/>
    <n v="91622.892975817842"/>
    <d v="2025-09-06T00:00:00"/>
    <n v="0.73"/>
    <s v="Undersecured"/>
    <x v="1"/>
    <n v="593"/>
    <s v="Medium Risk"/>
    <s v="High Risk Exposure"/>
    <s v="High"/>
  </r>
  <r>
    <s v="LN0380"/>
    <s v="C0010"/>
    <s v="B11"/>
    <x v="0"/>
    <n v="3000000"/>
    <n v="0.1736"/>
    <d v="2023-07-09T00:00:00"/>
    <n v="12"/>
    <n v="0"/>
    <n v="3780000"/>
    <x v="0"/>
    <n v="274127.05127165484"/>
    <d v="2024-07-09T00:00:00"/>
    <n v="1.26"/>
    <s v="Secured"/>
    <x v="10"/>
    <n v="824"/>
    <s v="Prime"/>
    <s v="Normal"/>
    <s v="Normal"/>
  </r>
  <r>
    <s v="LN0381"/>
    <s v="C0634"/>
    <s v="B02"/>
    <x v="0"/>
    <n v="25000000"/>
    <n v="0.23849999999999999"/>
    <d v="2022-10-24T00:00:00"/>
    <n v="48"/>
    <n v="0"/>
    <n v="26500000"/>
    <x v="0"/>
    <n v="812974.14287367242"/>
    <d v="2026-10-24T00:00:00"/>
    <n v="1.06"/>
    <s v="Secured"/>
    <x v="11"/>
    <n v="816"/>
    <s v="Prime"/>
    <s v="Normal"/>
    <s v="Normal"/>
  </r>
  <r>
    <s v="LN0382"/>
    <s v="C0398"/>
    <s v="B12"/>
    <x v="2"/>
    <n v="6000000"/>
    <n v="0.1095"/>
    <d v="2024-01-12T00:00:00"/>
    <n v="72"/>
    <n v="0"/>
    <n v="4980000"/>
    <x v="0"/>
    <n v="114050.8763119144"/>
    <d v="2030-01-12T00:00:00"/>
    <n v="0.83"/>
    <s v="Undersecured"/>
    <x v="12"/>
    <n v="687"/>
    <s v="Low Risk"/>
    <s v="High Risk Exposure"/>
    <s v="High"/>
  </r>
  <r>
    <s v="LN0383"/>
    <s v="C0645"/>
    <s v="B05"/>
    <x v="3"/>
    <n v="6000000"/>
    <n v="0.17480000000000001"/>
    <d v="2023-04-21T00:00:00"/>
    <n v="48"/>
    <n v="0"/>
    <n v="7440000"/>
    <x v="0"/>
    <n v="174623.85281525357"/>
    <d v="2027-04-21T00:00:00"/>
    <n v="1.24"/>
    <s v="Secured"/>
    <x v="4"/>
    <n v="422"/>
    <s v="High Risk"/>
    <s v="High Risk Exposure"/>
    <s v="High"/>
  </r>
  <r>
    <s v="LN0384"/>
    <s v="C0237"/>
    <s v="B13"/>
    <x v="2"/>
    <n v="25000000"/>
    <n v="0.13730000000000001"/>
    <d v="2025-06-18T00:00:00"/>
    <n v="48"/>
    <n v="0"/>
    <n v="14500000"/>
    <x v="0"/>
    <n v="679780.72632864385"/>
    <d v="2029-06-18T00:00:00"/>
    <n v="0.57999999999999996"/>
    <s v="Undersecured"/>
    <x v="2"/>
    <n v="821"/>
    <s v="Prime"/>
    <s v="High Risk Exposure"/>
    <s v="High"/>
  </r>
  <r>
    <s v="LN0385"/>
    <s v="C0106"/>
    <s v="B05"/>
    <x v="0"/>
    <n v="25000000"/>
    <n v="0.23150000000000001"/>
    <d v="2024-10-27T00:00:00"/>
    <n v="72"/>
    <n v="90"/>
    <n v="35500000"/>
    <x v="2"/>
    <n v="645331.01893528213"/>
    <d v="2030-10-27T00:00:00"/>
    <n v="1.42"/>
    <s v="Secured"/>
    <x v="4"/>
    <n v="348"/>
    <s v="High Risk"/>
    <s v="High Risk Exposure"/>
    <s v="High"/>
  </r>
  <r>
    <s v="LN0386"/>
    <s v="C0499"/>
    <s v="B09"/>
    <x v="3"/>
    <n v="1000000"/>
    <n v="0.187"/>
    <d v="2020-01-04T00:00:00"/>
    <n v="60"/>
    <n v="10"/>
    <n v="1250000"/>
    <x v="0"/>
    <n v="25775.759179812514"/>
    <d v="2025-01-04T00:00:00"/>
    <n v="1.25"/>
    <s v="Secured"/>
    <x v="8"/>
    <n v="600"/>
    <s v="Medium Risk"/>
    <s v="Normal"/>
    <s v="Normal"/>
  </r>
  <r>
    <s v="LN0387"/>
    <s v="C0366"/>
    <s v="B09"/>
    <x v="1"/>
    <n v="1000000"/>
    <n v="0.2258"/>
    <d v="2022-12-11T00:00:00"/>
    <n v="24"/>
    <n v="0"/>
    <n v="0"/>
    <x v="0"/>
    <n v="52165.02046009848"/>
    <d v="2024-12-11T00:00:00"/>
    <n v="0"/>
    <s v="Undersecured"/>
    <x v="8"/>
    <n v="603"/>
    <s v="Medium Risk"/>
    <s v="High Risk Exposure"/>
    <s v="High"/>
  </r>
  <r>
    <s v="LN0388"/>
    <s v="C0676"/>
    <s v="B04"/>
    <x v="1"/>
    <n v="250000"/>
    <n v="0.2253"/>
    <d v="2021-06-21T00:00:00"/>
    <n v="60"/>
    <n v="10"/>
    <n v="0"/>
    <x v="0"/>
    <n v="6980.2736654601795"/>
    <d v="2026-06-21T00:00:00"/>
    <n v="0"/>
    <s v="Undersecured"/>
    <x v="14"/>
    <n v="741"/>
    <s v="Very Low Risk"/>
    <s v="High Risk Exposure"/>
    <s v="High"/>
  </r>
  <r>
    <s v="LN0389"/>
    <s v="C0241"/>
    <s v="B04"/>
    <x v="0"/>
    <n v="3000000"/>
    <n v="0.23860000000000001"/>
    <d v="2022-08-21T00:00:00"/>
    <n v="36"/>
    <n v="90"/>
    <n v="3270000"/>
    <x v="2"/>
    <n v="117478.1474265233"/>
    <d v="2025-08-21T00:00:00"/>
    <n v="1.0900000000000001"/>
    <s v="Secured"/>
    <x v="14"/>
    <n v="574"/>
    <s v="High Risk"/>
    <s v="High Risk Exposure"/>
    <s v="High"/>
  </r>
  <r>
    <s v="LN0390"/>
    <s v="C0248"/>
    <s v="B03"/>
    <x v="2"/>
    <n v="6000000"/>
    <n v="0.1135"/>
    <d v="2021-12-15T00:00:00"/>
    <n v="72"/>
    <n v="10"/>
    <n v="9000000"/>
    <x v="0"/>
    <n v="115282.96138325059"/>
    <d v="2027-12-15T00:00:00"/>
    <n v="1.5"/>
    <s v="Secured"/>
    <x v="7"/>
    <n v="313"/>
    <s v="High Risk"/>
    <s v="High Risk Exposure"/>
    <s v="High"/>
  </r>
  <r>
    <s v="LN0391"/>
    <s v="C0668"/>
    <s v="B11"/>
    <x v="3"/>
    <n v="6000000"/>
    <n v="0.13539999999999999"/>
    <d v="2022-07-02T00:00:00"/>
    <n v="60"/>
    <n v="45"/>
    <n v="8940000"/>
    <x v="2"/>
    <n v="138182.75061350947"/>
    <d v="2027-07-02T00:00:00"/>
    <n v="1.49"/>
    <s v="Secured"/>
    <x v="10"/>
    <n v="831"/>
    <s v="Prime"/>
    <s v="High Risk Exposure"/>
    <s v="High"/>
  </r>
  <r>
    <s v="LN0392"/>
    <s v="C0323"/>
    <s v="B13"/>
    <x v="2"/>
    <n v="6000000"/>
    <n v="0.12239999999999999"/>
    <d v="2020-11-20T00:00:00"/>
    <n v="72"/>
    <n v="0"/>
    <n v="4440000"/>
    <x v="0"/>
    <n v="118051.33869936412"/>
    <d v="2026-11-20T00:00:00"/>
    <n v="0.74"/>
    <s v="Undersecured"/>
    <x v="2"/>
    <n v="580"/>
    <s v="Medium Risk"/>
    <s v="High Risk Exposure"/>
    <s v="High"/>
  </r>
  <r>
    <s v="LN0393"/>
    <s v="C0225"/>
    <s v="B10"/>
    <x v="0"/>
    <n v="6000000"/>
    <n v="0.19789999999999999"/>
    <d v="2024-01-13T00:00:00"/>
    <n v="48"/>
    <n v="0"/>
    <n v="8280000"/>
    <x v="0"/>
    <n v="181911.52637339651"/>
    <d v="2028-01-13T00:00:00"/>
    <n v="1.38"/>
    <s v="Secured"/>
    <x v="3"/>
    <n v="708"/>
    <s v="Low Risk"/>
    <s v="Normal"/>
    <s v="Normal"/>
  </r>
  <r>
    <s v="LN0394"/>
    <s v="C0480"/>
    <s v="B09"/>
    <x v="3"/>
    <n v="1000000"/>
    <n v="0.19589999999999999"/>
    <d v="2021-02-10T00:00:00"/>
    <n v="48"/>
    <n v="120"/>
    <n v="900000"/>
    <x v="1"/>
    <n v="30212.344664710312"/>
    <d v="2025-02-10T00:00:00"/>
    <n v="0.9"/>
    <s v="Undersecured"/>
    <x v="8"/>
    <n v="493"/>
    <s v="High Risk"/>
    <s v="High Risk Exposure"/>
    <s v="Critical"/>
  </r>
  <r>
    <s v="LN0395"/>
    <s v="C0150"/>
    <s v="B08"/>
    <x v="3"/>
    <n v="6000000"/>
    <n v="0.16919999999999999"/>
    <d v="2025-04-28T00:00:00"/>
    <n v="60"/>
    <n v="0"/>
    <n v="6960000"/>
    <x v="0"/>
    <n v="148857.48257213325"/>
    <d v="2030-04-28T00:00:00"/>
    <n v="1.1599999999999999"/>
    <s v="Secured"/>
    <x v="5"/>
    <n v="610"/>
    <s v="Medium Risk"/>
    <s v="Normal"/>
    <s v="Normal"/>
  </r>
  <r>
    <s v="LN0396"/>
    <s v="C0435"/>
    <s v="B06"/>
    <x v="1"/>
    <n v="500000"/>
    <n v="0.23319999999999999"/>
    <d v="2024-10-01T00:00:00"/>
    <n v="48"/>
    <n v="10"/>
    <n v="0"/>
    <x v="0"/>
    <n v="16113.524614121223"/>
    <d v="2028-10-01T00:00:00"/>
    <n v="0"/>
    <s v="Undersecured"/>
    <x v="6"/>
    <n v="391"/>
    <s v="High Risk"/>
    <s v="High Risk Exposure"/>
    <s v="High"/>
  </r>
  <r>
    <s v="LN0397"/>
    <s v="C0222"/>
    <s v="B11"/>
    <x v="0"/>
    <n v="25000000"/>
    <n v="0.17630000000000001"/>
    <d v="2023-01-08T00:00:00"/>
    <n v="72"/>
    <n v="20"/>
    <n v="32750000"/>
    <x v="0"/>
    <n v="564978.10255381267"/>
    <d v="2029-01-08T00:00:00"/>
    <n v="1.31"/>
    <s v="Secured"/>
    <x v="10"/>
    <n v="797"/>
    <s v="Very Low Risk"/>
    <s v="Normal"/>
    <s v="Normal"/>
  </r>
  <r>
    <s v="LN0398"/>
    <s v="C0130"/>
    <s v="B10"/>
    <x v="2"/>
    <n v="6000000"/>
    <n v="0.1062"/>
    <d v="2021-03-22T00:00:00"/>
    <n v="60"/>
    <n v="20"/>
    <n v="6960000"/>
    <x v="0"/>
    <n v="129320.36395910534"/>
    <d v="2026-03-22T00:00:00"/>
    <n v="1.1599999999999999"/>
    <s v="Secured"/>
    <x v="3"/>
    <n v="841"/>
    <s v="Prime"/>
    <s v="Normal"/>
    <s v="Normal"/>
  </r>
  <r>
    <s v="LN0399"/>
    <s v="C0376"/>
    <s v="B06"/>
    <x v="0"/>
    <n v="6000000"/>
    <n v="0.22459999999999999"/>
    <d v="2025-07-05T00:00:00"/>
    <n v="60"/>
    <n v="0"/>
    <n v="5160000"/>
    <x v="0"/>
    <n v="167286.52446980204"/>
    <d v="2030-07-05T00:00:00"/>
    <n v="0.86"/>
    <s v="Undersecured"/>
    <x v="6"/>
    <n v="828"/>
    <s v="Prime"/>
    <s v="High Risk Exposure"/>
    <s v="High"/>
  </r>
  <r>
    <s v="LN0400"/>
    <s v="C0240"/>
    <s v="B06"/>
    <x v="1"/>
    <n v="1000000"/>
    <n v="0.16830000000000001"/>
    <d v="2023-08-20T00:00:00"/>
    <n v="12"/>
    <n v="5"/>
    <n v="0"/>
    <x v="0"/>
    <n v="91124.094999926878"/>
    <d v="2024-08-20T00:00:00"/>
    <n v="0"/>
    <s v="Undersecured"/>
    <x v="6"/>
    <n v="764"/>
    <s v="Very Low Risk"/>
    <s v="High Risk Exposure"/>
    <s v="High"/>
  </r>
  <r>
    <s v="LN0401"/>
    <s v="C0041"/>
    <s v="B10"/>
    <x v="3"/>
    <n v="500000"/>
    <n v="0.1497"/>
    <d v="2023-05-03T00:00:00"/>
    <n v="24"/>
    <n v="120"/>
    <n v="320000"/>
    <x v="1"/>
    <n v="24236.197909852432"/>
    <d v="2025-05-03T00:00:00"/>
    <n v="0.64"/>
    <s v="Undersecured"/>
    <x v="3"/>
    <n v="838"/>
    <s v="Prime"/>
    <s v="High Risk Exposure"/>
    <s v="Critical"/>
  </r>
  <r>
    <s v="LN0402"/>
    <s v="C0665"/>
    <s v="B15"/>
    <x v="3"/>
    <n v="1000000"/>
    <n v="0.16980000000000001"/>
    <d v="2022-12-17T00:00:00"/>
    <n v="72"/>
    <n v="10"/>
    <n v="1020000"/>
    <x v="0"/>
    <n v="22234.97279828745"/>
    <d v="2028-12-17T00:00:00"/>
    <n v="1.02"/>
    <s v="Secured"/>
    <x v="9"/>
    <n v="635"/>
    <s v="Medium Risk"/>
    <s v="Normal"/>
    <s v="Normal"/>
  </r>
  <r>
    <s v="LN0403"/>
    <s v="C0187"/>
    <s v="B07"/>
    <x v="0"/>
    <n v="6000000"/>
    <n v="0.1658"/>
    <d v="2022-01-07T00:00:00"/>
    <n v="24"/>
    <n v="10"/>
    <n v="4320000"/>
    <x v="0"/>
    <n v="295444.15345272055"/>
    <d v="2024-01-07T00:00:00"/>
    <n v="0.72"/>
    <s v="Undersecured"/>
    <x v="0"/>
    <n v="603"/>
    <s v="Medium Risk"/>
    <s v="High Risk Exposure"/>
    <s v="High"/>
  </r>
  <r>
    <s v="LN0404"/>
    <s v="C0575"/>
    <s v="B10"/>
    <x v="2"/>
    <n v="6000000"/>
    <n v="0.12590000000000001"/>
    <d v="2024-03-09T00:00:00"/>
    <n v="72"/>
    <n v="10"/>
    <n v="7320000"/>
    <x v="0"/>
    <n v="119150.17536028397"/>
    <d v="2030-03-09T00:00:00"/>
    <n v="1.22"/>
    <s v="Secured"/>
    <x v="3"/>
    <n v="803"/>
    <s v="Prime"/>
    <s v="Normal"/>
    <s v="Normal"/>
  </r>
  <r>
    <s v="LN0405"/>
    <s v="C0114"/>
    <s v="B05"/>
    <x v="3"/>
    <n v="3000000"/>
    <n v="0.16489999999999999"/>
    <d v="2024-04-02T00:00:00"/>
    <n v="60"/>
    <n v="0"/>
    <n v="3540000"/>
    <x v="0"/>
    <n v="73737.528610616995"/>
    <d v="2029-04-02T00:00:00"/>
    <n v="1.18"/>
    <s v="Secured"/>
    <x v="4"/>
    <n v="496"/>
    <s v="High Risk"/>
    <s v="High Risk Exposure"/>
    <s v="High"/>
  </r>
  <r>
    <s v="LN0406"/>
    <s v="C0381"/>
    <s v="B05"/>
    <x v="3"/>
    <n v="3000000"/>
    <n v="0.1716"/>
    <d v="2020-06-05T00:00:00"/>
    <n v="48"/>
    <n v="90"/>
    <n v="3840000"/>
    <x v="2"/>
    <n v="86813.661595457612"/>
    <d v="2024-06-05T00:00:00"/>
    <n v="1.28"/>
    <s v="Secured"/>
    <x v="4"/>
    <n v="350"/>
    <s v="High Risk"/>
    <s v="High Risk Exposure"/>
    <s v="High"/>
  </r>
  <r>
    <s v="LN0407"/>
    <s v="C0293"/>
    <s v="B15"/>
    <x v="2"/>
    <n v="6000000"/>
    <n v="0.10970000000000001"/>
    <d v="2020-06-13T00:00:00"/>
    <n v="24"/>
    <n v="20"/>
    <n v="5820000"/>
    <x v="0"/>
    <n v="279563.46722754004"/>
    <d v="2022-06-13T00:00:00"/>
    <n v="0.97"/>
    <s v="Undersecured"/>
    <x v="9"/>
    <n v="679"/>
    <s v="Low Risk"/>
    <s v="High Risk Exposure"/>
    <s v="High"/>
  </r>
  <r>
    <s v="LN0408"/>
    <s v="C0518"/>
    <s v="B06"/>
    <x v="2"/>
    <n v="25000000"/>
    <n v="0.1313"/>
    <d v="2022-07-12T00:00:00"/>
    <n v="60"/>
    <n v="0"/>
    <n v="14750000"/>
    <x v="0"/>
    <n v="570491.91695150116"/>
    <d v="2027-07-12T00:00:00"/>
    <n v="0.59"/>
    <s v="Undersecured"/>
    <x v="6"/>
    <n v="793"/>
    <s v="Very Low Risk"/>
    <s v="High Risk Exposure"/>
    <s v="High"/>
  </r>
  <r>
    <s v="LN0409"/>
    <s v="C0533"/>
    <s v="B10"/>
    <x v="2"/>
    <n v="80000000"/>
    <n v="0.12330000000000001"/>
    <d v="2024-08-03T00:00:00"/>
    <n v="12"/>
    <n v="0"/>
    <n v="40800000"/>
    <x v="0"/>
    <n v="7120259.1595787471"/>
    <d v="2025-08-03T00:00:00"/>
    <n v="0.51"/>
    <s v="Undersecured"/>
    <x v="3"/>
    <n v="797"/>
    <s v="Very Low Risk"/>
    <s v="High Risk Exposure"/>
    <s v="High"/>
  </r>
  <r>
    <s v="LN0410"/>
    <s v="C0621"/>
    <s v="B06"/>
    <x v="2"/>
    <n v="6000000"/>
    <n v="0.11890000000000001"/>
    <d v="2023-06-26T00:00:00"/>
    <n v="36"/>
    <n v="120"/>
    <n v="3780000"/>
    <x v="1"/>
    <n v="198970.77688467471"/>
    <d v="2026-06-26T00:00:00"/>
    <n v="0.63"/>
    <s v="Undersecured"/>
    <x v="6"/>
    <n v="702"/>
    <s v="Low Risk"/>
    <s v="High Risk Exposure"/>
    <s v="Critical"/>
  </r>
  <r>
    <s v="LN0411"/>
    <s v="C0477"/>
    <s v="B01"/>
    <x v="3"/>
    <n v="500000"/>
    <n v="0.16569999999999999"/>
    <d v="2022-03-21T00:00:00"/>
    <n v="24"/>
    <n v="90"/>
    <n v="530000"/>
    <x v="2"/>
    <n v="24617.949343998924"/>
    <d v="2024-03-21T00:00:00"/>
    <n v="1.06"/>
    <s v="Secured"/>
    <x v="1"/>
    <n v="518"/>
    <s v="High Risk"/>
    <s v="High Risk Exposure"/>
    <s v="High"/>
  </r>
  <r>
    <s v="LN0412"/>
    <s v="C0458"/>
    <s v="B02"/>
    <x v="0"/>
    <n v="6000000"/>
    <n v="0.19789999999999999"/>
    <d v="2025-12-24T00:00:00"/>
    <n v="60"/>
    <n v="45"/>
    <n v="3720000"/>
    <x v="2"/>
    <n v="158263.03231580291"/>
    <d v="2030-12-24T00:00:00"/>
    <n v="0.62"/>
    <s v="Undersecured"/>
    <x v="11"/>
    <n v="698"/>
    <s v="Low Risk"/>
    <s v="High Risk Exposure"/>
    <s v="High"/>
  </r>
  <r>
    <s v="LN0413"/>
    <s v="C0537"/>
    <s v="B03"/>
    <x v="1"/>
    <n v="250000"/>
    <n v="0.26690000000000003"/>
    <d v="2025-04-17T00:00:00"/>
    <n v="60"/>
    <n v="5"/>
    <n v="0"/>
    <x v="0"/>
    <n v="7587.5787836769623"/>
    <d v="2030-04-17T00:00:00"/>
    <n v="0"/>
    <s v="Undersecured"/>
    <x v="7"/>
    <n v="595"/>
    <s v="Medium Risk"/>
    <s v="High Risk Exposure"/>
    <s v="High"/>
  </r>
  <r>
    <s v="LN0414"/>
    <s v="C0245"/>
    <s v="B07"/>
    <x v="1"/>
    <n v="100000"/>
    <n v="0.21920000000000001"/>
    <d v="2021-11-18T00:00:00"/>
    <n v="36"/>
    <n v="120"/>
    <n v="0"/>
    <x v="1"/>
    <n v="3814.9079173872783"/>
    <d v="2024-11-18T00:00:00"/>
    <n v="0"/>
    <s v="Undersecured"/>
    <x v="0"/>
    <n v="366"/>
    <s v="High Risk"/>
    <s v="High Risk Exposure"/>
    <s v="Critical"/>
  </r>
  <r>
    <s v="LN0415"/>
    <s v="C0223"/>
    <s v="B14"/>
    <x v="1"/>
    <n v="500000"/>
    <n v="0.25659999999999999"/>
    <d v="2024-04-12T00:00:00"/>
    <n v="36"/>
    <n v="10"/>
    <n v="0"/>
    <x v="0"/>
    <n v="20054.861466155657"/>
    <d v="2027-04-12T00:00:00"/>
    <n v="0"/>
    <s v="Undersecured"/>
    <x v="13"/>
    <n v="731"/>
    <s v="Low Risk"/>
    <s v="High Risk Exposure"/>
    <s v="High"/>
  </r>
  <r>
    <s v="LN0416"/>
    <s v="C0622"/>
    <s v="B05"/>
    <x v="1"/>
    <n v="1000000"/>
    <n v="0.1842"/>
    <d v="2020-03-01T00:00:00"/>
    <n v="48"/>
    <n v="20"/>
    <n v="0"/>
    <x v="0"/>
    <n v="29594.922809680975"/>
    <d v="2024-03-01T00:00:00"/>
    <n v="0"/>
    <s v="Undersecured"/>
    <x v="4"/>
    <n v="634"/>
    <s v="Medium Risk"/>
    <s v="High Risk Exposure"/>
    <s v="High"/>
  </r>
  <r>
    <s v="LN0417"/>
    <s v="C0236"/>
    <s v="B06"/>
    <x v="1"/>
    <n v="100000"/>
    <n v="0.21829999999999999"/>
    <d v="2020-02-14T00:00:00"/>
    <n v="36"/>
    <n v="0"/>
    <n v="0"/>
    <x v="0"/>
    <n v="3810.2563133333065"/>
    <d v="2023-02-14T00:00:00"/>
    <n v="0"/>
    <s v="Undersecured"/>
    <x v="6"/>
    <n v="325"/>
    <s v="High Risk"/>
    <s v="High Risk Exposure"/>
    <s v="High"/>
  </r>
  <r>
    <s v="LN0418"/>
    <s v="C0486"/>
    <s v="B14"/>
    <x v="1"/>
    <n v="500000"/>
    <n v="0.19989999999999999"/>
    <d v="2023-08-20T00:00:00"/>
    <n v="48"/>
    <n v="90"/>
    <n v="0"/>
    <x v="2"/>
    <n v="15212.517325898467"/>
    <d v="2027-08-20T00:00:00"/>
    <n v="0"/>
    <s v="Undersecured"/>
    <x v="13"/>
    <n v="559"/>
    <s v="High Risk"/>
    <s v="High Risk Exposure"/>
    <s v="High"/>
  </r>
  <r>
    <s v="LN0419"/>
    <s v="C0075"/>
    <s v="B03"/>
    <x v="3"/>
    <n v="3000000"/>
    <n v="0.1731"/>
    <d v="2021-12-24T00:00:00"/>
    <n v="48"/>
    <n v="0"/>
    <n v="2910000"/>
    <x v="0"/>
    <n v="87047.024895170893"/>
    <d v="2025-12-24T00:00:00"/>
    <n v="0.97"/>
    <s v="Undersecured"/>
    <x v="7"/>
    <n v="753"/>
    <s v="Very Low Risk"/>
    <s v="High Risk Exposure"/>
    <s v="High"/>
  </r>
  <r>
    <s v="LN0420"/>
    <s v="C0367"/>
    <s v="B03"/>
    <x v="1"/>
    <n v="100000"/>
    <n v="0.23350000000000001"/>
    <d v="2022-02-28T00:00:00"/>
    <n v="36"/>
    <n v="10"/>
    <n v="0"/>
    <x v="0"/>
    <n v="3889.2379075874615"/>
    <d v="2025-02-28T00:00:00"/>
    <n v="0"/>
    <s v="Undersecured"/>
    <x v="7"/>
    <n v="309"/>
    <s v="High Risk"/>
    <s v="High Risk Exposure"/>
    <s v="High"/>
  </r>
  <r>
    <s v="LN0421"/>
    <s v="C0672"/>
    <s v="B13"/>
    <x v="3"/>
    <n v="3000000"/>
    <n v="0.17319999999999999"/>
    <d v="2020-07-05T00:00:00"/>
    <n v="24"/>
    <n v="0"/>
    <n v="2340000"/>
    <x v="0"/>
    <n v="148788.48145362755"/>
    <d v="2022-07-05T00:00:00"/>
    <n v="0.78"/>
    <s v="Undersecured"/>
    <x v="2"/>
    <n v="656"/>
    <s v="Medium Risk"/>
    <s v="High Risk Exposure"/>
    <s v="High"/>
  </r>
  <r>
    <s v="LN0422"/>
    <s v="C0236"/>
    <s v="B05"/>
    <x v="1"/>
    <n v="100000"/>
    <n v="0.2009"/>
    <d v="2023-05-21T00:00:00"/>
    <n v="24"/>
    <n v="0"/>
    <n v="0"/>
    <x v="0"/>
    <n v="5093.9780057246453"/>
    <d v="2025-05-21T00:00:00"/>
    <n v="0"/>
    <s v="Undersecured"/>
    <x v="4"/>
    <n v="325"/>
    <s v="High Risk"/>
    <s v="High Risk Exposure"/>
    <s v="High"/>
  </r>
  <r>
    <s v="LN0423"/>
    <s v="C0261"/>
    <s v="B02"/>
    <x v="0"/>
    <n v="6000000"/>
    <n v="0.20749999999999999"/>
    <d v="2022-05-28T00:00:00"/>
    <n v="36"/>
    <n v="0"/>
    <n v="6000000"/>
    <x v="0"/>
    <n v="225280.97879537032"/>
    <d v="2025-05-28T00:00:00"/>
    <n v="1"/>
    <s v="Secured"/>
    <x v="11"/>
    <n v="844"/>
    <s v="Prime"/>
    <s v="Normal"/>
    <s v="Normal"/>
  </r>
  <r>
    <s v="LN0424"/>
    <s v="C0111"/>
    <s v="B15"/>
    <x v="2"/>
    <n v="25000000"/>
    <n v="0.1011"/>
    <d v="2021-04-16T00:00:00"/>
    <n v="36"/>
    <n v="0"/>
    <n v="36000000"/>
    <x v="0"/>
    <n v="807971.40544700669"/>
    <d v="2024-04-16T00:00:00"/>
    <n v="1.44"/>
    <s v="Secured"/>
    <x v="9"/>
    <n v="377"/>
    <s v="High Risk"/>
    <s v="High Risk Exposure"/>
    <s v="High"/>
  </r>
  <r>
    <s v="LN0425"/>
    <s v="C0343"/>
    <s v="B15"/>
    <x v="3"/>
    <n v="500000"/>
    <n v="0.1792"/>
    <d v="2021-02-19T00:00:00"/>
    <n v="48"/>
    <n v="20"/>
    <n v="750000"/>
    <x v="0"/>
    <n v="14666.606311403944"/>
    <d v="2025-02-19T00:00:00"/>
    <n v="1.5"/>
    <s v="Secured"/>
    <x v="9"/>
    <n v="655"/>
    <s v="Medium Risk"/>
    <s v="Normal"/>
    <s v="Normal"/>
  </r>
  <r>
    <s v="LN0426"/>
    <s v="C0179"/>
    <s v="B07"/>
    <x v="2"/>
    <n v="25000000"/>
    <n v="9.98E-2"/>
    <d v="2022-09-03T00:00:00"/>
    <n v="72"/>
    <n v="20"/>
    <n v="21750000"/>
    <x v="0"/>
    <n v="462893.84315011062"/>
    <d v="2028-09-03T00:00:00"/>
    <n v="0.87"/>
    <s v="Undersecured"/>
    <x v="0"/>
    <n v="811"/>
    <s v="Prime"/>
    <s v="High Risk Exposure"/>
    <s v="High"/>
  </r>
  <r>
    <s v="LN0427"/>
    <s v="C0676"/>
    <s v="B05"/>
    <x v="0"/>
    <n v="25000000"/>
    <n v="0.16300000000000001"/>
    <d v="2022-09-28T00:00:00"/>
    <n v="72"/>
    <n v="10"/>
    <n v="19500000"/>
    <x v="0"/>
    <n v="546433.7080475433"/>
    <d v="2028-09-28T00:00:00"/>
    <n v="0.78"/>
    <s v="Undersecured"/>
    <x v="4"/>
    <n v="741"/>
    <s v="Very Low Risk"/>
    <s v="High Risk Exposure"/>
    <s v="High"/>
  </r>
  <r>
    <s v="LN0428"/>
    <s v="C0009"/>
    <s v="B06"/>
    <x v="0"/>
    <n v="6000000"/>
    <n v="0.218"/>
    <d v="2025-03-20T00:00:00"/>
    <n v="12"/>
    <n v="0"/>
    <n v="5760000"/>
    <x v="0"/>
    <n v="560988.9091822193"/>
    <d v="2026-03-20T00:00:00"/>
    <n v="0.96"/>
    <s v="Undersecured"/>
    <x v="6"/>
    <n v="847"/>
    <s v="Prime"/>
    <s v="High Risk Exposure"/>
    <s v="High"/>
  </r>
  <r>
    <s v="LN0429"/>
    <s v="C0104"/>
    <s v="B13"/>
    <x v="0"/>
    <n v="25000000"/>
    <n v="0.21029999999999999"/>
    <d v="2025-05-17T00:00:00"/>
    <n v="24"/>
    <n v="120"/>
    <n v="33500000"/>
    <x v="1"/>
    <n v="1285009.6867997909"/>
    <d v="2027-05-17T00:00:00"/>
    <n v="1.34"/>
    <s v="Secured"/>
    <x v="2"/>
    <n v="302"/>
    <s v="High Risk"/>
    <s v="High Risk Exposure"/>
    <s v="Critical"/>
  </r>
  <r>
    <s v="LN0430"/>
    <s v="C0375"/>
    <s v="B04"/>
    <x v="3"/>
    <n v="1000000"/>
    <n v="0.15579999999999999"/>
    <d v="2024-10-26T00:00:00"/>
    <n v="36"/>
    <n v="0"/>
    <n v="1190000"/>
    <x v="0"/>
    <n v="34950.03022938138"/>
    <d v="2027-10-26T00:00:00"/>
    <n v="1.19"/>
    <s v="Secured"/>
    <x v="14"/>
    <n v="411"/>
    <s v="High Risk"/>
    <s v="High Risk Exposure"/>
    <s v="High"/>
  </r>
  <r>
    <s v="LN0431"/>
    <s v="C0223"/>
    <s v="B11"/>
    <x v="1"/>
    <n v="500000"/>
    <n v="0.23150000000000001"/>
    <d v="2020-06-05T00:00:00"/>
    <n v="60"/>
    <n v="0"/>
    <n v="0"/>
    <x v="0"/>
    <n v="14138.359331157499"/>
    <d v="2025-06-05T00:00:00"/>
    <n v="0"/>
    <s v="Undersecured"/>
    <x v="10"/>
    <n v="731"/>
    <s v="Low Risk"/>
    <s v="High Risk Exposure"/>
    <s v="High"/>
  </r>
  <r>
    <s v="LN0432"/>
    <s v="C0648"/>
    <s v="B05"/>
    <x v="3"/>
    <n v="1000000"/>
    <n v="0.18759999999999999"/>
    <d v="2025-01-09T00:00:00"/>
    <n v="36"/>
    <n v="0"/>
    <n v="880000"/>
    <x v="0"/>
    <n v="36534.790249294565"/>
    <d v="2028-01-09T00:00:00"/>
    <n v="0.88"/>
    <s v="Undersecured"/>
    <x v="4"/>
    <n v="794"/>
    <s v="Very Low Risk"/>
    <s v="High Risk Exposure"/>
    <s v="High"/>
  </r>
  <r>
    <s v="LN0433"/>
    <s v="C0212"/>
    <s v="B05"/>
    <x v="0"/>
    <n v="25000000"/>
    <n v="0.21659999999999999"/>
    <d v="2024-08-26T00:00:00"/>
    <n v="72"/>
    <n v="20"/>
    <n v="17750000"/>
    <x v="0"/>
    <n v="623117.7157910727"/>
    <d v="2030-08-26T00:00:00"/>
    <n v="0.71"/>
    <s v="Undersecured"/>
    <x v="4"/>
    <n v="463"/>
    <s v="High Risk"/>
    <s v="High Risk Exposure"/>
    <s v="High"/>
  </r>
  <r>
    <s v="LN0434"/>
    <s v="C0007"/>
    <s v="B01"/>
    <x v="0"/>
    <n v="3000000"/>
    <n v="0.14749999999999999"/>
    <d v="2022-03-25T00:00:00"/>
    <n v="36"/>
    <n v="5"/>
    <n v="3750000"/>
    <x v="0"/>
    <n v="103629.08301161297"/>
    <d v="2025-03-25T00:00:00"/>
    <n v="1.25"/>
    <s v="Secured"/>
    <x v="1"/>
    <n v="366"/>
    <s v="High Risk"/>
    <s v="High Risk Exposure"/>
    <s v="High"/>
  </r>
  <r>
    <s v="LN0435"/>
    <s v="C0306"/>
    <s v="B04"/>
    <x v="1"/>
    <n v="1000000"/>
    <n v="0.26279999999999998"/>
    <d v="2022-02-19T00:00:00"/>
    <n v="60"/>
    <n v="0"/>
    <n v="0"/>
    <x v="0"/>
    <n v="30106.457061290468"/>
    <d v="2027-02-19T00:00:00"/>
    <n v="0"/>
    <s v="Undersecured"/>
    <x v="14"/>
    <n v="457"/>
    <s v="High Risk"/>
    <s v="High Risk Exposure"/>
    <s v="High"/>
  </r>
  <r>
    <s v="LN0436"/>
    <s v="C0308"/>
    <s v="B11"/>
    <x v="2"/>
    <n v="6000000"/>
    <n v="0.13020000000000001"/>
    <d v="2023-09-26T00:00:00"/>
    <n v="24"/>
    <n v="10"/>
    <n v="7860000"/>
    <x v="0"/>
    <n v="285307.30356816773"/>
    <d v="2025-09-26T00:00:00"/>
    <n v="1.31"/>
    <s v="Secured"/>
    <x v="10"/>
    <n v="625"/>
    <s v="Medium Risk"/>
    <s v="Normal"/>
    <s v="Normal"/>
  </r>
  <r>
    <s v="LN0437"/>
    <s v="C0465"/>
    <s v="B10"/>
    <x v="3"/>
    <n v="1000000"/>
    <n v="0.14019999999999999"/>
    <d v="2020-11-01T00:00:00"/>
    <n v="60"/>
    <n v="45"/>
    <n v="530000"/>
    <x v="2"/>
    <n v="23278.620894550513"/>
    <d v="2025-11-01T00:00:00"/>
    <n v="0.53"/>
    <s v="Undersecured"/>
    <x v="3"/>
    <n v="358"/>
    <s v="High Risk"/>
    <s v="High Risk Exposure"/>
    <s v="High"/>
  </r>
  <r>
    <s v="LN0438"/>
    <s v="C0366"/>
    <s v="B09"/>
    <x v="0"/>
    <n v="1000000"/>
    <n v="0.14410000000000001"/>
    <d v="2020-12-11T00:00:00"/>
    <n v="36"/>
    <n v="0"/>
    <n v="990000"/>
    <x v="0"/>
    <n v="34377.100755233449"/>
    <d v="2023-12-11T00:00:00"/>
    <n v="0.99"/>
    <s v="Undersecured"/>
    <x v="8"/>
    <n v="603"/>
    <s v="Medium Risk"/>
    <s v="High Risk Exposure"/>
    <s v="High"/>
  </r>
  <r>
    <s v="LN0439"/>
    <s v="C0417"/>
    <s v="B11"/>
    <x v="2"/>
    <n v="25000000"/>
    <n v="0.12740000000000001"/>
    <d v="2024-10-04T00:00:00"/>
    <n v="60"/>
    <n v="120"/>
    <n v="21250000"/>
    <x v="1"/>
    <n v="565504.95263957337"/>
    <d v="2029-10-04T00:00:00"/>
    <n v="0.85"/>
    <s v="Undersecured"/>
    <x v="10"/>
    <n v="413"/>
    <s v="High Risk"/>
    <s v="High Risk Exposure"/>
    <s v="Critical"/>
  </r>
  <r>
    <s v="LN0440"/>
    <s v="C0637"/>
    <s v="B09"/>
    <x v="0"/>
    <n v="25000000"/>
    <n v="0.15579999999999999"/>
    <d v="2022-05-04T00:00:00"/>
    <n v="24"/>
    <n v="0"/>
    <n v="23750000"/>
    <x v="0"/>
    <n v="1219066.7029954791"/>
    <d v="2024-05-04T00:00:00"/>
    <n v="0.95"/>
    <s v="Undersecured"/>
    <x v="8"/>
    <n v="444"/>
    <s v="High Risk"/>
    <s v="High Risk Exposure"/>
    <s v="High"/>
  </r>
  <r>
    <s v="LN0441"/>
    <s v="C0205"/>
    <s v="B05"/>
    <x v="2"/>
    <n v="6000000"/>
    <n v="9.7299999999999998E-2"/>
    <d v="2020-09-05T00:00:00"/>
    <n v="36"/>
    <n v="5"/>
    <n v="8040000"/>
    <x v="0"/>
    <n v="192843.43397710504"/>
    <d v="2023-09-05T00:00:00"/>
    <n v="1.34"/>
    <s v="Secured"/>
    <x v="4"/>
    <n v="771"/>
    <s v="Very Low Risk"/>
    <s v="Normal"/>
    <s v="Normal"/>
  </r>
  <r>
    <s v="LN0442"/>
    <s v="C0109"/>
    <s v="B01"/>
    <x v="0"/>
    <n v="25000000"/>
    <n v="0.2366"/>
    <d v="2020-03-02T00:00:00"/>
    <n v="12"/>
    <n v="45"/>
    <n v="15750000"/>
    <x v="2"/>
    <n v="2359878.3383673979"/>
    <d v="2021-03-02T00:00:00"/>
    <n v="0.63"/>
    <s v="Undersecured"/>
    <x v="1"/>
    <n v="459"/>
    <s v="High Risk"/>
    <s v="High Risk Exposure"/>
    <s v="High"/>
  </r>
  <r>
    <s v="LN0443"/>
    <s v="C0162"/>
    <s v="B10"/>
    <x v="3"/>
    <n v="6000000"/>
    <n v="0.1923"/>
    <d v="2023-03-04T00:00:00"/>
    <n v="36"/>
    <n v="0"/>
    <n v="5940000"/>
    <x v="0"/>
    <n v="220634.46874624328"/>
    <d v="2026-03-04T00:00:00"/>
    <n v="0.99"/>
    <s v="Undersecured"/>
    <x v="3"/>
    <n v="734"/>
    <s v="Low Risk"/>
    <s v="High Risk Exposure"/>
    <s v="High"/>
  </r>
  <r>
    <s v="LN0444"/>
    <s v="C0302"/>
    <s v="B13"/>
    <x v="3"/>
    <n v="3000000"/>
    <n v="0.19089999999999999"/>
    <d v="2020-03-26T00:00:00"/>
    <n v="24"/>
    <n v="5"/>
    <n v="4320000"/>
    <x v="0"/>
    <n v="151357.0639705215"/>
    <d v="2022-03-26T00:00:00"/>
    <n v="1.44"/>
    <s v="Secured"/>
    <x v="2"/>
    <n v="333"/>
    <s v="High Risk"/>
    <s v="High Risk Exposure"/>
    <s v="High"/>
  </r>
  <r>
    <s v="LN0445"/>
    <s v="C0656"/>
    <s v="B04"/>
    <x v="3"/>
    <n v="6000000"/>
    <n v="0.19009999999999999"/>
    <d v="2024-11-27T00:00:00"/>
    <n v="36"/>
    <n v="0"/>
    <n v="7200000"/>
    <x v="0"/>
    <n v="219966.45713701489"/>
    <d v="2027-11-27T00:00:00"/>
    <n v="1.2"/>
    <s v="Secured"/>
    <x v="14"/>
    <n v="485"/>
    <s v="High Risk"/>
    <s v="High Risk Exposure"/>
    <s v="High"/>
  </r>
  <r>
    <s v="LN0446"/>
    <s v="C0621"/>
    <s v="B06"/>
    <x v="0"/>
    <n v="25000000"/>
    <n v="0.15379999999999999"/>
    <d v="2022-12-09T00:00:00"/>
    <n v="36"/>
    <n v="0"/>
    <n v="29250000"/>
    <x v="0"/>
    <n v="871292.62972375692"/>
    <d v="2025-12-09T00:00:00"/>
    <n v="1.17"/>
    <s v="Secured"/>
    <x v="6"/>
    <n v="702"/>
    <s v="Low Risk"/>
    <s v="Normal"/>
    <s v="Normal"/>
  </r>
  <r>
    <s v="LN0447"/>
    <s v="C0343"/>
    <s v="B14"/>
    <x v="3"/>
    <n v="500000"/>
    <n v="0.1676"/>
    <d v="2024-03-11T00:00:00"/>
    <n v="48"/>
    <n v="0"/>
    <n v="480000"/>
    <x v="0"/>
    <n v="14365.512208735565"/>
    <d v="2028-03-11T00:00:00"/>
    <n v="0.96"/>
    <s v="Undersecured"/>
    <x v="13"/>
    <n v="655"/>
    <s v="Medium Risk"/>
    <s v="High Risk Exposure"/>
    <s v="High"/>
  </r>
  <r>
    <s v="LN0448"/>
    <s v="C0387"/>
    <s v="B09"/>
    <x v="0"/>
    <n v="1000000"/>
    <n v="0.16"/>
    <d v="2024-08-04T00:00:00"/>
    <n v="12"/>
    <n v="10"/>
    <n v="1020000"/>
    <x v="0"/>
    <n v="90730.857859207987"/>
    <d v="2025-08-04T00:00:00"/>
    <n v="1.02"/>
    <s v="Secured"/>
    <x v="8"/>
    <n v="718"/>
    <s v="Low Risk"/>
    <s v="Normal"/>
    <s v="Normal"/>
  </r>
  <r>
    <s v="LN0449"/>
    <s v="C0141"/>
    <s v="B05"/>
    <x v="2"/>
    <n v="25000000"/>
    <n v="0.1103"/>
    <d v="2022-08-11T00:00:00"/>
    <n v="12"/>
    <n v="0"/>
    <n v="17750000"/>
    <x v="0"/>
    <n v="2209891.3166174381"/>
    <d v="2023-08-11T00:00:00"/>
    <n v="0.71"/>
    <s v="Undersecured"/>
    <x v="4"/>
    <n v="615"/>
    <s v="Medium Risk"/>
    <s v="High Risk Exposure"/>
    <s v="High"/>
  </r>
  <r>
    <s v="LN0450"/>
    <s v="C0389"/>
    <s v="B05"/>
    <x v="2"/>
    <n v="6000000"/>
    <n v="0.1376"/>
    <d v="2025-03-14T00:00:00"/>
    <n v="72"/>
    <n v="10"/>
    <n v="3660000"/>
    <x v="0"/>
    <n v="122864.68419116687"/>
    <d v="2031-03-14T00:00:00"/>
    <n v="0.61"/>
    <s v="Undersecured"/>
    <x v="4"/>
    <n v="751"/>
    <s v="Very Low Risk"/>
    <s v="High Risk Exposure"/>
    <s v="High"/>
  </r>
  <r>
    <s v="LN0451"/>
    <s v="C0480"/>
    <s v="B12"/>
    <x v="0"/>
    <n v="1000000"/>
    <n v="0.1757"/>
    <d v="2022-12-08T00:00:00"/>
    <n v="48"/>
    <n v="45"/>
    <n v="600000"/>
    <x v="2"/>
    <n v="29150.783405976585"/>
    <d v="2026-12-08T00:00:00"/>
    <n v="0.6"/>
    <s v="Undersecured"/>
    <x v="12"/>
    <n v="493"/>
    <s v="High Risk"/>
    <s v="High Risk Exposure"/>
    <s v="High"/>
  </r>
  <r>
    <s v="LN0452"/>
    <s v="C0429"/>
    <s v="B15"/>
    <x v="0"/>
    <n v="6000000"/>
    <n v="0.15659999999999999"/>
    <d v="2023-06-06T00:00:00"/>
    <n v="48"/>
    <n v="20"/>
    <n v="7980000"/>
    <x v="0"/>
    <n v="168998.70857663773"/>
    <d v="2027-06-06T00:00:00"/>
    <n v="1.33"/>
    <s v="Secured"/>
    <x v="9"/>
    <n v="627"/>
    <s v="Medium Risk"/>
    <s v="Normal"/>
    <s v="Normal"/>
  </r>
  <r>
    <s v="LN0453"/>
    <s v="C0048"/>
    <s v="B10"/>
    <x v="3"/>
    <n v="500000"/>
    <n v="0.18410000000000001"/>
    <d v="2023-01-10T00:00:00"/>
    <n v="60"/>
    <n v="45"/>
    <n v="680000"/>
    <x v="2"/>
    <n v="12808.49654409518"/>
    <d v="2028-01-10T00:00:00"/>
    <n v="1.36"/>
    <s v="Secured"/>
    <x v="3"/>
    <n v="850"/>
    <s v="Prime"/>
    <s v="High Risk Exposure"/>
    <s v="High"/>
  </r>
  <r>
    <s v="LN0454"/>
    <s v="C0227"/>
    <s v="B05"/>
    <x v="1"/>
    <n v="250000"/>
    <n v="0.18379999999999999"/>
    <d v="2023-03-28T00:00:00"/>
    <n v="72"/>
    <n v="20"/>
    <n v="0"/>
    <x v="0"/>
    <n v="5755.7834895320511"/>
    <d v="2029-03-28T00:00:00"/>
    <n v="0"/>
    <s v="Undersecured"/>
    <x v="4"/>
    <n v="660"/>
    <s v="Medium Risk"/>
    <s v="High Risk Exposure"/>
    <s v="High"/>
  </r>
  <r>
    <s v="LN0455"/>
    <s v="C0396"/>
    <s v="B10"/>
    <x v="3"/>
    <n v="6000000"/>
    <n v="0.14779999999999999"/>
    <d v="2022-01-04T00:00:00"/>
    <n v="48"/>
    <n v="45"/>
    <n v="3000000"/>
    <x v="2"/>
    <n v="166316.1361209751"/>
    <d v="2026-01-04T00:00:00"/>
    <n v="0.5"/>
    <s v="Undersecured"/>
    <x v="3"/>
    <n v="780"/>
    <s v="Very Low Risk"/>
    <s v="High Risk Exposure"/>
    <s v="High"/>
  </r>
  <r>
    <s v="LN0456"/>
    <s v="C0071"/>
    <s v="B15"/>
    <x v="0"/>
    <n v="3000000"/>
    <n v="0.16109999999999999"/>
    <d v="2021-01-23T00:00:00"/>
    <n v="48"/>
    <n v="0"/>
    <n v="3930000"/>
    <x v="0"/>
    <n v="85189.947604283472"/>
    <d v="2025-01-23T00:00:00"/>
    <n v="1.31"/>
    <s v="Secured"/>
    <x v="9"/>
    <n v="330"/>
    <s v="High Risk"/>
    <s v="High Risk Exposure"/>
    <s v="High"/>
  </r>
  <r>
    <s v="LN0457"/>
    <s v="C0563"/>
    <s v="B07"/>
    <x v="3"/>
    <n v="500000"/>
    <n v="0.14680000000000001"/>
    <d v="2022-04-13T00:00:00"/>
    <n v="72"/>
    <n v="0"/>
    <n v="470000"/>
    <x v="0"/>
    <n v="10485.809842307595"/>
    <d v="2028-04-13T00:00:00"/>
    <n v="0.94"/>
    <s v="Undersecured"/>
    <x v="0"/>
    <n v="323"/>
    <s v="High Risk"/>
    <s v="High Risk Exposure"/>
    <s v="High"/>
  </r>
  <r>
    <s v="LN0458"/>
    <s v="C0525"/>
    <s v="B14"/>
    <x v="2"/>
    <n v="25000000"/>
    <n v="9.4700000000000006E-2"/>
    <d v="2023-11-07T00:00:00"/>
    <n v="48"/>
    <n v="0"/>
    <n v="21000000"/>
    <x v="0"/>
    <n v="627720.32112562167"/>
    <d v="2027-11-07T00:00:00"/>
    <n v="0.84"/>
    <s v="Undersecured"/>
    <x v="13"/>
    <n v="557"/>
    <s v="High Risk"/>
    <s v="High Risk Exposure"/>
    <s v="High"/>
  </r>
  <r>
    <s v="LN0459"/>
    <s v="C0609"/>
    <s v="B04"/>
    <x v="0"/>
    <n v="1000000"/>
    <n v="0.2364"/>
    <d v="2021-07-27T00:00:00"/>
    <n v="48"/>
    <n v="0"/>
    <n v="730000"/>
    <x v="0"/>
    <n v="32403.134526842357"/>
    <d v="2025-07-27T00:00:00"/>
    <n v="0.73"/>
    <s v="Undersecured"/>
    <x v="14"/>
    <n v="775"/>
    <s v="Very Low Risk"/>
    <s v="High Risk Exposure"/>
    <s v="High"/>
  </r>
  <r>
    <s v="LN0460"/>
    <s v="C0224"/>
    <s v="B13"/>
    <x v="2"/>
    <n v="6000000"/>
    <n v="0.1052"/>
    <d v="2021-05-28T00:00:00"/>
    <n v="60"/>
    <n v="45"/>
    <n v="6000000"/>
    <x v="2"/>
    <n v="129022.85588670548"/>
    <d v="2026-05-28T00:00:00"/>
    <n v="1"/>
    <s v="Secured"/>
    <x v="2"/>
    <n v="487"/>
    <s v="High Risk"/>
    <s v="High Risk Exposure"/>
    <s v="High"/>
  </r>
  <r>
    <s v="LN0461"/>
    <s v="C0065"/>
    <s v="B13"/>
    <x v="1"/>
    <n v="100000"/>
    <n v="0.21879999999999999"/>
    <d v="2023-07-25T00:00:00"/>
    <n v="72"/>
    <n v="0"/>
    <n v="0"/>
    <x v="0"/>
    <n v="2505.4947749867119"/>
    <d v="2029-07-25T00:00:00"/>
    <n v="0"/>
    <s v="Undersecured"/>
    <x v="2"/>
    <n v="450"/>
    <s v="High Risk"/>
    <s v="High Risk Exposure"/>
    <s v="High"/>
  </r>
  <r>
    <s v="LN0462"/>
    <s v="C0466"/>
    <s v="B06"/>
    <x v="2"/>
    <n v="80000000"/>
    <n v="0.13489999999999999"/>
    <d v="2022-07-27T00:00:00"/>
    <n v="24"/>
    <n v="120"/>
    <n v="97600000"/>
    <x v="1"/>
    <n v="3821784.3239256679"/>
    <d v="2024-07-27T00:00:00"/>
    <n v="1.22"/>
    <s v="Secured"/>
    <x v="6"/>
    <n v="368"/>
    <s v="High Risk"/>
    <s v="High Risk Exposure"/>
    <s v="Critical"/>
  </r>
  <r>
    <s v="LN0463"/>
    <s v="C0237"/>
    <s v="B09"/>
    <x v="2"/>
    <n v="6000000"/>
    <n v="0.1343"/>
    <d v="2020-02-23T00:00:00"/>
    <n v="72"/>
    <n v="0"/>
    <n v="3600000"/>
    <x v="0"/>
    <n v="121810.59814958536"/>
    <d v="2026-02-23T00:00:00"/>
    <n v="0.6"/>
    <s v="Undersecured"/>
    <x v="8"/>
    <n v="821"/>
    <s v="Prime"/>
    <s v="High Risk Exposure"/>
    <s v="High"/>
  </r>
  <r>
    <s v="LN0464"/>
    <s v="C0611"/>
    <s v="B04"/>
    <x v="2"/>
    <n v="80000000"/>
    <n v="0.1305"/>
    <d v="2024-12-05T00:00:00"/>
    <n v="72"/>
    <n v="5"/>
    <n v="43200000"/>
    <x v="0"/>
    <n v="1608040.335769213"/>
    <d v="2030-12-05T00:00:00"/>
    <n v="0.54"/>
    <s v="Undersecured"/>
    <x v="14"/>
    <n v="402"/>
    <s v="High Risk"/>
    <s v="High Risk Exposure"/>
    <s v="High"/>
  </r>
  <r>
    <s v="LN0465"/>
    <s v="C0210"/>
    <s v="B15"/>
    <x v="2"/>
    <n v="25000000"/>
    <n v="9.2899999999999996E-2"/>
    <d v="2020-05-27T00:00:00"/>
    <n v="36"/>
    <n v="0"/>
    <n v="26750000"/>
    <x v="0"/>
    <n v="798371.85499128746"/>
    <d v="2023-05-27T00:00:00"/>
    <n v="1.07"/>
    <s v="Secured"/>
    <x v="9"/>
    <n v="305"/>
    <s v="High Risk"/>
    <s v="High Risk Exposure"/>
    <s v="High"/>
  </r>
  <r>
    <s v="LN0466"/>
    <s v="C0087"/>
    <s v="B03"/>
    <x v="2"/>
    <n v="25000000"/>
    <n v="0.1113"/>
    <d v="2021-10-24T00:00:00"/>
    <n v="72"/>
    <n v="45"/>
    <n v="17500000"/>
    <x v="2"/>
    <n v="477518.25222091202"/>
    <d v="2027-10-24T00:00:00"/>
    <n v="0.7"/>
    <s v="Undersecured"/>
    <x v="7"/>
    <n v="549"/>
    <s v="High Risk"/>
    <s v="High Risk Exposure"/>
    <s v="High"/>
  </r>
  <r>
    <s v="LN0467"/>
    <s v="C0409"/>
    <s v="B12"/>
    <x v="1"/>
    <n v="100000"/>
    <n v="0.25269999999999998"/>
    <d v="2023-03-13T00:00:00"/>
    <n v="24"/>
    <n v="0"/>
    <n v="0"/>
    <x v="0"/>
    <n v="5350.7084683223011"/>
    <d v="2025-03-13T00:00:00"/>
    <n v="0"/>
    <s v="Undersecured"/>
    <x v="12"/>
    <n v="324"/>
    <s v="High Risk"/>
    <s v="High Risk Exposure"/>
    <s v="High"/>
  </r>
  <r>
    <s v="LN0468"/>
    <s v="C0119"/>
    <s v="B03"/>
    <x v="3"/>
    <n v="6000000"/>
    <n v="0.14180000000000001"/>
    <d v="2020-05-10T00:00:00"/>
    <n v="36"/>
    <n v="0"/>
    <n v="3600000"/>
    <x v="0"/>
    <n v="205590.71529753078"/>
    <d v="2023-05-10T00:00:00"/>
    <n v="0.6"/>
    <s v="Undersecured"/>
    <x v="7"/>
    <n v="300"/>
    <s v="High Risk"/>
    <s v="High Risk Exposure"/>
    <s v="High"/>
  </r>
  <r>
    <s v="LN0469"/>
    <s v="C0289"/>
    <s v="B11"/>
    <x v="1"/>
    <n v="100000"/>
    <n v="0.1794"/>
    <d v="2023-02-11T00:00:00"/>
    <n v="12"/>
    <n v="0"/>
    <n v="0"/>
    <x v="0"/>
    <n v="9165.1440520706383"/>
    <d v="2024-02-11T00:00:00"/>
    <n v="0"/>
    <s v="Undersecured"/>
    <x v="10"/>
    <n v="607"/>
    <s v="Medium Risk"/>
    <s v="High Risk Exposure"/>
    <s v="High"/>
  </r>
  <r>
    <s v="LN0470"/>
    <s v="C0297"/>
    <s v="B04"/>
    <x v="1"/>
    <n v="250000"/>
    <n v="0.1867"/>
    <d v="2021-11-04T00:00:00"/>
    <n v="60"/>
    <n v="0"/>
    <n v="0"/>
    <x v="0"/>
    <n v="6439.827696217666"/>
    <d v="2026-11-04T00:00:00"/>
    <n v="0"/>
    <s v="Undersecured"/>
    <x v="14"/>
    <n v="500"/>
    <s v="High Risk"/>
    <s v="High Risk Exposure"/>
    <s v="High"/>
  </r>
  <r>
    <s v="LN0471"/>
    <s v="C0434"/>
    <s v="B03"/>
    <x v="3"/>
    <n v="1000000"/>
    <n v="0.1691"/>
    <d v="2023-11-28T00:00:00"/>
    <n v="24"/>
    <n v="120"/>
    <n v="530000"/>
    <x v="1"/>
    <n v="49399.030239434571"/>
    <d v="2025-11-28T00:00:00"/>
    <n v="0.53"/>
    <s v="Undersecured"/>
    <x v="7"/>
    <n v="473"/>
    <s v="High Risk"/>
    <s v="High Risk Exposure"/>
    <s v="Critical"/>
  </r>
  <r>
    <s v="LN0472"/>
    <s v="C0253"/>
    <s v="B14"/>
    <x v="3"/>
    <n v="1000000"/>
    <n v="0.19769999999999999"/>
    <d v="2022-09-19T00:00:00"/>
    <n v="12"/>
    <n v="0"/>
    <n v="1000000"/>
    <x v="0"/>
    <n v="92524.463779693222"/>
    <d v="2023-09-19T00:00:00"/>
    <n v="1"/>
    <s v="Secured"/>
    <x v="13"/>
    <n v="628"/>
    <s v="Medium Risk"/>
    <s v="Normal"/>
    <s v="Normal"/>
  </r>
  <r>
    <s v="LN0473"/>
    <s v="C0698"/>
    <s v="B07"/>
    <x v="1"/>
    <n v="250000"/>
    <n v="0.2641"/>
    <d v="2024-12-24T00:00:00"/>
    <n v="36"/>
    <n v="0"/>
    <n v="0"/>
    <x v="0"/>
    <n v="10127.336487956703"/>
    <d v="2027-12-24T00:00:00"/>
    <n v="0"/>
    <s v="Undersecured"/>
    <x v="0"/>
    <n v="500"/>
    <s v="High Risk"/>
    <s v="High Risk Exposure"/>
    <s v="High"/>
  </r>
  <r>
    <s v="LN0474"/>
    <s v="C0568"/>
    <s v="B14"/>
    <x v="0"/>
    <n v="1000000"/>
    <n v="0.20269999999999999"/>
    <d v="2023-05-05T00:00:00"/>
    <n v="12"/>
    <n v="0"/>
    <n v="650000"/>
    <x v="0"/>
    <n v="92763.776235241021"/>
    <d v="2024-05-05T00:00:00"/>
    <n v="0.65"/>
    <s v="Undersecured"/>
    <x v="13"/>
    <n v="724"/>
    <s v="Low Risk"/>
    <s v="High Risk Exposure"/>
    <s v="High"/>
  </r>
  <r>
    <s v="LN0475"/>
    <s v="C0269"/>
    <s v="B06"/>
    <x v="2"/>
    <n v="6000000"/>
    <n v="0.1368"/>
    <d v="2024-01-09T00:00:00"/>
    <n v="24"/>
    <n v="20"/>
    <n v="3960000"/>
    <x v="0"/>
    <n v="287171.0960607123"/>
    <d v="2026-01-09T00:00:00"/>
    <n v="0.66"/>
    <s v="Undersecured"/>
    <x v="6"/>
    <n v="844"/>
    <s v="Prime"/>
    <s v="High Risk Exposure"/>
    <s v="High"/>
  </r>
  <r>
    <s v="LN0476"/>
    <s v="C0149"/>
    <s v="B14"/>
    <x v="0"/>
    <n v="25000000"/>
    <n v="0.20349999999999999"/>
    <d v="2022-09-25T00:00:00"/>
    <n v="12"/>
    <n v="10"/>
    <n v="34500000"/>
    <x v="0"/>
    <n v="2320052.4328527669"/>
    <d v="2023-09-25T00:00:00"/>
    <n v="1.38"/>
    <s v="Secured"/>
    <x v="13"/>
    <n v="617"/>
    <s v="Medium Risk"/>
    <s v="Normal"/>
    <s v="Normal"/>
  </r>
  <r>
    <s v="LN0477"/>
    <s v="C0486"/>
    <s v="B13"/>
    <x v="2"/>
    <n v="80000000"/>
    <n v="0.1045"/>
    <d v="2025-03-18T00:00:00"/>
    <n v="60"/>
    <n v="5"/>
    <n v="70400000"/>
    <x v="0"/>
    <n v="1717531.1765863397"/>
    <d v="2030-03-18T00:00:00"/>
    <n v="0.88"/>
    <s v="Undersecured"/>
    <x v="2"/>
    <n v="559"/>
    <s v="High Risk"/>
    <s v="High Risk Exposure"/>
    <s v="High"/>
  </r>
  <r>
    <s v="LN0478"/>
    <s v="C0294"/>
    <s v="B10"/>
    <x v="1"/>
    <n v="100000"/>
    <n v="0.23669999999999999"/>
    <d v="2021-12-23T00:00:00"/>
    <n v="12"/>
    <n v="5"/>
    <n v="0"/>
    <x v="0"/>
    <n v="9439.9968486786038"/>
    <d v="2022-12-23T00:00:00"/>
    <n v="0"/>
    <s v="Undersecured"/>
    <x v="3"/>
    <n v="804"/>
    <s v="Prime"/>
    <s v="High Risk Exposure"/>
    <s v="High"/>
  </r>
  <r>
    <s v="LN0479"/>
    <s v="C0596"/>
    <s v="B01"/>
    <x v="1"/>
    <n v="100000"/>
    <n v="0.16250000000000001"/>
    <d v="2025-10-04T00:00:00"/>
    <n v="60"/>
    <n v="0"/>
    <n v="0"/>
    <x v="0"/>
    <n v="2445.1089813167246"/>
    <d v="2030-10-04T00:00:00"/>
    <n v="0"/>
    <s v="Undersecured"/>
    <x v="1"/>
    <n v="755"/>
    <s v="Very Low Risk"/>
    <s v="High Risk Exposure"/>
    <s v="High"/>
  </r>
  <r>
    <s v="LN0480"/>
    <s v="C0004"/>
    <s v="B05"/>
    <x v="2"/>
    <n v="6000000"/>
    <n v="0.13150000000000001"/>
    <d v="2022-09-17T00:00:00"/>
    <n v="24"/>
    <n v="0"/>
    <n v="4980000"/>
    <x v="0"/>
    <n v="285673.85434570571"/>
    <d v="2024-09-17T00:00:00"/>
    <n v="0.83"/>
    <s v="Undersecured"/>
    <x v="4"/>
    <n v="555"/>
    <s v="High Risk"/>
    <s v="High Risk Exposure"/>
    <s v="High"/>
  </r>
  <r>
    <s v="LN0481"/>
    <s v="C0352"/>
    <s v="B15"/>
    <x v="0"/>
    <n v="1000000"/>
    <n v="0.1769"/>
    <d v="2021-02-15T00:00:00"/>
    <n v="24"/>
    <n v="10"/>
    <n v="1150000"/>
    <x v="0"/>
    <n v="49774.445553888327"/>
    <d v="2023-02-15T00:00:00"/>
    <n v="1.1499999999999999"/>
    <s v="Secured"/>
    <x v="9"/>
    <n v="636"/>
    <s v="Medium Risk"/>
    <s v="Normal"/>
    <s v="Normal"/>
  </r>
  <r>
    <s v="LN0482"/>
    <s v="C0193"/>
    <s v="B13"/>
    <x v="2"/>
    <n v="25000000"/>
    <n v="0.1229"/>
    <d v="2023-07-02T00:00:00"/>
    <n v="48"/>
    <n v="5"/>
    <n v="36250000"/>
    <x v="0"/>
    <n v="661911.19038865808"/>
    <d v="2027-07-02T00:00:00"/>
    <n v="1.45"/>
    <s v="Secured"/>
    <x v="2"/>
    <n v="637"/>
    <s v="Medium Risk"/>
    <s v="Normal"/>
    <s v="Normal"/>
  </r>
  <r>
    <s v="LN0483"/>
    <s v="C0650"/>
    <s v="B11"/>
    <x v="3"/>
    <n v="1000000"/>
    <n v="0.15690000000000001"/>
    <d v="2020-06-20T00:00:00"/>
    <n v="72"/>
    <n v="5"/>
    <n v="1280000"/>
    <x v="0"/>
    <n v="21521.521665489963"/>
    <d v="2026-06-20T00:00:00"/>
    <n v="1.28"/>
    <s v="Secured"/>
    <x v="10"/>
    <n v="325"/>
    <s v="High Risk"/>
    <s v="High Risk Exposure"/>
    <s v="High"/>
  </r>
  <r>
    <s v="LN0484"/>
    <s v="C0277"/>
    <s v="B07"/>
    <x v="1"/>
    <n v="250000"/>
    <n v="0.16819999999999999"/>
    <d v="2022-12-15T00:00:00"/>
    <n v="36"/>
    <n v="10"/>
    <n v="0"/>
    <x v="0"/>
    <n v="8890.8021968960329"/>
    <d v="2025-12-15T00:00:00"/>
    <n v="0"/>
    <s v="Undersecured"/>
    <x v="0"/>
    <n v="557"/>
    <s v="High Risk"/>
    <s v="High Risk Exposure"/>
    <s v="High"/>
  </r>
  <r>
    <s v="LN0485"/>
    <s v="C0299"/>
    <s v="B05"/>
    <x v="0"/>
    <n v="3000000"/>
    <n v="0.15379999999999999"/>
    <d v="2020-10-19T00:00:00"/>
    <n v="72"/>
    <n v="0"/>
    <n v="4080000"/>
    <x v="0"/>
    <n v="64055.768110575023"/>
    <d v="2026-10-19T00:00:00"/>
    <n v="1.36"/>
    <s v="Secured"/>
    <x v="4"/>
    <n v="550"/>
    <s v="High Risk"/>
    <s v="High Risk Exposure"/>
    <s v="High"/>
  </r>
  <r>
    <s v="LN0486"/>
    <s v="C0245"/>
    <s v="B11"/>
    <x v="3"/>
    <n v="6000000"/>
    <n v="0.1318"/>
    <d v="2025-01-03T00:00:00"/>
    <n v="60"/>
    <n v="20"/>
    <n v="6120000"/>
    <x v="0"/>
    <n v="137071.93754492237"/>
    <d v="2030-01-03T00:00:00"/>
    <n v="1.02"/>
    <s v="Secured"/>
    <x v="10"/>
    <n v="366"/>
    <s v="High Risk"/>
    <s v="High Risk Exposure"/>
    <s v="High"/>
  </r>
  <r>
    <s v="LN0487"/>
    <s v="C0555"/>
    <s v="B12"/>
    <x v="0"/>
    <n v="25000000"/>
    <n v="0.14369999999999999"/>
    <d v="2024-12-20T00:00:00"/>
    <n v="24"/>
    <n v="0"/>
    <n v="33750000"/>
    <x v="0"/>
    <n v="1204696.5352659314"/>
    <d v="2026-12-20T00:00:00"/>
    <n v="1.35"/>
    <s v="Secured"/>
    <x v="12"/>
    <n v="642"/>
    <s v="Medium Risk"/>
    <s v="Normal"/>
    <s v="Normal"/>
  </r>
  <r>
    <s v="LN0488"/>
    <s v="C0309"/>
    <s v="B13"/>
    <x v="3"/>
    <n v="500000"/>
    <n v="0.182"/>
    <d v="2024-09-04T00:00:00"/>
    <n v="24"/>
    <n v="20"/>
    <n v="285000"/>
    <x v="0"/>
    <n v="25010.395527262459"/>
    <d v="2026-09-04T00:00:00"/>
    <n v="0.56999999999999995"/>
    <s v="Undersecured"/>
    <x v="2"/>
    <n v="659"/>
    <s v="Medium Risk"/>
    <s v="High Risk Exposure"/>
    <s v="High"/>
  </r>
  <r>
    <s v="LN0489"/>
    <s v="C0461"/>
    <s v="B15"/>
    <x v="1"/>
    <n v="100000"/>
    <n v="0.1706"/>
    <d v="2024-02-04T00:00:00"/>
    <n v="24"/>
    <n v="10"/>
    <n v="0"/>
    <x v="0"/>
    <n v="4947.1098729338446"/>
    <d v="2026-02-04T00:00:00"/>
    <n v="0"/>
    <s v="Undersecured"/>
    <x v="9"/>
    <n v="769"/>
    <s v="Very Low Risk"/>
    <s v="High Risk Exposure"/>
    <s v="High"/>
  </r>
  <r>
    <s v="LN0490"/>
    <s v="C0494"/>
    <s v="B05"/>
    <x v="3"/>
    <n v="1000000"/>
    <n v="0.12559999999999999"/>
    <d v="2020-04-15T00:00:00"/>
    <n v="72"/>
    <n v="10"/>
    <n v="890000"/>
    <x v="0"/>
    <n v="19842.627625558544"/>
    <d v="2026-04-15T00:00:00"/>
    <n v="0.89"/>
    <s v="Undersecured"/>
    <x v="4"/>
    <n v="474"/>
    <s v="High Risk"/>
    <s v="High Risk Exposure"/>
    <s v="High"/>
  </r>
  <r>
    <s v="LN0491"/>
    <s v="C0617"/>
    <s v="B04"/>
    <x v="3"/>
    <n v="500000"/>
    <n v="0.19309999999999999"/>
    <d v="2023-03-19T00:00:00"/>
    <n v="48"/>
    <n v="0"/>
    <n v="570000"/>
    <x v="0"/>
    <n v="15031.973712396804"/>
    <d v="2027-03-19T00:00:00"/>
    <n v="1.1399999999999999"/>
    <s v="Secured"/>
    <x v="14"/>
    <n v="681"/>
    <s v="Low Risk"/>
    <s v="Normal"/>
    <s v="Normal"/>
  </r>
  <r>
    <s v="LN0492"/>
    <s v="C0647"/>
    <s v="B09"/>
    <x v="0"/>
    <n v="1000000"/>
    <n v="0.16839999999999999"/>
    <d v="2022-10-18T00:00:00"/>
    <n v="24"/>
    <n v="0"/>
    <n v="870000"/>
    <x v="0"/>
    <n v="49365.418950179461"/>
    <d v="2024-10-18T00:00:00"/>
    <n v="0.87"/>
    <s v="Undersecured"/>
    <x v="8"/>
    <n v="305"/>
    <s v="High Risk"/>
    <s v="High Risk Exposure"/>
    <s v="High"/>
  </r>
  <r>
    <s v="LN0493"/>
    <s v="C0478"/>
    <s v="B14"/>
    <x v="0"/>
    <n v="6000000"/>
    <n v="0.16400000000000001"/>
    <d v="2022-11-27T00:00:00"/>
    <n v="48"/>
    <n v="20"/>
    <n v="7860000"/>
    <x v="0"/>
    <n v="171273.35854363523"/>
    <d v="2026-11-27T00:00:00"/>
    <n v="1.31"/>
    <s v="Secured"/>
    <x v="13"/>
    <n v="343"/>
    <s v="High Risk"/>
    <s v="High Risk Exposure"/>
    <s v="High"/>
  </r>
  <r>
    <s v="LN0494"/>
    <s v="C0525"/>
    <s v="B05"/>
    <x v="1"/>
    <n v="100000"/>
    <n v="0.25280000000000002"/>
    <d v="2025-02-05T00:00:00"/>
    <n v="72"/>
    <n v="120"/>
    <n v="0"/>
    <x v="1"/>
    <n v="2710.9245586727561"/>
    <d v="2031-02-05T00:00:00"/>
    <n v="0"/>
    <s v="Undersecured"/>
    <x v="4"/>
    <n v="557"/>
    <s v="High Risk"/>
    <s v="High Risk Exposure"/>
    <s v="Critical"/>
  </r>
  <r>
    <s v="LN0495"/>
    <s v="C0677"/>
    <s v="B11"/>
    <x v="0"/>
    <n v="3000000"/>
    <n v="0.19570000000000001"/>
    <d v="2025-11-01T00:00:00"/>
    <n v="24"/>
    <n v="5"/>
    <n v="4500000"/>
    <x v="0"/>
    <n v="152057.95841066426"/>
    <d v="2027-11-01T00:00:00"/>
    <n v="1.5"/>
    <s v="Secured"/>
    <x v="10"/>
    <n v="599"/>
    <s v="Medium Risk"/>
    <s v="Normal"/>
    <s v="Normal"/>
  </r>
  <r>
    <s v="LN0496"/>
    <s v="C0153"/>
    <s v="B11"/>
    <x v="1"/>
    <n v="1000000"/>
    <n v="0.2392"/>
    <d v="2023-05-16T00:00:00"/>
    <n v="60"/>
    <n v="0"/>
    <n v="0"/>
    <x v="0"/>
    <n v="28721.549519452554"/>
    <d v="2028-05-16T00:00:00"/>
    <n v="0"/>
    <s v="Undersecured"/>
    <x v="10"/>
    <n v="320"/>
    <s v="High Risk"/>
    <s v="High Risk Exposure"/>
    <s v="High"/>
  </r>
  <r>
    <s v="LN0497"/>
    <s v="C0241"/>
    <s v="B05"/>
    <x v="2"/>
    <n v="6000000"/>
    <n v="0.1075"/>
    <d v="2023-05-25T00:00:00"/>
    <n v="24"/>
    <n v="45"/>
    <n v="5640000"/>
    <x v="2"/>
    <n v="278951.12883084791"/>
    <d v="2025-05-25T00:00:00"/>
    <n v="0.94"/>
    <s v="Undersecured"/>
    <x v="4"/>
    <n v="574"/>
    <s v="High Risk"/>
    <s v="High Risk Exposure"/>
    <s v="High"/>
  </r>
  <r>
    <s v="LN0498"/>
    <s v="C0385"/>
    <s v="B13"/>
    <x v="3"/>
    <n v="6000000"/>
    <n v="0.14530000000000001"/>
    <d v="2021-08-10T00:00:00"/>
    <n v="24"/>
    <n v="120"/>
    <n v="3180000"/>
    <x v="1"/>
    <n v="289581.85324840812"/>
    <d v="2023-08-10T00:00:00"/>
    <n v="0.53"/>
    <s v="Undersecured"/>
    <x v="2"/>
    <n v="444"/>
    <s v="High Risk"/>
    <s v="High Risk Exposure"/>
    <s v="Critical"/>
  </r>
  <r>
    <s v="LN0499"/>
    <s v="C0025"/>
    <s v="B09"/>
    <x v="1"/>
    <n v="250000"/>
    <n v="0.1774"/>
    <d v="2023-12-24T00:00:00"/>
    <n v="48"/>
    <n v="10"/>
    <n v="0"/>
    <x v="0"/>
    <n v="7309.8281939472417"/>
    <d v="2027-12-24T00:00:00"/>
    <n v="0"/>
    <s v="Undersecured"/>
    <x v="8"/>
    <n v="698"/>
    <s v="Low Risk"/>
    <s v="High Risk Exposure"/>
    <s v="High"/>
  </r>
  <r>
    <s v="LN0500"/>
    <s v="C0249"/>
    <s v="B15"/>
    <x v="1"/>
    <n v="1000000"/>
    <n v="0.26879999999999998"/>
    <d v="2023-04-19T00:00:00"/>
    <n v="48"/>
    <n v="120"/>
    <n v="0"/>
    <x v="1"/>
    <n v="34214.271134447459"/>
    <d v="2027-04-19T00:00:00"/>
    <n v="0"/>
    <s v="Undersecured"/>
    <x v="9"/>
    <n v="424"/>
    <s v="High Risk"/>
    <s v="High Risk Exposure"/>
    <s v="Critical"/>
  </r>
  <r>
    <s v="LN0501"/>
    <s v="C0384"/>
    <s v="B15"/>
    <x v="1"/>
    <n v="500000"/>
    <n v="0.27129999999999999"/>
    <d v="2021-07-09T00:00:00"/>
    <n v="48"/>
    <n v="0"/>
    <n v="0"/>
    <x v="0"/>
    <n v="17178.066967983203"/>
    <d v="2025-07-09T00:00:00"/>
    <n v="0"/>
    <s v="Undersecured"/>
    <x v="9"/>
    <n v="361"/>
    <s v="High Risk"/>
    <s v="High Risk Exposure"/>
    <s v="High"/>
  </r>
  <r>
    <s v="LN0502"/>
    <s v="C0585"/>
    <s v="B10"/>
    <x v="3"/>
    <n v="3000000"/>
    <n v="0.18459999999999999"/>
    <d v="2025-05-07T00:00:00"/>
    <n v="60"/>
    <n v="45"/>
    <n v="3060000"/>
    <x v="2"/>
    <n v="76932.987346987677"/>
    <d v="2030-05-07T00:00:00"/>
    <n v="1.02"/>
    <s v="Secured"/>
    <x v="3"/>
    <n v="308"/>
    <s v="High Risk"/>
    <s v="High Risk Exposure"/>
    <s v="High"/>
  </r>
  <r>
    <s v="LN0503"/>
    <s v="C0386"/>
    <s v="B05"/>
    <x v="0"/>
    <n v="6000000"/>
    <n v="0.15240000000000001"/>
    <d v="2025-04-28T00:00:00"/>
    <n v="72"/>
    <n v="0"/>
    <n v="3300000"/>
    <x v="0"/>
    <n v="127653.39804776819"/>
    <d v="2031-04-28T00:00:00"/>
    <n v="0.55000000000000004"/>
    <s v="Undersecured"/>
    <x v="4"/>
    <n v="830"/>
    <s v="Prime"/>
    <s v="High Risk Exposure"/>
    <s v="High"/>
  </r>
  <r>
    <s v="LN0504"/>
    <s v="C0696"/>
    <s v="B03"/>
    <x v="2"/>
    <n v="80000000"/>
    <n v="9.0700000000000003E-2"/>
    <d v="2021-01-15T00:00:00"/>
    <n v="72"/>
    <n v="0"/>
    <n v="40000000"/>
    <x v="0"/>
    <n v="1444823.8709869431"/>
    <d v="2027-01-15T00:00:00"/>
    <n v="0.5"/>
    <s v="Undersecured"/>
    <x v="7"/>
    <n v="719"/>
    <s v="Low Risk"/>
    <s v="High Risk Exposure"/>
    <s v="High"/>
  </r>
  <r>
    <s v="LN0505"/>
    <s v="C0655"/>
    <s v="B07"/>
    <x v="2"/>
    <n v="80000000"/>
    <n v="9.0800000000000006E-2"/>
    <d v="2023-07-28T00:00:00"/>
    <n v="24"/>
    <n v="0"/>
    <n v="52000000"/>
    <x v="0"/>
    <n v="3657716.5193208572"/>
    <d v="2025-07-28T00:00:00"/>
    <n v="0.65"/>
    <s v="Undersecured"/>
    <x v="0"/>
    <n v="317"/>
    <s v="High Risk"/>
    <s v="High Risk Exposure"/>
    <s v="High"/>
  </r>
  <r>
    <s v="LN0506"/>
    <s v="C0358"/>
    <s v="B07"/>
    <x v="1"/>
    <n v="500000"/>
    <n v="0.26229999999999998"/>
    <d v="2022-08-03T00:00:00"/>
    <n v="12"/>
    <n v="45"/>
    <n v="0"/>
    <x v="2"/>
    <n v="47821.045989198195"/>
    <d v="2023-08-03T00:00:00"/>
    <n v="0"/>
    <s v="Undersecured"/>
    <x v="0"/>
    <n v="835"/>
    <s v="Prime"/>
    <s v="High Risk Exposure"/>
    <s v="High"/>
  </r>
  <r>
    <s v="LN0507"/>
    <s v="C0535"/>
    <s v="B10"/>
    <x v="1"/>
    <n v="250000"/>
    <n v="0.23630000000000001"/>
    <d v="2020-09-06T00:00:00"/>
    <n v="24"/>
    <n v="120"/>
    <n v="0"/>
    <x v="1"/>
    <n v="13171.651832866281"/>
    <d v="2022-09-06T00:00:00"/>
    <n v="0"/>
    <s v="Undersecured"/>
    <x v="3"/>
    <n v="717"/>
    <s v="Low Risk"/>
    <s v="High Risk Exposure"/>
    <s v="Critical"/>
  </r>
  <r>
    <s v="LN0508"/>
    <s v="C0432"/>
    <s v="B05"/>
    <x v="3"/>
    <n v="1000000"/>
    <n v="0.1399"/>
    <d v="2022-06-21T00:00:00"/>
    <n v="36"/>
    <n v="45"/>
    <n v="510000"/>
    <x v="2"/>
    <n v="34172.773051757176"/>
    <d v="2025-06-21T00:00:00"/>
    <n v="0.51"/>
    <s v="Undersecured"/>
    <x v="4"/>
    <n v="694"/>
    <s v="Low Risk"/>
    <s v="High Risk Exposure"/>
    <s v="High"/>
  </r>
  <r>
    <s v="LN0509"/>
    <s v="C0233"/>
    <s v="B15"/>
    <x v="1"/>
    <n v="500000"/>
    <n v="0.2616"/>
    <d v="2025-10-15T00:00:00"/>
    <n v="60"/>
    <n v="0"/>
    <n v="0"/>
    <x v="0"/>
    <n v="15017.632350211305"/>
    <d v="2030-10-15T00:00:00"/>
    <n v="0"/>
    <s v="Undersecured"/>
    <x v="9"/>
    <n v="805"/>
    <s v="Prime"/>
    <s v="High Risk Exposure"/>
    <s v="High"/>
  </r>
  <r>
    <s v="LN0510"/>
    <s v="C0516"/>
    <s v="B15"/>
    <x v="3"/>
    <n v="1000000"/>
    <n v="0.1845"/>
    <d v="2021-04-22T00:00:00"/>
    <n v="60"/>
    <n v="5"/>
    <n v="640000"/>
    <x v="0"/>
    <n v="25638.860661227754"/>
    <d v="2026-04-22T00:00:00"/>
    <n v="0.64"/>
    <s v="Undersecured"/>
    <x v="9"/>
    <n v="631"/>
    <s v="Medium Risk"/>
    <s v="High Risk Exposure"/>
    <s v="High"/>
  </r>
  <r>
    <s v="LN0511"/>
    <s v="C0004"/>
    <s v="B04"/>
    <x v="3"/>
    <n v="1000000"/>
    <n v="0.16470000000000001"/>
    <d v="2020-08-25T00:00:00"/>
    <n v="12"/>
    <n v="0"/>
    <n v="970000"/>
    <x v="0"/>
    <n v="90953.420288445297"/>
    <d v="2021-08-25T00:00:00"/>
    <n v="0.97"/>
    <s v="Undersecured"/>
    <x v="14"/>
    <n v="555"/>
    <s v="High Risk"/>
    <s v="High Risk Exposure"/>
    <s v="High"/>
  </r>
  <r>
    <s v="LN0512"/>
    <s v="C0064"/>
    <s v="B05"/>
    <x v="3"/>
    <n v="1000000"/>
    <n v="0.1542"/>
    <d v="2023-02-20T00:00:00"/>
    <n v="72"/>
    <n v="10"/>
    <n v="880000"/>
    <x v="0"/>
    <n v="21373.765889558897"/>
    <d v="2029-02-20T00:00:00"/>
    <n v="0.88"/>
    <s v="Undersecured"/>
    <x v="4"/>
    <n v="628"/>
    <s v="Medium Risk"/>
    <s v="High Risk Exposure"/>
    <s v="High"/>
  </r>
  <r>
    <s v="LN0513"/>
    <s v="C0695"/>
    <s v="B09"/>
    <x v="1"/>
    <n v="100000"/>
    <n v="0.1704"/>
    <d v="2020-05-14T00:00:00"/>
    <n v="60"/>
    <n v="0"/>
    <n v="0"/>
    <x v="0"/>
    <n v="2487.4088637953964"/>
    <d v="2025-05-14T00:00:00"/>
    <n v="0"/>
    <s v="Undersecured"/>
    <x v="8"/>
    <n v="453"/>
    <s v="High Risk"/>
    <s v="High Risk Exposure"/>
    <s v="High"/>
  </r>
  <r>
    <s v="LN0514"/>
    <s v="C0590"/>
    <s v="B10"/>
    <x v="0"/>
    <n v="3000000"/>
    <n v="0.14729999999999999"/>
    <d v="2022-04-15T00:00:00"/>
    <n v="48"/>
    <n v="10"/>
    <n v="1500000"/>
    <x v="0"/>
    <n v="83082.225437002955"/>
    <d v="2026-04-15T00:00:00"/>
    <n v="0.5"/>
    <s v="Undersecured"/>
    <x v="3"/>
    <n v="369"/>
    <s v="High Risk"/>
    <s v="High Risk Exposure"/>
    <s v="High"/>
  </r>
  <r>
    <s v="LN0515"/>
    <s v="C0047"/>
    <s v="B07"/>
    <x v="0"/>
    <n v="1000000"/>
    <n v="0.17419999999999999"/>
    <d v="2022-07-18T00:00:00"/>
    <n v="24"/>
    <n v="120"/>
    <n v="1170000"/>
    <x v="1"/>
    <n v="49644.309444466497"/>
    <d v="2024-07-18T00:00:00"/>
    <n v="1.17"/>
    <s v="Secured"/>
    <x v="0"/>
    <n v="331"/>
    <s v="High Risk"/>
    <s v="High Risk Exposure"/>
    <s v="Critical"/>
  </r>
  <r>
    <s v="LN0516"/>
    <s v="C0394"/>
    <s v="B06"/>
    <x v="3"/>
    <n v="6000000"/>
    <n v="0.1951"/>
    <d v="2020-10-11T00:00:00"/>
    <n v="12"/>
    <n v="10"/>
    <n v="7140000"/>
    <x v="0"/>
    <n v="554400.92247729131"/>
    <d v="2021-10-11T00:00:00"/>
    <n v="1.19"/>
    <s v="Secured"/>
    <x v="6"/>
    <n v="707"/>
    <s v="Low Risk"/>
    <s v="Normal"/>
    <s v="Normal"/>
  </r>
  <r>
    <s v="LN0517"/>
    <s v="C0007"/>
    <s v="B08"/>
    <x v="3"/>
    <n v="6000000"/>
    <n v="0.17180000000000001"/>
    <d v="2020-12-13T00:00:00"/>
    <n v="36"/>
    <n v="0"/>
    <n v="7380000"/>
    <x v="0"/>
    <n v="214454.25005690043"/>
    <d v="2023-12-13T00:00:00"/>
    <n v="1.23"/>
    <s v="Secured"/>
    <x v="5"/>
    <n v="366"/>
    <s v="High Risk"/>
    <s v="High Risk Exposure"/>
    <s v="High"/>
  </r>
  <r>
    <s v="LN0518"/>
    <s v="C0178"/>
    <s v="B13"/>
    <x v="1"/>
    <n v="100000"/>
    <n v="0.21790000000000001"/>
    <d v="2023-03-02T00:00:00"/>
    <n v="12"/>
    <n v="0"/>
    <n v="0"/>
    <x v="0"/>
    <n v="9349.3341527707526"/>
    <d v="2024-03-02T00:00:00"/>
    <n v="0"/>
    <s v="Undersecured"/>
    <x v="2"/>
    <n v="629"/>
    <s v="Medium Risk"/>
    <s v="High Risk Exposure"/>
    <s v="High"/>
  </r>
  <r>
    <s v="LN0519"/>
    <s v="C0168"/>
    <s v="B14"/>
    <x v="2"/>
    <n v="6000000"/>
    <n v="9.1899999999999996E-2"/>
    <d v="2025-05-24T00:00:00"/>
    <n v="36"/>
    <n v="90"/>
    <n v="3720000"/>
    <x v="2"/>
    <n v="191329.40913739396"/>
    <d v="2028-05-24T00:00:00"/>
    <n v="0.62"/>
    <s v="Undersecured"/>
    <x v="13"/>
    <n v="641"/>
    <s v="Medium Risk"/>
    <s v="High Risk Exposure"/>
    <s v="High"/>
  </r>
  <r>
    <s v="LN0520"/>
    <s v="C0109"/>
    <s v="B09"/>
    <x v="2"/>
    <n v="25000000"/>
    <n v="0.115"/>
    <d v="2025-06-03T00:00:00"/>
    <n v="12"/>
    <n v="120"/>
    <n v="23750000"/>
    <x v="1"/>
    <n v="2215376.3466398343"/>
    <d v="2026-06-03T00:00:00"/>
    <n v="0.95"/>
    <s v="Undersecured"/>
    <x v="8"/>
    <n v="459"/>
    <s v="High Risk"/>
    <s v="High Risk Exposure"/>
    <s v="Critical"/>
  </r>
  <r>
    <s v="LN0521"/>
    <s v="C0185"/>
    <s v="B03"/>
    <x v="0"/>
    <n v="25000000"/>
    <n v="0.2162"/>
    <d v="2025-06-12T00:00:00"/>
    <n v="72"/>
    <n v="0"/>
    <n v="15250000"/>
    <x v="0"/>
    <n v="622526.61448689119"/>
    <d v="2031-06-12T00:00:00"/>
    <n v="0.61"/>
    <s v="Undersecured"/>
    <x v="7"/>
    <n v="732"/>
    <s v="Low Risk"/>
    <s v="High Risk Exposure"/>
    <s v="High"/>
  </r>
  <r>
    <s v="LN0522"/>
    <s v="C0502"/>
    <s v="B08"/>
    <x v="3"/>
    <n v="500000"/>
    <n v="0.18820000000000001"/>
    <d v="2024-08-03T00:00:00"/>
    <n v="12"/>
    <n v="0"/>
    <n v="650000"/>
    <x v="0"/>
    <n v="46035.34686992623"/>
    <d v="2025-08-03T00:00:00"/>
    <n v="1.3"/>
    <s v="Secured"/>
    <x v="5"/>
    <n v="671"/>
    <s v="Low Risk"/>
    <s v="Normal"/>
    <s v="Normal"/>
  </r>
  <r>
    <s v="LN0523"/>
    <s v="C0584"/>
    <s v="B12"/>
    <x v="0"/>
    <n v="1000000"/>
    <n v="0.1484"/>
    <d v="2021-05-01T00:00:00"/>
    <n v="60"/>
    <n v="5"/>
    <n v="540000"/>
    <x v="0"/>
    <n v="23706.026692241336"/>
    <d v="2026-05-01T00:00:00"/>
    <n v="0.54"/>
    <s v="Undersecured"/>
    <x v="12"/>
    <n v="813"/>
    <s v="Prime"/>
    <s v="High Risk Exposure"/>
    <s v="High"/>
  </r>
  <r>
    <s v="LN0524"/>
    <s v="C0472"/>
    <s v="B09"/>
    <x v="3"/>
    <n v="6000000"/>
    <n v="0.1229"/>
    <d v="2025-04-22T00:00:00"/>
    <n v="72"/>
    <n v="0"/>
    <n v="4440000"/>
    <x v="0"/>
    <n v="118207.96566556238"/>
    <d v="2031-04-22T00:00:00"/>
    <n v="0.74"/>
    <s v="Undersecured"/>
    <x v="8"/>
    <n v="767"/>
    <s v="Very Low Risk"/>
    <s v="High Risk Exposure"/>
    <s v="High"/>
  </r>
  <r>
    <s v="LN0525"/>
    <s v="C0088"/>
    <s v="B07"/>
    <x v="2"/>
    <n v="25000000"/>
    <n v="0.1072"/>
    <d v="2021-12-17T00:00:00"/>
    <n v="36"/>
    <n v="45"/>
    <n v="19000000"/>
    <x v="2"/>
    <n v="815156.96640262194"/>
    <d v="2024-12-17T00:00:00"/>
    <n v="0.76"/>
    <s v="Undersecured"/>
    <x v="0"/>
    <n v="523"/>
    <s v="High Risk"/>
    <s v="High Risk Exposure"/>
    <s v="High"/>
  </r>
  <r>
    <s v="LN0526"/>
    <s v="C0231"/>
    <s v="B04"/>
    <x v="3"/>
    <n v="3000000"/>
    <n v="0.1928"/>
    <d v="2022-11-28T00:00:00"/>
    <n v="36"/>
    <n v="0"/>
    <n v="3900000"/>
    <x v="0"/>
    <n v="110393.22448281753"/>
    <d v="2025-11-28T00:00:00"/>
    <n v="1.3"/>
    <s v="Secured"/>
    <x v="14"/>
    <n v="535"/>
    <s v="High Risk"/>
    <s v="High Risk Exposure"/>
    <s v="High"/>
  </r>
  <r>
    <s v="LN0527"/>
    <s v="C0178"/>
    <s v="B09"/>
    <x v="0"/>
    <n v="3000000"/>
    <n v="0.2361"/>
    <d v="2020-09-06T00:00:00"/>
    <n v="72"/>
    <n v="90"/>
    <n v="4380000"/>
    <x v="2"/>
    <n v="78271.75504135809"/>
    <d v="2026-09-06T00:00:00"/>
    <n v="1.46"/>
    <s v="Secured"/>
    <x v="8"/>
    <n v="629"/>
    <s v="Medium Risk"/>
    <s v="High Risk Exposure"/>
    <s v="High"/>
  </r>
  <r>
    <s v="LN0528"/>
    <s v="C0208"/>
    <s v="B10"/>
    <x v="0"/>
    <n v="1000000"/>
    <n v="0.15240000000000001"/>
    <d v="2023-12-06T00:00:00"/>
    <n v="24"/>
    <n v="90"/>
    <n v="670000"/>
    <x v="2"/>
    <n v="48600.753255881849"/>
    <d v="2025-12-06T00:00:00"/>
    <n v="0.67"/>
    <s v="Undersecured"/>
    <x v="3"/>
    <n v="463"/>
    <s v="High Risk"/>
    <s v="High Risk Exposure"/>
    <s v="High"/>
  </r>
  <r>
    <s v="LN0529"/>
    <s v="C0184"/>
    <s v="B06"/>
    <x v="1"/>
    <n v="100000"/>
    <n v="0.27779999999999999"/>
    <d v="2023-12-25T00:00:00"/>
    <n v="36"/>
    <n v="0"/>
    <n v="0"/>
    <x v="0"/>
    <n v="4124.4822687055148"/>
    <d v="2026-12-25T00:00:00"/>
    <n v="0"/>
    <s v="Undersecured"/>
    <x v="6"/>
    <n v="707"/>
    <s v="Low Risk"/>
    <s v="High Risk Exposure"/>
    <s v="High"/>
  </r>
  <r>
    <s v="LN0530"/>
    <s v="C0213"/>
    <s v="B05"/>
    <x v="0"/>
    <n v="25000000"/>
    <n v="0.21049999999999999"/>
    <d v="2023-08-09T00:00:00"/>
    <n v="72"/>
    <n v="0"/>
    <n v="16500000"/>
    <x v="0"/>
    <n v="614133.4645029885"/>
    <d v="2029-08-09T00:00:00"/>
    <n v="0.66"/>
    <s v="Undersecured"/>
    <x v="4"/>
    <n v="654"/>
    <s v="Medium Risk"/>
    <s v="High Risk Exposure"/>
    <s v="High"/>
  </r>
  <r>
    <s v="LN0531"/>
    <s v="C0160"/>
    <s v="B08"/>
    <x v="3"/>
    <n v="500000"/>
    <n v="0.16470000000000001"/>
    <d v="2025-07-04T00:00:00"/>
    <n v="36"/>
    <n v="0"/>
    <n v="725000"/>
    <x v="0"/>
    <n v="17694.756743336704"/>
    <d v="2028-07-04T00:00:00"/>
    <n v="1.45"/>
    <s v="Secured"/>
    <x v="5"/>
    <n v="332"/>
    <s v="High Risk"/>
    <s v="High Risk Exposure"/>
    <s v="High"/>
  </r>
  <r>
    <s v="LN0532"/>
    <s v="C0167"/>
    <s v="B06"/>
    <x v="2"/>
    <n v="80000000"/>
    <n v="0.11509999999999999"/>
    <d v="2024-02-11T00:00:00"/>
    <n v="24"/>
    <n v="5"/>
    <n v="101600000"/>
    <x v="0"/>
    <n v="3747597.7421871522"/>
    <d v="2026-02-11T00:00:00"/>
    <n v="1.27"/>
    <s v="Secured"/>
    <x v="6"/>
    <n v="490"/>
    <s v="High Risk"/>
    <s v="High Risk Exposure"/>
    <s v="High"/>
  </r>
  <r>
    <s v="LN0533"/>
    <s v="C0270"/>
    <s v="B14"/>
    <x v="0"/>
    <n v="1000000"/>
    <n v="0.21940000000000001"/>
    <d v="2023-07-08T00:00:00"/>
    <n v="12"/>
    <n v="10"/>
    <n v="1090000"/>
    <x v="0"/>
    <n v="93565.505597340991"/>
    <d v="2024-07-08T00:00:00"/>
    <n v="1.0900000000000001"/>
    <s v="Secured"/>
    <x v="13"/>
    <n v="639"/>
    <s v="Medium Risk"/>
    <s v="Normal"/>
    <s v="Normal"/>
  </r>
  <r>
    <s v="LN0534"/>
    <s v="C0196"/>
    <s v="B05"/>
    <x v="1"/>
    <n v="1000000"/>
    <n v="0.2349"/>
    <d v="2025-05-10T00:00:00"/>
    <n v="24"/>
    <n v="0"/>
    <n v="0"/>
    <x v="0"/>
    <n v="52616.89437506345"/>
    <d v="2027-05-10T00:00:00"/>
    <n v="0"/>
    <s v="Undersecured"/>
    <x v="4"/>
    <n v="674"/>
    <s v="Low Risk"/>
    <s v="High Risk Exposure"/>
    <s v="High"/>
  </r>
  <r>
    <s v="LN0535"/>
    <s v="C0006"/>
    <s v="B12"/>
    <x v="0"/>
    <n v="6000000"/>
    <n v="0.14630000000000001"/>
    <d v="2025-12-22T00:00:00"/>
    <n v="24"/>
    <n v="0"/>
    <n v="3180000"/>
    <x v="0"/>
    <n v="289866.24190666986"/>
    <d v="2027-12-22T00:00:00"/>
    <n v="0.53"/>
    <s v="Undersecured"/>
    <x v="12"/>
    <n v="609"/>
    <s v="Medium Risk"/>
    <s v="High Risk Exposure"/>
    <s v="High"/>
  </r>
  <r>
    <s v="LN0536"/>
    <s v="C0367"/>
    <s v="B08"/>
    <x v="2"/>
    <n v="6000000"/>
    <n v="0.13200000000000001"/>
    <d v="2024-08-23T00:00:00"/>
    <n v="24"/>
    <n v="5"/>
    <n v="5340000"/>
    <x v="0"/>
    <n v="285814.90857249661"/>
    <d v="2026-08-23T00:00:00"/>
    <n v="0.89"/>
    <s v="Undersecured"/>
    <x v="5"/>
    <n v="309"/>
    <s v="High Risk"/>
    <s v="High Risk Exposure"/>
    <s v="High"/>
  </r>
  <r>
    <s v="LN0537"/>
    <s v="C0620"/>
    <s v="B07"/>
    <x v="3"/>
    <n v="1000000"/>
    <n v="0.1847"/>
    <d v="2021-05-13T00:00:00"/>
    <n v="48"/>
    <n v="45"/>
    <n v="1410000"/>
    <x v="2"/>
    <n v="29621.164666530429"/>
    <d v="2025-05-13T00:00:00"/>
    <n v="1.41"/>
    <s v="Secured"/>
    <x v="0"/>
    <n v="653"/>
    <s v="Medium Risk"/>
    <s v="High Risk Exposure"/>
    <s v="High"/>
  </r>
  <r>
    <s v="LN0538"/>
    <s v="C0686"/>
    <s v="B12"/>
    <x v="3"/>
    <n v="6000000"/>
    <n v="0.1812"/>
    <d v="2024-11-15T00:00:00"/>
    <n v="12"/>
    <n v="0"/>
    <n v="4860000"/>
    <x v="0"/>
    <n v="550422.6731840265"/>
    <d v="2025-11-15T00:00:00"/>
    <n v="0.81"/>
    <s v="Undersecured"/>
    <x v="12"/>
    <n v="419"/>
    <s v="High Risk"/>
    <s v="High Risk Exposure"/>
    <s v="High"/>
  </r>
  <r>
    <s v="LN0539"/>
    <s v="C0602"/>
    <s v="B01"/>
    <x v="1"/>
    <n v="1000000"/>
    <n v="0.2331"/>
    <d v="2021-10-20T00:00:00"/>
    <n v="24"/>
    <n v="90"/>
    <n v="0"/>
    <x v="2"/>
    <n v="52527.339349415852"/>
    <d v="2023-10-20T00:00:00"/>
    <n v="0"/>
    <s v="Undersecured"/>
    <x v="1"/>
    <n v="839"/>
    <s v="Prime"/>
    <s v="High Risk Exposure"/>
    <s v="High"/>
  </r>
  <r>
    <s v="LN0540"/>
    <s v="C0400"/>
    <s v="B04"/>
    <x v="3"/>
    <n v="3000000"/>
    <n v="0.15609999999999999"/>
    <d v="2021-02-05T00:00:00"/>
    <n v="72"/>
    <n v="20"/>
    <n v="2220000"/>
    <x v="0"/>
    <n v="64433.055471431631"/>
    <d v="2027-02-05T00:00:00"/>
    <n v="0.74"/>
    <s v="Undersecured"/>
    <x v="14"/>
    <n v="441"/>
    <s v="High Risk"/>
    <s v="High Risk Exposure"/>
    <s v="High"/>
  </r>
  <r>
    <s v="LN0541"/>
    <s v="C0696"/>
    <s v="B03"/>
    <x v="1"/>
    <n v="100000"/>
    <n v="0.2331"/>
    <d v="2021-08-19T00:00:00"/>
    <n v="60"/>
    <n v="0"/>
    <n v="0"/>
    <x v="0"/>
    <n v="2836.8863006858005"/>
    <d v="2026-08-19T00:00:00"/>
    <n v="0"/>
    <s v="Undersecured"/>
    <x v="7"/>
    <n v="719"/>
    <s v="Low Risk"/>
    <s v="High Risk Exposure"/>
    <s v="High"/>
  </r>
  <r>
    <s v="LN0542"/>
    <s v="C0201"/>
    <s v="B10"/>
    <x v="2"/>
    <n v="6000000"/>
    <n v="0.1091"/>
    <d v="2023-07-11T00:00:00"/>
    <n v="36"/>
    <n v="5"/>
    <n v="5880000"/>
    <x v="0"/>
    <n v="196176.67716559896"/>
    <d v="2026-07-11T00:00:00"/>
    <n v="0.98"/>
    <s v="Undersecured"/>
    <x v="3"/>
    <n v="611"/>
    <s v="Medium Risk"/>
    <s v="High Risk Exposure"/>
    <s v="High"/>
  </r>
  <r>
    <s v="LN0543"/>
    <s v="C0158"/>
    <s v="B08"/>
    <x v="0"/>
    <n v="6000000"/>
    <n v="0.17960000000000001"/>
    <d v="2021-12-03T00:00:00"/>
    <n v="48"/>
    <n v="10"/>
    <n v="4440000"/>
    <x v="0"/>
    <n v="176124.61191138683"/>
    <d v="2025-12-03T00:00:00"/>
    <n v="0.74"/>
    <s v="Undersecured"/>
    <x v="5"/>
    <n v="614"/>
    <s v="Medium Risk"/>
    <s v="High Risk Exposure"/>
    <s v="High"/>
  </r>
  <r>
    <s v="LN0544"/>
    <s v="C0393"/>
    <s v="B07"/>
    <x v="2"/>
    <n v="25000000"/>
    <n v="0.1273"/>
    <d v="2021-09-24T00:00:00"/>
    <n v="24"/>
    <n v="0"/>
    <n v="20000000"/>
    <x v="0"/>
    <n v="1185377.5158384477"/>
    <d v="2023-09-24T00:00:00"/>
    <n v="0.8"/>
    <s v="Undersecured"/>
    <x v="0"/>
    <n v="549"/>
    <s v="High Risk"/>
    <s v="High Risk Exposure"/>
    <s v="High"/>
  </r>
  <r>
    <s v="LN0545"/>
    <s v="C0609"/>
    <s v="B14"/>
    <x v="2"/>
    <n v="6000000"/>
    <n v="0.13100000000000001"/>
    <d v="2024-03-04T00:00:00"/>
    <n v="36"/>
    <n v="10"/>
    <n v="5280000"/>
    <x v="0"/>
    <n v="202452.8304829222"/>
    <d v="2027-03-04T00:00:00"/>
    <n v="0.88"/>
    <s v="Undersecured"/>
    <x v="13"/>
    <n v="775"/>
    <s v="Very Low Risk"/>
    <s v="High Risk Exposure"/>
    <s v="High"/>
  </r>
  <r>
    <s v="LN0546"/>
    <s v="C0468"/>
    <s v="B02"/>
    <x v="2"/>
    <n v="6000000"/>
    <n v="0.1368"/>
    <d v="2020-04-14T00:00:00"/>
    <n v="48"/>
    <n v="10"/>
    <n v="6420000"/>
    <x v="0"/>
    <n v="162997.35364414705"/>
    <d v="2024-04-14T00:00:00"/>
    <n v="1.07"/>
    <s v="Secured"/>
    <x v="11"/>
    <n v="604"/>
    <s v="Medium Risk"/>
    <s v="Normal"/>
    <s v="Normal"/>
  </r>
  <r>
    <s v="LN0547"/>
    <s v="C0292"/>
    <s v="B07"/>
    <x v="3"/>
    <n v="1000000"/>
    <n v="0.17299999999999999"/>
    <d v="2021-11-28T00:00:00"/>
    <n v="48"/>
    <n v="0"/>
    <n v="810000"/>
    <x v="0"/>
    <n v="29010.485482926892"/>
    <d v="2025-11-28T00:00:00"/>
    <n v="0.81"/>
    <s v="Undersecured"/>
    <x v="0"/>
    <n v="649"/>
    <s v="Medium Risk"/>
    <s v="High Risk Exposure"/>
    <s v="High"/>
  </r>
  <r>
    <s v="LN0548"/>
    <s v="C0496"/>
    <s v="B02"/>
    <x v="2"/>
    <n v="80000000"/>
    <n v="0.1227"/>
    <d v="2024-11-05T00:00:00"/>
    <n v="12"/>
    <n v="10"/>
    <n v="91200000"/>
    <x v="0"/>
    <n v="7118011.7232515868"/>
    <d v="2025-11-05T00:00:00"/>
    <n v="1.1399999999999999"/>
    <s v="Secured"/>
    <x v="11"/>
    <n v="604"/>
    <s v="Medium Risk"/>
    <s v="Normal"/>
    <s v="Normal"/>
  </r>
  <r>
    <s v="LN0549"/>
    <s v="C0577"/>
    <s v="B02"/>
    <x v="3"/>
    <n v="500000"/>
    <n v="0.1217"/>
    <d v="2021-11-03T00:00:00"/>
    <n v="72"/>
    <n v="45"/>
    <n v="495000"/>
    <x v="2"/>
    <n v="9819.3547541369171"/>
    <d v="2027-11-03T00:00:00"/>
    <n v="0.99"/>
    <s v="Undersecured"/>
    <x v="11"/>
    <n v="440"/>
    <s v="High Risk"/>
    <s v="High Risk Exposure"/>
    <s v="High"/>
  </r>
  <r>
    <s v="LN0550"/>
    <s v="C0326"/>
    <s v="B10"/>
    <x v="2"/>
    <n v="25000000"/>
    <n v="0.1172"/>
    <d v="2023-03-21T00:00:00"/>
    <n v="48"/>
    <n v="90"/>
    <n v="20250000"/>
    <x v="2"/>
    <n v="654914.19134095067"/>
    <d v="2027-03-21T00:00:00"/>
    <n v="0.81"/>
    <s v="Undersecured"/>
    <x v="3"/>
    <n v="537"/>
    <s v="High Risk"/>
    <s v="High Risk Exposure"/>
    <s v="High"/>
  </r>
  <r>
    <s v="LN0551"/>
    <s v="C0611"/>
    <s v="B11"/>
    <x v="0"/>
    <n v="3000000"/>
    <n v="0.1706"/>
    <d v="2024-12-25T00:00:00"/>
    <n v="60"/>
    <n v="0"/>
    <n v="2280000"/>
    <x v="0"/>
    <n v="74654.546616273554"/>
    <d v="2029-12-25T00:00:00"/>
    <n v="0.76"/>
    <s v="Undersecured"/>
    <x v="10"/>
    <n v="402"/>
    <s v="High Risk"/>
    <s v="High Risk Exposure"/>
    <s v="High"/>
  </r>
  <r>
    <s v="LN0552"/>
    <s v="C0172"/>
    <s v="B03"/>
    <x v="0"/>
    <n v="3000000"/>
    <n v="0.20569999999999999"/>
    <d v="2022-06-08T00:00:00"/>
    <n v="72"/>
    <n v="120"/>
    <n v="2220000"/>
    <x v="1"/>
    <n v="72853.121592982978"/>
    <d v="2028-06-08T00:00:00"/>
    <n v="0.74"/>
    <s v="Undersecured"/>
    <x v="7"/>
    <n v="446"/>
    <s v="High Risk"/>
    <s v="High Risk Exposure"/>
    <s v="Critical"/>
  </r>
  <r>
    <s v="LN0553"/>
    <s v="C0004"/>
    <s v="B03"/>
    <x v="2"/>
    <n v="25000000"/>
    <n v="9.9900000000000003E-2"/>
    <d v="2022-11-01T00:00:00"/>
    <n v="12"/>
    <n v="0"/>
    <n v="20000000"/>
    <x v="0"/>
    <n v="2197780.9096508604"/>
    <d v="2023-11-01T00:00:00"/>
    <n v="0.8"/>
    <s v="Undersecured"/>
    <x v="7"/>
    <n v="555"/>
    <s v="High Risk"/>
    <s v="High Risk Exposure"/>
    <s v="High"/>
  </r>
  <r>
    <s v="LN0554"/>
    <s v="C0403"/>
    <s v="B07"/>
    <x v="1"/>
    <n v="250000"/>
    <n v="0.23089999999999999"/>
    <d v="2020-08-13T00:00:00"/>
    <n v="36"/>
    <n v="120"/>
    <n v="0"/>
    <x v="1"/>
    <n v="9689.1613683737742"/>
    <d v="2023-08-13T00:00:00"/>
    <n v="0"/>
    <s v="Undersecured"/>
    <x v="0"/>
    <n v="787"/>
    <s v="Very Low Risk"/>
    <s v="High Risk Exposure"/>
    <s v="Critical"/>
  </r>
  <r>
    <s v="LN0555"/>
    <s v="C0418"/>
    <s v="B01"/>
    <x v="2"/>
    <n v="80000000"/>
    <n v="9.4E-2"/>
    <d v="2023-11-21T00:00:00"/>
    <n v="60"/>
    <n v="0"/>
    <n v="114400000"/>
    <x v="0"/>
    <n v="1676242.0599338077"/>
    <d v="2028-11-21T00:00:00"/>
    <n v="1.43"/>
    <s v="Secured"/>
    <x v="1"/>
    <n v="441"/>
    <s v="High Risk"/>
    <s v="High Risk Exposure"/>
    <s v="High"/>
  </r>
  <r>
    <s v="LN0556"/>
    <s v="C0334"/>
    <s v="B02"/>
    <x v="2"/>
    <n v="6000000"/>
    <n v="0.1095"/>
    <d v="2025-05-03T00:00:00"/>
    <n v="72"/>
    <n v="0"/>
    <n v="5400000"/>
    <x v="0"/>
    <n v="114050.8763119144"/>
    <d v="2031-05-03T00:00:00"/>
    <n v="0.9"/>
    <s v="Undersecured"/>
    <x v="11"/>
    <n v="313"/>
    <s v="High Risk"/>
    <s v="High Risk Exposure"/>
    <s v="High"/>
  </r>
  <r>
    <s v="LN0557"/>
    <s v="C0361"/>
    <s v="B02"/>
    <x v="0"/>
    <n v="3000000"/>
    <n v="0.2019"/>
    <d v="2020-05-01T00:00:00"/>
    <n v="60"/>
    <n v="0"/>
    <n v="4410000"/>
    <x v="0"/>
    <n v="79799.140372866008"/>
    <d v="2025-05-01T00:00:00"/>
    <n v="1.47"/>
    <s v="Secured"/>
    <x v="11"/>
    <n v="545"/>
    <s v="High Risk"/>
    <s v="High Risk Exposure"/>
    <s v="High"/>
  </r>
  <r>
    <s v="LN0558"/>
    <s v="C0640"/>
    <s v="B12"/>
    <x v="2"/>
    <n v="25000000"/>
    <n v="0.13550000000000001"/>
    <d v="2020-10-14T00:00:00"/>
    <n v="12"/>
    <n v="20"/>
    <n v="26000000"/>
    <x v="0"/>
    <n v="2239388.0305323782"/>
    <d v="2021-10-14T00:00:00"/>
    <n v="1.04"/>
    <s v="Secured"/>
    <x v="12"/>
    <n v="829"/>
    <s v="Prime"/>
    <s v="Normal"/>
    <s v="Normal"/>
  </r>
  <r>
    <s v="LN0559"/>
    <s v="C0096"/>
    <s v="B06"/>
    <x v="3"/>
    <n v="500000"/>
    <n v="0.17660000000000001"/>
    <d v="2021-04-12T00:00:00"/>
    <n v="24"/>
    <n v="90"/>
    <n v="585000"/>
    <x v="2"/>
    <n v="24879.988168648757"/>
    <d v="2023-04-12T00:00:00"/>
    <n v="1.17"/>
    <s v="Secured"/>
    <x v="6"/>
    <n v="466"/>
    <s v="High Risk"/>
    <s v="High Risk Exposure"/>
    <s v="High"/>
  </r>
  <r>
    <s v="LN0560"/>
    <s v="C0015"/>
    <s v="B08"/>
    <x v="3"/>
    <n v="500000"/>
    <n v="0.18079999999999999"/>
    <d v="2020-06-14T00:00:00"/>
    <n v="36"/>
    <n v="0"/>
    <n v="630000"/>
    <x v="0"/>
    <n v="18096.270063181528"/>
    <d v="2023-06-14T00:00:00"/>
    <n v="1.26"/>
    <s v="Secured"/>
    <x v="5"/>
    <n v="348"/>
    <s v="High Risk"/>
    <s v="High Risk Exposure"/>
    <s v="High"/>
  </r>
  <r>
    <s v="LN0561"/>
    <s v="C0016"/>
    <s v="B06"/>
    <x v="3"/>
    <n v="500000"/>
    <n v="0.19689999999999999"/>
    <d v="2023-11-26T00:00:00"/>
    <n v="12"/>
    <n v="20"/>
    <n v="255000"/>
    <x v="0"/>
    <n v="46243.102441931194"/>
    <d v="2024-11-26T00:00:00"/>
    <n v="0.51"/>
    <s v="Undersecured"/>
    <x v="6"/>
    <n v="797"/>
    <s v="Very Low Risk"/>
    <s v="High Risk Exposure"/>
    <s v="High"/>
  </r>
  <r>
    <s v="LN0562"/>
    <s v="C0069"/>
    <s v="B01"/>
    <x v="2"/>
    <n v="25000000"/>
    <n v="0.1045"/>
    <d v="2025-10-18T00:00:00"/>
    <n v="36"/>
    <n v="10"/>
    <n v="29750000"/>
    <x v="0"/>
    <n v="811971.80172573554"/>
    <d v="2028-10-18T00:00:00"/>
    <n v="1.19"/>
    <s v="Secured"/>
    <x v="1"/>
    <n v="450"/>
    <s v="High Risk"/>
    <s v="High Risk Exposure"/>
    <s v="High"/>
  </r>
  <r>
    <s v="LN0563"/>
    <s v="C0282"/>
    <s v="B08"/>
    <x v="2"/>
    <n v="6000000"/>
    <n v="9.2999999999999999E-2"/>
    <d v="2024-09-21T00:00:00"/>
    <n v="12"/>
    <n v="0"/>
    <n v="5940000"/>
    <x v="0"/>
    <n v="525543.94142720546"/>
    <d v="2025-09-21T00:00:00"/>
    <n v="0.99"/>
    <s v="Undersecured"/>
    <x v="5"/>
    <n v="339"/>
    <s v="High Risk"/>
    <s v="High Risk Exposure"/>
    <s v="High"/>
  </r>
  <r>
    <s v="LN0564"/>
    <s v="C0243"/>
    <s v="B02"/>
    <x v="1"/>
    <n v="100000"/>
    <n v="0.19239999999999999"/>
    <d v="2020-02-12T00:00:00"/>
    <n v="60"/>
    <n v="45"/>
    <n v="0"/>
    <x v="2"/>
    <n v="2607.2787140135715"/>
    <d v="2025-02-12T00:00:00"/>
    <n v="0"/>
    <s v="Undersecured"/>
    <x v="11"/>
    <n v="725"/>
    <s v="Low Risk"/>
    <s v="High Risk Exposure"/>
    <s v="High"/>
  </r>
  <r>
    <s v="LN0565"/>
    <s v="C0147"/>
    <s v="B05"/>
    <x v="2"/>
    <n v="80000000"/>
    <n v="0.1048"/>
    <d v="2025-11-08T00:00:00"/>
    <n v="24"/>
    <n v="0"/>
    <n v="91200000"/>
    <x v="0"/>
    <n v="3709342.7154007796"/>
    <d v="2027-11-08T00:00:00"/>
    <n v="1.1399999999999999"/>
    <s v="Secured"/>
    <x v="4"/>
    <n v="696"/>
    <s v="Low Risk"/>
    <s v="Normal"/>
    <s v="Normal"/>
  </r>
  <r>
    <s v="LN0566"/>
    <s v="C0061"/>
    <s v="B11"/>
    <x v="2"/>
    <n v="25000000"/>
    <n v="0.13500000000000001"/>
    <d v="2025-05-24T00:00:00"/>
    <n v="60"/>
    <n v="0"/>
    <n v="28750000"/>
    <x v="0"/>
    <n v="575246.15042217576"/>
    <d v="2030-05-24T00:00:00"/>
    <n v="1.1499999999999999"/>
    <s v="Secured"/>
    <x v="10"/>
    <n v="400"/>
    <s v="High Risk"/>
    <s v="High Risk Exposure"/>
    <s v="High"/>
  </r>
  <r>
    <s v="LN0567"/>
    <s v="C0566"/>
    <s v="B09"/>
    <x v="0"/>
    <n v="3000000"/>
    <n v="0.156"/>
    <d v="2024-09-01T00:00:00"/>
    <n v="36"/>
    <n v="20"/>
    <n v="4500000"/>
    <x v="0"/>
    <n v="104879.61458498264"/>
    <d v="2027-09-01T00:00:00"/>
    <n v="1.5"/>
    <s v="Secured"/>
    <x v="8"/>
    <n v="517"/>
    <s v="High Risk"/>
    <s v="High Risk Exposure"/>
    <s v="High"/>
  </r>
  <r>
    <s v="LN0568"/>
    <s v="C0683"/>
    <s v="B09"/>
    <x v="1"/>
    <n v="1000000"/>
    <n v="0.22189999999999999"/>
    <d v="2024-02-21T00:00:00"/>
    <n v="48"/>
    <n v="20"/>
    <n v="0"/>
    <x v="0"/>
    <n v="31609.318278806953"/>
    <d v="2028-02-21T00:00:00"/>
    <n v="0"/>
    <s v="Undersecured"/>
    <x v="8"/>
    <n v="640"/>
    <s v="Medium Risk"/>
    <s v="High Risk Exposure"/>
    <s v="High"/>
  </r>
  <r>
    <s v="LN0569"/>
    <s v="C0143"/>
    <s v="B12"/>
    <x v="3"/>
    <n v="500000"/>
    <n v="0.1726"/>
    <d v="2024-11-24T00:00:00"/>
    <n v="12"/>
    <n v="0"/>
    <n v="695000"/>
    <x v="0"/>
    <n v="45664.092617524802"/>
    <d v="2025-11-24T00:00:00"/>
    <n v="1.39"/>
    <s v="Secured"/>
    <x v="12"/>
    <n v="762"/>
    <s v="Very Low Risk"/>
    <s v="Normal"/>
    <s v="Normal"/>
  </r>
  <r>
    <s v="LN0570"/>
    <s v="C0385"/>
    <s v="B03"/>
    <x v="3"/>
    <n v="3000000"/>
    <n v="0.16289999999999999"/>
    <d v="2022-02-09T00:00:00"/>
    <n v="72"/>
    <n v="45"/>
    <n v="4170000"/>
    <x v="2"/>
    <n v="65555.46180610836"/>
    <d v="2028-02-09T00:00:00"/>
    <n v="1.39"/>
    <s v="Secured"/>
    <x v="7"/>
    <n v="444"/>
    <s v="High Risk"/>
    <s v="High Risk Exposure"/>
    <s v="High"/>
  </r>
  <r>
    <s v="LN0571"/>
    <s v="C0679"/>
    <s v="B12"/>
    <x v="3"/>
    <n v="6000000"/>
    <n v="0.1246"/>
    <d v="2022-12-03T00:00:00"/>
    <n v="72"/>
    <n v="120"/>
    <n v="8340000"/>
    <x v="1"/>
    <n v="118741.36964368913"/>
    <d v="2028-12-03T00:00:00"/>
    <n v="1.39"/>
    <s v="Secured"/>
    <x v="12"/>
    <n v="514"/>
    <s v="High Risk"/>
    <s v="High Risk Exposure"/>
    <s v="Critical"/>
  </r>
  <r>
    <s v="LN0572"/>
    <s v="C0248"/>
    <s v="B14"/>
    <x v="1"/>
    <n v="1000000"/>
    <n v="0.1704"/>
    <d v="2020-11-03T00:00:00"/>
    <n v="12"/>
    <n v="0"/>
    <n v="0"/>
    <x v="0"/>
    <n v="91223.73587062968"/>
    <d v="2021-11-03T00:00:00"/>
    <n v="0"/>
    <s v="Undersecured"/>
    <x v="13"/>
    <n v="313"/>
    <s v="High Risk"/>
    <s v="High Risk Exposure"/>
    <s v="High"/>
  </r>
  <r>
    <s v="LN0573"/>
    <s v="C0624"/>
    <s v="B05"/>
    <x v="2"/>
    <n v="6000000"/>
    <n v="0.12970000000000001"/>
    <d v="2021-07-24T00:00:00"/>
    <n v="48"/>
    <n v="20"/>
    <n v="7500000"/>
    <x v="0"/>
    <n v="160875.65118511269"/>
    <d v="2025-07-24T00:00:00"/>
    <n v="1.25"/>
    <s v="Secured"/>
    <x v="4"/>
    <n v="437"/>
    <s v="High Risk"/>
    <s v="High Risk Exposure"/>
    <s v="High"/>
  </r>
  <r>
    <s v="LN0574"/>
    <s v="C0362"/>
    <s v="B11"/>
    <x v="2"/>
    <n v="25000000"/>
    <n v="0.10730000000000001"/>
    <d v="2021-05-02T00:00:00"/>
    <n v="60"/>
    <n v="10"/>
    <n v="21250000"/>
    <x v="0"/>
    <n v="540200.35240377195"/>
    <d v="2026-05-02T00:00:00"/>
    <n v="0.85"/>
    <s v="Undersecured"/>
    <x v="10"/>
    <n v="848"/>
    <s v="Prime"/>
    <s v="High Risk Exposure"/>
    <s v="High"/>
  </r>
  <r>
    <s v="LN0575"/>
    <s v="C0445"/>
    <s v="B03"/>
    <x v="1"/>
    <n v="250000"/>
    <n v="0.21240000000000001"/>
    <d v="2023-08-24T00:00:00"/>
    <n v="24"/>
    <n v="90"/>
    <n v="0"/>
    <x v="2"/>
    <n v="12875.902490235852"/>
    <d v="2025-08-24T00:00:00"/>
    <n v="0"/>
    <s v="Undersecured"/>
    <x v="7"/>
    <n v="468"/>
    <s v="High Risk"/>
    <s v="High Risk Exposure"/>
    <s v="High"/>
  </r>
  <r>
    <s v="LN0576"/>
    <s v="C0520"/>
    <s v="B02"/>
    <x v="2"/>
    <n v="25000000"/>
    <n v="9.4600000000000004E-2"/>
    <d v="2022-11-11T00:00:00"/>
    <n v="72"/>
    <n v="90"/>
    <n v="15500000"/>
    <x v="2"/>
    <n v="456367.12656520202"/>
    <d v="2028-11-11T00:00:00"/>
    <n v="0.62"/>
    <s v="Undersecured"/>
    <x v="11"/>
    <n v="820"/>
    <s v="Prime"/>
    <s v="High Risk Exposure"/>
    <s v="High"/>
  </r>
  <r>
    <s v="LN0577"/>
    <s v="C0176"/>
    <s v="B15"/>
    <x v="2"/>
    <n v="25000000"/>
    <n v="0.12839999999999999"/>
    <d v="2025-05-12T00:00:00"/>
    <n v="12"/>
    <n v="45"/>
    <n v="37000000"/>
    <x v="2"/>
    <n v="2231055.6671722932"/>
    <d v="2026-05-12T00:00:00"/>
    <n v="1.48"/>
    <s v="Secured"/>
    <x v="9"/>
    <n v="769"/>
    <s v="Very Low Risk"/>
    <s v="High Risk Exposure"/>
    <s v="High"/>
  </r>
  <r>
    <s v="LN0578"/>
    <s v="C0364"/>
    <s v="B05"/>
    <x v="1"/>
    <n v="100000"/>
    <n v="0.222"/>
    <d v="2021-09-22T00:00:00"/>
    <n v="48"/>
    <n v="0"/>
    <n v="0"/>
    <x v="0"/>
    <n v="3161.4756992039893"/>
    <d v="2025-09-22T00:00:00"/>
    <n v="0"/>
    <s v="Undersecured"/>
    <x v="4"/>
    <n v="597"/>
    <s v="Medium Risk"/>
    <s v="High Risk Exposure"/>
    <s v="High"/>
  </r>
  <r>
    <s v="LN0579"/>
    <s v="C0150"/>
    <s v="B03"/>
    <x v="1"/>
    <n v="1000000"/>
    <n v="0.21740000000000001"/>
    <d v="2023-08-02T00:00:00"/>
    <n v="36"/>
    <n v="90"/>
    <n v="0"/>
    <x v="2"/>
    <n v="38056.078568628822"/>
    <d v="2026-08-02T00:00:00"/>
    <n v="0"/>
    <s v="Undersecured"/>
    <x v="7"/>
    <n v="610"/>
    <s v="Medium Risk"/>
    <s v="High Risk Exposure"/>
    <s v="High"/>
  </r>
  <r>
    <s v="LN0580"/>
    <s v="C0697"/>
    <s v="B07"/>
    <x v="2"/>
    <n v="25000000"/>
    <n v="0.13170000000000001"/>
    <d v="2022-01-20T00:00:00"/>
    <n v="24"/>
    <n v="90"/>
    <n v="20250000"/>
    <x v="2"/>
    <n v="1190542.7964989226"/>
    <d v="2024-01-20T00:00:00"/>
    <n v="0.81"/>
    <s v="Undersecured"/>
    <x v="0"/>
    <n v="389"/>
    <s v="High Risk"/>
    <s v="High Risk Exposure"/>
    <s v="High"/>
  </r>
  <r>
    <s v="LN0581"/>
    <s v="C0328"/>
    <s v="B09"/>
    <x v="0"/>
    <n v="1000000"/>
    <n v="0.22450000000000001"/>
    <d v="2021-07-03T00:00:00"/>
    <n v="48"/>
    <n v="5"/>
    <n v="1120000"/>
    <x v="0"/>
    <n v="31750.887312740026"/>
    <d v="2025-07-03T00:00:00"/>
    <n v="1.1200000000000001"/>
    <s v="Secured"/>
    <x v="8"/>
    <n v="820"/>
    <s v="Prime"/>
    <s v="Normal"/>
    <s v="Normal"/>
  </r>
  <r>
    <s v="LN0582"/>
    <s v="C0099"/>
    <s v="B04"/>
    <x v="3"/>
    <n v="6000000"/>
    <n v="0.19739999999999999"/>
    <d v="2022-04-17T00:00:00"/>
    <n v="12"/>
    <n v="0"/>
    <n v="3480000"/>
    <x v="0"/>
    <n v="555060.6941290606"/>
    <d v="2023-04-17T00:00:00"/>
    <n v="0.57999999999999996"/>
    <s v="Undersecured"/>
    <x v="14"/>
    <n v="332"/>
    <s v="High Risk"/>
    <s v="High Risk Exposure"/>
    <s v="High"/>
  </r>
  <r>
    <s v="LN0583"/>
    <s v="C0230"/>
    <s v="B02"/>
    <x v="3"/>
    <n v="3000000"/>
    <n v="0.16400000000000001"/>
    <d v="2022-07-20T00:00:00"/>
    <n v="48"/>
    <n v="20"/>
    <n v="2610000"/>
    <x v="0"/>
    <n v="85636.679271817615"/>
    <d v="2026-07-20T00:00:00"/>
    <n v="0.87"/>
    <s v="Undersecured"/>
    <x v="11"/>
    <n v="618"/>
    <s v="Medium Risk"/>
    <s v="High Risk Exposure"/>
    <s v="High"/>
  </r>
  <r>
    <s v="LN0584"/>
    <s v="C0146"/>
    <s v="B02"/>
    <x v="3"/>
    <n v="6000000"/>
    <n v="0.15260000000000001"/>
    <d v="2021-09-16T00:00:00"/>
    <n v="60"/>
    <n v="20"/>
    <n v="3780000"/>
    <x v="0"/>
    <n v="143559.75037358166"/>
    <d v="2026-09-16T00:00:00"/>
    <n v="0.63"/>
    <s v="Undersecured"/>
    <x v="11"/>
    <n v="709"/>
    <s v="Low Risk"/>
    <s v="High Risk Exposure"/>
    <s v="High"/>
  </r>
  <r>
    <s v="LN0585"/>
    <s v="C0439"/>
    <s v="B10"/>
    <x v="1"/>
    <n v="100000"/>
    <n v="0.25679999999999997"/>
    <d v="2024-01-10T00:00:00"/>
    <n v="12"/>
    <n v="0"/>
    <n v="0"/>
    <x v="0"/>
    <n v="9537.4495096523606"/>
    <d v="2025-01-10T00:00:00"/>
    <n v="0"/>
    <s v="Undersecured"/>
    <x v="3"/>
    <n v="466"/>
    <s v="High Risk"/>
    <s v="High Risk Exposure"/>
    <s v="High"/>
  </r>
  <r>
    <s v="LN0586"/>
    <s v="C0699"/>
    <s v="B12"/>
    <x v="3"/>
    <n v="3000000"/>
    <n v="0.1532"/>
    <d v="2021-09-17T00:00:00"/>
    <n v="36"/>
    <n v="90"/>
    <n v="4080000"/>
    <x v="2"/>
    <n v="104466.71661078003"/>
    <d v="2024-09-17T00:00:00"/>
    <n v="1.36"/>
    <s v="Secured"/>
    <x v="12"/>
    <n v="850"/>
    <s v="Prime"/>
    <s v="High Risk Exposure"/>
    <s v="High"/>
  </r>
  <r>
    <s v="LN0587"/>
    <s v="C0309"/>
    <s v="B09"/>
    <x v="2"/>
    <n v="80000000"/>
    <n v="0.1181"/>
    <d v="2023-10-07T00:00:00"/>
    <n v="72"/>
    <n v="20"/>
    <n v="100800000"/>
    <x v="0"/>
    <n v="1556122.2795369111"/>
    <d v="2029-10-07T00:00:00"/>
    <n v="1.26"/>
    <s v="Secured"/>
    <x v="8"/>
    <n v="659"/>
    <s v="Medium Risk"/>
    <s v="Normal"/>
    <s v="Normal"/>
  </r>
  <r>
    <s v="LN0588"/>
    <s v="C0347"/>
    <s v="B13"/>
    <x v="3"/>
    <n v="1000000"/>
    <n v="0.15570000000000001"/>
    <d v="2022-11-13T00:00:00"/>
    <n v="60"/>
    <n v="90"/>
    <n v="1280000"/>
    <x v="2"/>
    <n v="24090.175862011714"/>
    <d v="2027-11-13T00:00:00"/>
    <n v="1.28"/>
    <s v="Secured"/>
    <x v="2"/>
    <n v="624"/>
    <s v="Medium Risk"/>
    <s v="High Risk Exposure"/>
    <s v="High"/>
  </r>
  <r>
    <s v="LN0589"/>
    <s v="C0219"/>
    <s v="B04"/>
    <x v="1"/>
    <n v="250000"/>
    <n v="0.20019999999999999"/>
    <d v="2022-01-26T00:00:00"/>
    <n v="48"/>
    <n v="90"/>
    <n v="0"/>
    <x v="2"/>
    <n v="7610.2548136300647"/>
    <d v="2026-01-26T00:00:00"/>
    <n v="0"/>
    <s v="Undersecured"/>
    <x v="14"/>
    <n v="402"/>
    <s v="High Risk"/>
    <s v="High Risk Exposure"/>
    <s v="High"/>
  </r>
  <r>
    <s v="LN0590"/>
    <s v="C0457"/>
    <s v="B10"/>
    <x v="2"/>
    <n v="80000000"/>
    <n v="0.13150000000000001"/>
    <d v="2024-11-06T00:00:00"/>
    <n v="60"/>
    <n v="45"/>
    <n v="108000000"/>
    <x v="2"/>
    <n v="1826394.6570392624"/>
    <d v="2029-11-06T00:00:00"/>
    <n v="1.35"/>
    <s v="Secured"/>
    <x v="3"/>
    <n v="306"/>
    <s v="High Risk"/>
    <s v="High Risk Exposure"/>
    <s v="High"/>
  </r>
  <r>
    <s v="LN0591"/>
    <s v="C0299"/>
    <s v="B09"/>
    <x v="1"/>
    <n v="1000000"/>
    <n v="0.22559999999999999"/>
    <d v="2024-05-14T00:00:00"/>
    <n v="48"/>
    <n v="20"/>
    <n v="0"/>
    <x v="0"/>
    <n v="31810.883549072907"/>
    <d v="2028-05-14T00:00:00"/>
    <n v="0"/>
    <s v="Undersecured"/>
    <x v="8"/>
    <n v="550"/>
    <s v="High Risk"/>
    <s v="High Risk Exposure"/>
    <s v="High"/>
  </r>
  <r>
    <s v="LN0592"/>
    <s v="C0053"/>
    <s v="B06"/>
    <x v="2"/>
    <n v="25000000"/>
    <n v="0.12379999999999999"/>
    <d v="2024-11-19T00:00:00"/>
    <n v="60"/>
    <n v="120"/>
    <n v="15000000"/>
    <x v="1"/>
    <n v="560923.75775654276"/>
    <d v="2029-11-19T00:00:00"/>
    <n v="0.6"/>
    <s v="Undersecured"/>
    <x v="6"/>
    <n v="436"/>
    <s v="High Risk"/>
    <s v="High Risk Exposure"/>
    <s v="Critical"/>
  </r>
  <r>
    <s v="LN0593"/>
    <s v="C0554"/>
    <s v="B01"/>
    <x v="3"/>
    <n v="6000000"/>
    <n v="0.1205"/>
    <d v="2024-12-22T00:00:00"/>
    <n v="24"/>
    <n v="0"/>
    <n v="6960000"/>
    <x v="0"/>
    <n v="282580.95166663994"/>
    <d v="2026-12-22T00:00:00"/>
    <n v="1.1599999999999999"/>
    <s v="Secured"/>
    <x v="1"/>
    <n v="664"/>
    <s v="Medium Risk"/>
    <s v="Normal"/>
    <s v="Normal"/>
  </r>
  <r>
    <s v="LN0594"/>
    <s v="C0581"/>
    <s v="B13"/>
    <x v="1"/>
    <n v="500000"/>
    <n v="0.24990000000000001"/>
    <d v="2023-01-25T00:00:00"/>
    <n v="36"/>
    <n v="120"/>
    <n v="0"/>
    <x v="1"/>
    <n v="19877.268608646733"/>
    <d v="2026-01-25T00:00:00"/>
    <n v="0"/>
    <s v="Undersecured"/>
    <x v="2"/>
    <n v="474"/>
    <s v="High Risk"/>
    <s v="High Risk Exposure"/>
    <s v="Critical"/>
  </r>
  <r>
    <s v="LN0595"/>
    <s v="C0680"/>
    <s v="B02"/>
    <x v="2"/>
    <n v="6000000"/>
    <n v="0.12470000000000001"/>
    <d v="2025-09-22T00:00:00"/>
    <n v="60"/>
    <n v="0"/>
    <n v="3600000"/>
    <x v="0"/>
    <n v="134896.09418515093"/>
    <d v="2030-09-22T00:00:00"/>
    <n v="0.6"/>
    <s v="Undersecured"/>
    <x v="11"/>
    <n v="633"/>
    <s v="Medium Risk"/>
    <s v="High Risk Exposure"/>
    <s v="High"/>
  </r>
  <r>
    <s v="LN0596"/>
    <s v="C0355"/>
    <s v="B11"/>
    <x v="1"/>
    <n v="100000"/>
    <n v="0.2225"/>
    <d v="2023-10-01T00:00:00"/>
    <n v="48"/>
    <n v="0"/>
    <n v="0"/>
    <x v="0"/>
    <n v="3164.1958061766704"/>
    <d v="2027-10-01T00:00:00"/>
    <n v="0"/>
    <s v="Undersecured"/>
    <x v="10"/>
    <n v="809"/>
    <s v="Prime"/>
    <s v="High Risk Exposure"/>
    <s v="High"/>
  </r>
  <r>
    <s v="LN0597"/>
    <s v="C0649"/>
    <s v="B08"/>
    <x v="1"/>
    <n v="500000"/>
    <n v="0.20530000000000001"/>
    <d v="2020-03-20T00:00:00"/>
    <n v="24"/>
    <n v="10"/>
    <n v="0"/>
    <x v="0"/>
    <n v="25577.545530925472"/>
    <d v="2022-03-20T00:00:00"/>
    <n v="0"/>
    <s v="Undersecured"/>
    <x v="5"/>
    <n v="307"/>
    <s v="High Risk"/>
    <s v="High Risk Exposure"/>
    <s v="High"/>
  </r>
  <r>
    <s v="LN0598"/>
    <s v="C0442"/>
    <s v="B03"/>
    <x v="3"/>
    <n v="3000000"/>
    <n v="0.1605"/>
    <d v="2024-12-17T00:00:00"/>
    <n v="48"/>
    <n v="0"/>
    <n v="4050000"/>
    <x v="0"/>
    <n v="85097.684886746254"/>
    <d v="2028-12-17T00:00:00"/>
    <n v="1.35"/>
    <s v="Secured"/>
    <x v="7"/>
    <n v="568"/>
    <s v="High Risk"/>
    <s v="High Risk Exposure"/>
    <s v="High"/>
  </r>
  <r>
    <s v="LN0599"/>
    <s v="C0558"/>
    <s v="B05"/>
    <x v="0"/>
    <n v="25000000"/>
    <n v="0.1797"/>
    <d v="2024-12-05T00:00:00"/>
    <n v="60"/>
    <n v="90"/>
    <n v="13750000"/>
    <x v="2"/>
    <n v="634427.75771980139"/>
    <d v="2029-12-05T00:00:00"/>
    <n v="0.55000000000000004"/>
    <s v="Undersecured"/>
    <x v="4"/>
    <n v="350"/>
    <s v="High Risk"/>
    <s v="High Risk Exposure"/>
    <s v="High"/>
  </r>
  <r>
    <s v="LN0600"/>
    <s v="C0460"/>
    <s v="B04"/>
    <x v="0"/>
    <n v="6000000"/>
    <n v="0.14080000000000001"/>
    <d v="2024-12-28T00:00:00"/>
    <n v="48"/>
    <n v="0"/>
    <n v="4020000"/>
    <x v="0"/>
    <n v="164199.74349272219"/>
    <d v="2028-12-28T00:00:00"/>
    <n v="0.67"/>
    <s v="Undersecured"/>
    <x v="14"/>
    <n v="544"/>
    <s v="High Risk"/>
    <s v="High Risk Exposure"/>
    <s v="High"/>
  </r>
  <r>
    <s v="LN0601"/>
    <s v="C0504"/>
    <s v="B12"/>
    <x v="3"/>
    <n v="500000"/>
    <n v="0.12559999999999999"/>
    <d v="2021-09-28T00:00:00"/>
    <n v="72"/>
    <n v="0"/>
    <n v="410000"/>
    <x v="0"/>
    <n v="9921.3138127792718"/>
    <d v="2027-09-28T00:00:00"/>
    <n v="0.82"/>
    <s v="Undersecured"/>
    <x v="12"/>
    <n v="834"/>
    <s v="Prime"/>
    <s v="High Risk Exposure"/>
    <s v="High"/>
  </r>
  <r>
    <s v="LN0602"/>
    <s v="C0093"/>
    <s v="B13"/>
    <x v="2"/>
    <n v="25000000"/>
    <n v="9.6100000000000005E-2"/>
    <d v="2020-01-17T00:00:00"/>
    <n v="36"/>
    <n v="120"/>
    <n v="30500000"/>
    <x v="1"/>
    <n v="802109.86211765173"/>
    <d v="2023-01-17T00:00:00"/>
    <n v="1.22"/>
    <s v="Secured"/>
    <x v="2"/>
    <n v="520"/>
    <s v="High Risk"/>
    <s v="High Risk Exposure"/>
    <s v="Critical"/>
  </r>
  <r>
    <s v="LN0603"/>
    <s v="C0641"/>
    <s v="B05"/>
    <x v="3"/>
    <n v="3000000"/>
    <n v="0.12520000000000001"/>
    <d v="2020-12-02T00:00:00"/>
    <n v="36"/>
    <n v="0"/>
    <n v="3810000"/>
    <x v="0"/>
    <n v="100389.65772194735"/>
    <d v="2023-12-02T00:00:00"/>
    <n v="1.27"/>
    <s v="Secured"/>
    <x v="4"/>
    <n v="790"/>
    <s v="Very Low Risk"/>
    <s v="Normal"/>
    <s v="Normal"/>
  </r>
  <r>
    <s v="LN0604"/>
    <s v="C0656"/>
    <s v="B13"/>
    <x v="3"/>
    <n v="1000000"/>
    <n v="0.15709999999999999"/>
    <d v="2024-05-16T00:00:00"/>
    <n v="72"/>
    <n v="10"/>
    <n v="870000"/>
    <x v="0"/>
    <n v="21532.488286345109"/>
    <d v="2030-05-16T00:00:00"/>
    <n v="0.87"/>
    <s v="Undersecured"/>
    <x v="2"/>
    <n v="485"/>
    <s v="High Risk"/>
    <s v="High Risk Exposure"/>
    <s v="High"/>
  </r>
  <r>
    <s v="LN0605"/>
    <s v="C0457"/>
    <s v="B08"/>
    <x v="2"/>
    <n v="80000000"/>
    <n v="0.104"/>
    <d v="2021-07-10T00:00:00"/>
    <n v="48"/>
    <n v="5"/>
    <n v="85600000"/>
    <x v="0"/>
    <n v="2044409.0133867357"/>
    <d v="2025-07-10T00:00:00"/>
    <n v="1.07"/>
    <s v="Secured"/>
    <x v="5"/>
    <n v="306"/>
    <s v="High Risk"/>
    <s v="High Risk Exposure"/>
    <s v="High"/>
  </r>
  <r>
    <s v="LN0606"/>
    <s v="C0639"/>
    <s v="B04"/>
    <x v="1"/>
    <n v="1000000"/>
    <n v="0.21859999999999999"/>
    <d v="2021-10-08T00:00:00"/>
    <n v="36"/>
    <n v="0"/>
    <n v="0"/>
    <x v="0"/>
    <n v="38118.064983567136"/>
    <d v="2024-10-08T00:00:00"/>
    <n v="0"/>
    <s v="Undersecured"/>
    <x v="14"/>
    <n v="567"/>
    <s v="High Risk"/>
    <s v="High Risk Exposure"/>
    <s v="High"/>
  </r>
  <r>
    <s v="LN0607"/>
    <s v="C0287"/>
    <s v="B02"/>
    <x v="1"/>
    <n v="500000"/>
    <n v="0.1867"/>
    <d v="2021-08-14T00:00:00"/>
    <n v="24"/>
    <n v="5"/>
    <n v="0"/>
    <x v="0"/>
    <n v="25124.215815953983"/>
    <d v="2023-08-14T00:00:00"/>
    <n v="0"/>
    <s v="Undersecured"/>
    <x v="11"/>
    <n v="657"/>
    <s v="Medium Risk"/>
    <s v="High Risk Exposure"/>
    <s v="High"/>
  </r>
  <r>
    <s v="LN0608"/>
    <s v="C0605"/>
    <s v="B13"/>
    <x v="0"/>
    <n v="25000000"/>
    <n v="0.1681"/>
    <d v="2022-04-13T00:00:00"/>
    <n v="24"/>
    <n v="90"/>
    <n v="33250000"/>
    <x v="2"/>
    <n v="1233775.4534983411"/>
    <d v="2024-04-13T00:00:00"/>
    <n v="1.33"/>
    <s v="Secured"/>
    <x v="2"/>
    <n v="459"/>
    <s v="High Risk"/>
    <s v="High Risk Exposure"/>
    <s v="High"/>
  </r>
  <r>
    <s v="LN0609"/>
    <s v="C0261"/>
    <s v="B01"/>
    <x v="3"/>
    <n v="3000000"/>
    <n v="0.151"/>
    <d v="2020-10-01T00:00:00"/>
    <n v="24"/>
    <n v="10"/>
    <n v="3990000"/>
    <x v="0"/>
    <n v="145602.51901565606"/>
    <d v="2022-10-01T00:00:00"/>
    <n v="1.33"/>
    <s v="Secured"/>
    <x v="1"/>
    <n v="844"/>
    <s v="Prime"/>
    <s v="Normal"/>
    <s v="Normal"/>
  </r>
  <r>
    <s v="LN0610"/>
    <s v="C0070"/>
    <s v="B01"/>
    <x v="2"/>
    <n v="6000000"/>
    <n v="0.1067"/>
    <d v="2020-01-08T00:00:00"/>
    <n v="24"/>
    <n v="0"/>
    <n v="8340000"/>
    <x v="0"/>
    <n v="278728.6564038042"/>
    <d v="2022-01-08T00:00:00"/>
    <n v="1.39"/>
    <s v="Secured"/>
    <x v="1"/>
    <n v="489"/>
    <s v="High Risk"/>
    <s v="High Risk Exposure"/>
    <s v="High"/>
  </r>
  <r>
    <s v="LN0611"/>
    <s v="C0049"/>
    <s v="B10"/>
    <x v="2"/>
    <n v="25000000"/>
    <n v="0.13370000000000001"/>
    <d v="2025-11-16T00:00:00"/>
    <n v="24"/>
    <n v="0"/>
    <n v="28500000"/>
    <x v="0"/>
    <n v="1192894.9869885177"/>
    <d v="2027-11-16T00:00:00"/>
    <n v="1.1399999999999999"/>
    <s v="Secured"/>
    <x v="3"/>
    <n v="374"/>
    <s v="High Risk"/>
    <s v="High Risk Exposure"/>
    <s v="High"/>
  </r>
  <r>
    <s v="LN0612"/>
    <s v="C0632"/>
    <s v="B08"/>
    <x v="3"/>
    <n v="500000"/>
    <n v="0.156"/>
    <d v="2023-08-27T00:00:00"/>
    <n v="48"/>
    <n v="10"/>
    <n v="420000"/>
    <x v="0"/>
    <n v="14067.919250935847"/>
    <d v="2027-08-27T00:00:00"/>
    <n v="0.84"/>
    <s v="Undersecured"/>
    <x v="5"/>
    <n v="580"/>
    <s v="Medium Risk"/>
    <s v="High Risk Exposure"/>
    <s v="High"/>
  </r>
  <r>
    <s v="LN0613"/>
    <s v="C0412"/>
    <s v="B02"/>
    <x v="1"/>
    <n v="1000000"/>
    <n v="0.21490000000000001"/>
    <d v="2020-03-23T00:00:00"/>
    <n v="60"/>
    <n v="90"/>
    <n v="0"/>
    <x v="2"/>
    <n v="27329.725442101964"/>
    <d v="2025-03-23T00:00:00"/>
    <n v="0"/>
    <s v="Undersecured"/>
    <x v="11"/>
    <n v="513"/>
    <s v="High Risk"/>
    <s v="High Risk Exposure"/>
    <s v="High"/>
  </r>
  <r>
    <s v="LN0614"/>
    <s v="C0195"/>
    <s v="B15"/>
    <x v="3"/>
    <n v="6000000"/>
    <n v="0.1845"/>
    <d v="2022-05-15T00:00:00"/>
    <n v="12"/>
    <n v="5"/>
    <n v="8640000"/>
    <x v="0"/>
    <n v="551365.7402785843"/>
    <d v="2023-05-15T00:00:00"/>
    <n v="1.44"/>
    <s v="Secured"/>
    <x v="9"/>
    <n v="720"/>
    <s v="Low Risk"/>
    <s v="Normal"/>
    <s v="Normal"/>
  </r>
  <r>
    <s v="LN0615"/>
    <s v="C0473"/>
    <s v="B01"/>
    <x v="3"/>
    <n v="500000"/>
    <n v="0.15260000000000001"/>
    <d v="2024-02-17T00:00:00"/>
    <n v="36"/>
    <n v="0"/>
    <n v="395000"/>
    <x v="0"/>
    <n v="17396.39347729634"/>
    <d v="2027-02-17T00:00:00"/>
    <n v="0.79"/>
    <s v="Undersecured"/>
    <x v="1"/>
    <n v="674"/>
    <s v="Low Risk"/>
    <s v="High Risk Exposure"/>
    <s v="High"/>
  </r>
  <r>
    <s v="LN0616"/>
    <s v="C0143"/>
    <s v="B10"/>
    <x v="2"/>
    <n v="80000000"/>
    <n v="0.1038"/>
    <d v="2025-09-16T00:00:00"/>
    <n v="48"/>
    <n v="0"/>
    <n v="82400000"/>
    <x v="0"/>
    <n v="2043637.2572808468"/>
    <d v="2029-09-16T00:00:00"/>
    <n v="1.03"/>
    <s v="Secured"/>
    <x v="3"/>
    <n v="762"/>
    <s v="Very Low Risk"/>
    <s v="Normal"/>
    <s v="Normal"/>
  </r>
  <r>
    <s v="LN0617"/>
    <s v="C0400"/>
    <s v="B07"/>
    <x v="0"/>
    <n v="1000000"/>
    <n v="0.2271"/>
    <d v="2021-03-26T00:00:00"/>
    <n v="48"/>
    <n v="0"/>
    <n v="710000"/>
    <x v="0"/>
    <n v="31892.793861091686"/>
    <d v="2025-03-26T00:00:00"/>
    <n v="0.71"/>
    <s v="Undersecured"/>
    <x v="0"/>
    <n v="441"/>
    <s v="High Risk"/>
    <s v="High Risk Exposure"/>
    <s v="High"/>
  </r>
  <r>
    <s v="LN0618"/>
    <s v="C0601"/>
    <s v="B15"/>
    <x v="3"/>
    <n v="500000"/>
    <n v="0.13689999999999999"/>
    <d v="2024-09-27T00:00:00"/>
    <n v="12"/>
    <n v="120"/>
    <n v="535000"/>
    <x v="1"/>
    <n v="44820.660920789676"/>
    <d v="2025-09-27T00:00:00"/>
    <n v="1.07"/>
    <s v="Secured"/>
    <x v="9"/>
    <n v="551"/>
    <s v="High Risk"/>
    <s v="High Risk Exposure"/>
    <s v="Critical"/>
  </r>
  <r>
    <s v="LN0619"/>
    <s v="C0086"/>
    <s v="B14"/>
    <x v="0"/>
    <n v="25000000"/>
    <n v="0.17829999999999999"/>
    <d v="2022-06-14T00:00:00"/>
    <n v="12"/>
    <n v="5"/>
    <n v="21500000"/>
    <x v="0"/>
    <n v="2289977.6763278814"/>
    <d v="2023-06-14T00:00:00"/>
    <n v="0.86"/>
    <s v="Undersecured"/>
    <x v="13"/>
    <n v="521"/>
    <s v="High Risk"/>
    <s v="High Risk Exposure"/>
    <s v="High"/>
  </r>
  <r>
    <s v="LN0620"/>
    <s v="C0344"/>
    <s v="B09"/>
    <x v="0"/>
    <n v="1000000"/>
    <n v="0.2369"/>
    <d v="2021-01-23T00:00:00"/>
    <n v="72"/>
    <n v="10"/>
    <n v="910000"/>
    <x v="0"/>
    <n v="26138.96318300044"/>
    <d v="2027-01-23T00:00:00"/>
    <n v="0.91"/>
    <s v="Undersecured"/>
    <x v="8"/>
    <n v="572"/>
    <s v="High Risk"/>
    <s v="High Risk Exposure"/>
    <s v="High"/>
  </r>
  <r>
    <s v="LN0621"/>
    <s v="C0248"/>
    <s v="B05"/>
    <x v="1"/>
    <n v="500000"/>
    <n v="0.19989999999999999"/>
    <d v="2021-05-23T00:00:00"/>
    <n v="72"/>
    <n v="45"/>
    <n v="0"/>
    <x v="2"/>
    <n v="11973.514933820385"/>
    <d v="2027-05-23T00:00:00"/>
    <n v="0"/>
    <s v="Undersecured"/>
    <x v="4"/>
    <n v="313"/>
    <s v="High Risk"/>
    <s v="High Risk Exposure"/>
    <s v="High"/>
  </r>
  <r>
    <s v="LN0622"/>
    <s v="C0631"/>
    <s v="B04"/>
    <x v="3"/>
    <n v="500000"/>
    <n v="0.1716"/>
    <d v="2020-01-02T00:00:00"/>
    <n v="12"/>
    <n v="0"/>
    <n v="515000"/>
    <x v="0"/>
    <n v="45640.350086749895"/>
    <d v="2021-01-02T00:00:00"/>
    <n v="1.03"/>
    <s v="Secured"/>
    <x v="14"/>
    <n v="799"/>
    <s v="Very Low Risk"/>
    <s v="Normal"/>
    <s v="Normal"/>
  </r>
  <r>
    <s v="LN0623"/>
    <s v="C0252"/>
    <s v="B14"/>
    <x v="2"/>
    <n v="6000000"/>
    <n v="0.09"/>
    <d v="2020-11-10T00:00:00"/>
    <n v="72"/>
    <n v="120"/>
    <n v="8040000"/>
    <x v="1"/>
    <n v="108153.22300963099"/>
    <d v="2026-11-10T00:00:00"/>
    <n v="1.34"/>
    <s v="Secured"/>
    <x v="13"/>
    <n v="776"/>
    <s v="Very Low Risk"/>
    <s v="High Risk Exposure"/>
    <s v="Critical"/>
  </r>
  <r>
    <s v="LN0624"/>
    <s v="C0242"/>
    <s v="B07"/>
    <x v="3"/>
    <n v="500000"/>
    <n v="0.13070000000000001"/>
    <d v="2021-06-23T00:00:00"/>
    <n v="60"/>
    <n v="45"/>
    <n v="730000"/>
    <x v="2"/>
    <n v="11394.461392862577"/>
    <d v="2026-06-23T00:00:00"/>
    <n v="1.46"/>
    <s v="Secured"/>
    <x v="0"/>
    <n v="463"/>
    <s v="High Risk"/>
    <s v="High Risk Exposure"/>
    <s v="High"/>
  </r>
  <r>
    <s v="LN0625"/>
    <s v="C0316"/>
    <s v="B14"/>
    <x v="0"/>
    <n v="6000000"/>
    <n v="0.20799999999999999"/>
    <d v="2021-04-03T00:00:00"/>
    <n v="48"/>
    <n v="0"/>
    <n v="6900000"/>
    <x v="0"/>
    <n v="185149.33908096034"/>
    <d v="2025-04-03T00:00:00"/>
    <n v="1.1499999999999999"/>
    <s v="Secured"/>
    <x v="13"/>
    <n v="472"/>
    <s v="High Risk"/>
    <s v="High Risk Exposure"/>
    <s v="High"/>
  </r>
  <r>
    <s v="LN0626"/>
    <s v="C0287"/>
    <s v="B15"/>
    <x v="3"/>
    <n v="500000"/>
    <n v="0.15190000000000001"/>
    <d v="2020-12-23T00:00:00"/>
    <n v="60"/>
    <n v="10"/>
    <n v="605000"/>
    <x v="0"/>
    <n v="11944.889872264417"/>
    <d v="2025-12-23T00:00:00"/>
    <n v="1.21"/>
    <s v="Secured"/>
    <x v="9"/>
    <n v="657"/>
    <s v="Medium Risk"/>
    <s v="Normal"/>
    <s v="Normal"/>
  </r>
  <r>
    <s v="LN0627"/>
    <s v="C0133"/>
    <s v="B15"/>
    <x v="0"/>
    <n v="6000000"/>
    <n v="0.1903"/>
    <d v="2020-04-14T00:00:00"/>
    <n v="60"/>
    <n v="0"/>
    <n v="8880000"/>
    <x v="0"/>
    <n v="155742.36661054188"/>
    <d v="2025-04-14T00:00:00"/>
    <n v="1.48"/>
    <s v="Secured"/>
    <x v="9"/>
    <n v="325"/>
    <s v="High Risk"/>
    <s v="High Risk Exposure"/>
    <s v="High"/>
  </r>
  <r>
    <s v="LN0628"/>
    <s v="C0232"/>
    <s v="B07"/>
    <x v="2"/>
    <n v="25000000"/>
    <n v="0.1139"/>
    <d v="2020-10-20T00:00:00"/>
    <n v="36"/>
    <n v="10"/>
    <n v="19750000"/>
    <x v="0"/>
    <n v="823092.89296993101"/>
    <d v="2023-10-20T00:00:00"/>
    <n v="0.79"/>
    <s v="Undersecured"/>
    <x v="0"/>
    <n v="733"/>
    <s v="Low Risk"/>
    <s v="High Risk Exposure"/>
    <s v="High"/>
  </r>
  <r>
    <s v="LN0629"/>
    <s v="C0517"/>
    <s v="B06"/>
    <x v="0"/>
    <n v="1000000"/>
    <n v="0.20549999999999999"/>
    <d v="2023-07-13T00:00:00"/>
    <n v="48"/>
    <n v="5"/>
    <n v="970000"/>
    <x v="0"/>
    <n v="30724.168002307957"/>
    <d v="2027-07-13T00:00:00"/>
    <n v="0.97"/>
    <s v="Undersecured"/>
    <x v="6"/>
    <n v="430"/>
    <s v="High Risk"/>
    <s v="High Risk Exposure"/>
    <s v="High"/>
  </r>
  <r>
    <s v="LN0630"/>
    <s v="C0147"/>
    <s v="B09"/>
    <x v="2"/>
    <n v="6000000"/>
    <n v="0.1389"/>
    <d v="2025-12-11T00:00:00"/>
    <n v="72"/>
    <n v="0"/>
    <n v="8520000"/>
    <x v="0"/>
    <n v="123281.30539959382"/>
    <d v="2031-12-11T00:00:00"/>
    <n v="1.42"/>
    <s v="Secured"/>
    <x v="8"/>
    <n v="696"/>
    <s v="Low Risk"/>
    <s v="Normal"/>
    <s v="Normal"/>
  </r>
  <r>
    <s v="LN0631"/>
    <s v="C0271"/>
    <s v="B02"/>
    <x v="0"/>
    <n v="6000000"/>
    <n v="0.20960000000000001"/>
    <d v="2021-04-27T00:00:00"/>
    <n v="48"/>
    <n v="10"/>
    <n v="4080000"/>
    <x v="0"/>
    <n v="185665.10662320396"/>
    <d v="2025-04-27T00:00:00"/>
    <n v="0.68"/>
    <s v="Undersecured"/>
    <x v="11"/>
    <n v="654"/>
    <s v="Medium Risk"/>
    <s v="High Risk Exposure"/>
    <s v="High"/>
  </r>
  <r>
    <s v="LN0632"/>
    <s v="C0516"/>
    <s v="B09"/>
    <x v="2"/>
    <n v="80000000"/>
    <n v="0.12670000000000001"/>
    <d v="2022-04-15T00:00:00"/>
    <n v="60"/>
    <n v="5"/>
    <n v="108800000"/>
    <x v="0"/>
    <n v="1806759.9903329364"/>
    <d v="2027-04-15T00:00:00"/>
    <n v="1.36"/>
    <s v="Secured"/>
    <x v="8"/>
    <n v="631"/>
    <s v="Medium Risk"/>
    <s v="Normal"/>
    <s v="Normal"/>
  </r>
  <r>
    <s v="LN0633"/>
    <s v="C0147"/>
    <s v="B09"/>
    <x v="1"/>
    <n v="500000"/>
    <n v="0.23080000000000001"/>
    <d v="2025-07-22T00:00:00"/>
    <n v="12"/>
    <n v="0"/>
    <n v="0"/>
    <x v="0"/>
    <n v="47057.46715594847"/>
    <d v="2026-07-22T00:00:00"/>
    <n v="0"/>
    <s v="Undersecured"/>
    <x v="8"/>
    <n v="696"/>
    <s v="Low Risk"/>
    <s v="High Risk Exposure"/>
    <s v="High"/>
  </r>
  <r>
    <s v="LN0634"/>
    <s v="C0045"/>
    <s v="B10"/>
    <x v="1"/>
    <n v="100000"/>
    <n v="0.21510000000000001"/>
    <d v="2024-10-10T00:00:00"/>
    <n v="60"/>
    <n v="5"/>
    <n v="0"/>
    <x v="0"/>
    <n v="2734.1036544443359"/>
    <d v="2029-10-10T00:00:00"/>
    <n v="0"/>
    <s v="Undersecured"/>
    <x v="3"/>
    <n v="500"/>
    <s v="High Risk"/>
    <s v="High Risk Exposure"/>
    <s v="High"/>
  </r>
  <r>
    <s v="LN0635"/>
    <s v="C0060"/>
    <s v="B15"/>
    <x v="0"/>
    <n v="3000000"/>
    <n v="0.15679999999999999"/>
    <d v="2025-11-27T00:00:00"/>
    <n v="60"/>
    <n v="0"/>
    <n v="1830000"/>
    <x v="0"/>
    <n v="72445.07495821621"/>
    <d v="2030-11-27T00:00:00"/>
    <n v="0.61"/>
    <s v="Undersecured"/>
    <x v="9"/>
    <n v="748"/>
    <s v="Very Low Risk"/>
    <s v="High Risk Exposure"/>
    <s v="High"/>
  </r>
  <r>
    <s v="LN0636"/>
    <s v="C0591"/>
    <s v="B14"/>
    <x v="1"/>
    <n v="250000"/>
    <n v="0.24709999999999999"/>
    <d v="2020-08-28T00:00:00"/>
    <n v="72"/>
    <n v="20"/>
    <n v="0"/>
    <x v="0"/>
    <n v="6689.875346681848"/>
    <d v="2026-08-28T00:00:00"/>
    <n v="0"/>
    <s v="Undersecured"/>
    <x v="13"/>
    <n v="512"/>
    <s v="High Risk"/>
    <s v="High Risk Exposure"/>
    <s v="High"/>
  </r>
  <r>
    <s v="LN0637"/>
    <s v="C0122"/>
    <s v="B14"/>
    <x v="0"/>
    <n v="1000000"/>
    <n v="0.2243"/>
    <d v="2020-08-05T00:00:00"/>
    <n v="72"/>
    <n v="10"/>
    <n v="1350000"/>
    <x v="0"/>
    <n v="25381.996539071471"/>
    <d v="2026-08-05T00:00:00"/>
    <n v="1.35"/>
    <s v="Secured"/>
    <x v="13"/>
    <n v="680"/>
    <s v="Low Risk"/>
    <s v="Normal"/>
    <s v="Normal"/>
  </r>
  <r>
    <s v="LN0638"/>
    <s v="C0260"/>
    <s v="B01"/>
    <x v="3"/>
    <n v="6000000"/>
    <n v="0.14660000000000001"/>
    <d v="2020-04-20T00:00:00"/>
    <n v="24"/>
    <n v="0"/>
    <n v="6720000"/>
    <x v="0"/>
    <n v="289951.59009707649"/>
    <d v="2022-04-20T00:00:00"/>
    <n v="1.1200000000000001"/>
    <s v="Secured"/>
    <x v="1"/>
    <n v="787"/>
    <s v="Very Low Risk"/>
    <s v="Normal"/>
    <s v="Normal"/>
  </r>
  <r>
    <s v="LN0639"/>
    <s v="C0345"/>
    <s v="B15"/>
    <x v="0"/>
    <n v="6000000"/>
    <n v="0.18770000000000001"/>
    <d v="2022-04-09T00:00:00"/>
    <n v="72"/>
    <n v="20"/>
    <n v="3480000"/>
    <x v="0"/>
    <n v="139471.37954419505"/>
    <d v="2028-04-09T00:00:00"/>
    <n v="0.57999999999999996"/>
    <s v="Undersecured"/>
    <x v="9"/>
    <n v="349"/>
    <s v="High Risk"/>
    <s v="High Risk Exposure"/>
    <s v="High"/>
  </r>
  <r>
    <s v="LN0640"/>
    <s v="C0358"/>
    <s v="B04"/>
    <x v="3"/>
    <n v="3000000"/>
    <n v="0.17169999999999999"/>
    <d v="2022-11-12T00:00:00"/>
    <n v="12"/>
    <n v="120"/>
    <n v="3630000"/>
    <x v="1"/>
    <n v="273856.3442216001"/>
    <d v="2023-11-12T00:00:00"/>
    <n v="1.21"/>
    <s v="Secured"/>
    <x v="14"/>
    <n v="835"/>
    <s v="Prime"/>
    <s v="High Risk Exposure"/>
    <s v="Critical"/>
  </r>
  <r>
    <s v="LN0641"/>
    <s v="C0106"/>
    <s v="B15"/>
    <x v="0"/>
    <n v="3000000"/>
    <n v="0.17050000000000001"/>
    <d v="2023-03-12T00:00:00"/>
    <n v="72"/>
    <n v="0"/>
    <n v="4320000"/>
    <x v="0"/>
    <n v="66822.119753628955"/>
    <d v="2029-03-12T00:00:00"/>
    <n v="1.44"/>
    <s v="Secured"/>
    <x v="9"/>
    <n v="348"/>
    <s v="High Risk"/>
    <s v="High Risk Exposure"/>
    <s v="High"/>
  </r>
  <r>
    <s v="LN0642"/>
    <s v="C0521"/>
    <s v="B05"/>
    <x v="2"/>
    <n v="25000000"/>
    <n v="0.1108"/>
    <d v="2022-06-06T00:00:00"/>
    <n v="60"/>
    <n v="45"/>
    <n v="22500000"/>
    <x v="2"/>
    <n v="544558.52610830124"/>
    <d v="2027-06-06T00:00:00"/>
    <n v="0.9"/>
    <s v="Undersecured"/>
    <x v="4"/>
    <n v="309"/>
    <s v="High Risk"/>
    <s v="High Risk Exposure"/>
    <s v="High"/>
  </r>
  <r>
    <s v="LN0643"/>
    <s v="C0042"/>
    <s v="B07"/>
    <x v="3"/>
    <n v="6000000"/>
    <n v="0.13950000000000001"/>
    <d v="2025-07-04T00:00:00"/>
    <n v="12"/>
    <n v="90"/>
    <n v="3000000"/>
    <x v="2"/>
    <n v="538581.56021784386"/>
    <d v="2026-07-04T00:00:00"/>
    <n v="0.5"/>
    <s v="Undersecured"/>
    <x v="0"/>
    <n v="778"/>
    <s v="Very Low Risk"/>
    <s v="High Risk Exposure"/>
    <s v="High"/>
  </r>
  <r>
    <s v="LN0644"/>
    <s v="C0413"/>
    <s v="B02"/>
    <x v="0"/>
    <n v="25000000"/>
    <n v="0.2132"/>
    <d v="2020-09-25T00:00:00"/>
    <n v="72"/>
    <n v="20"/>
    <n v="36500000"/>
    <x v="0"/>
    <n v="618102.15565163246"/>
    <d v="2026-09-25T00:00:00"/>
    <n v="1.46"/>
    <s v="Secured"/>
    <x v="11"/>
    <n v="455"/>
    <s v="High Risk"/>
    <s v="High Risk Exposure"/>
    <s v="High"/>
  </r>
  <r>
    <s v="LN0645"/>
    <s v="C0612"/>
    <s v="B14"/>
    <x v="3"/>
    <n v="500000"/>
    <n v="0.13200000000000001"/>
    <d v="2020-04-10T00:00:00"/>
    <n v="12"/>
    <n v="10"/>
    <n v="615000"/>
    <x v="0"/>
    <n v="44705.567883549345"/>
    <d v="2021-04-10T00:00:00"/>
    <n v="1.23"/>
    <s v="Secured"/>
    <x v="13"/>
    <n v="367"/>
    <s v="High Risk"/>
    <s v="High Risk Exposure"/>
    <s v="High"/>
  </r>
  <r>
    <s v="LN0646"/>
    <s v="C0393"/>
    <s v="B09"/>
    <x v="2"/>
    <n v="25000000"/>
    <n v="0.13550000000000001"/>
    <d v="2021-04-01T00:00:00"/>
    <n v="24"/>
    <n v="0"/>
    <n v="14750000"/>
    <x v="0"/>
    <n v="1195014.2738493311"/>
    <d v="2023-04-01T00:00:00"/>
    <n v="0.59"/>
    <s v="Undersecured"/>
    <x v="8"/>
    <n v="549"/>
    <s v="High Risk"/>
    <s v="High Risk Exposure"/>
    <s v="High"/>
  </r>
  <r>
    <s v="LN0647"/>
    <s v="C0634"/>
    <s v="B09"/>
    <x v="3"/>
    <n v="6000000"/>
    <n v="0.12479999999999999"/>
    <d v="2023-02-12T00:00:00"/>
    <n v="72"/>
    <n v="5"/>
    <n v="3600000"/>
    <x v="0"/>
    <n v="118804.21161130759"/>
    <d v="2029-02-12T00:00:00"/>
    <n v="0.6"/>
    <s v="Undersecured"/>
    <x v="8"/>
    <n v="816"/>
    <s v="Prime"/>
    <s v="High Risk Exposure"/>
    <s v="High"/>
  </r>
  <r>
    <s v="LN0648"/>
    <s v="C0595"/>
    <s v="B11"/>
    <x v="0"/>
    <n v="25000000"/>
    <n v="0.2223"/>
    <d v="2024-06-13T00:00:00"/>
    <n v="60"/>
    <n v="10"/>
    <n v="21250000"/>
    <x v="0"/>
    <n v="693746.03169571143"/>
    <d v="2029-06-13T00:00:00"/>
    <n v="0.85"/>
    <s v="Undersecured"/>
    <x v="10"/>
    <n v="490"/>
    <s v="High Risk"/>
    <s v="High Risk Exposure"/>
    <s v="High"/>
  </r>
  <r>
    <s v="LN0649"/>
    <s v="C0204"/>
    <s v="B09"/>
    <x v="0"/>
    <n v="3000000"/>
    <n v="0.2011"/>
    <d v="2025-12-03T00:00:00"/>
    <n v="72"/>
    <n v="10"/>
    <n v="2970000"/>
    <x v="0"/>
    <n v="72049.892295058744"/>
    <d v="2031-12-03T00:00:00"/>
    <n v="0.99"/>
    <s v="Undersecured"/>
    <x v="8"/>
    <n v="304"/>
    <s v="High Risk"/>
    <s v="High Risk Exposure"/>
    <s v="High"/>
  </r>
  <r>
    <s v="LN0650"/>
    <s v="C0114"/>
    <s v="B06"/>
    <x v="1"/>
    <n v="250000"/>
    <n v="0.18659999999999999"/>
    <d v="2025-12-23T00:00:00"/>
    <n v="60"/>
    <n v="0"/>
    <n v="0"/>
    <x v="0"/>
    <n v="6438.4573081247781"/>
    <d v="2030-12-23T00:00:00"/>
    <n v="0"/>
    <s v="Undersecured"/>
    <x v="6"/>
    <n v="496"/>
    <s v="High Risk"/>
    <s v="High Risk Exposure"/>
    <s v="High"/>
  </r>
  <r>
    <s v="LN0651"/>
    <s v="C0230"/>
    <s v="B04"/>
    <x v="0"/>
    <n v="25000000"/>
    <n v="0.2094"/>
    <d v="2024-10-09T00:00:00"/>
    <n v="24"/>
    <n v="45"/>
    <n v="34000000"/>
    <x v="2"/>
    <n v="1283904.6275746466"/>
    <d v="2026-10-09T00:00:00"/>
    <n v="1.36"/>
    <s v="Secured"/>
    <x v="14"/>
    <n v="618"/>
    <s v="Medium Risk"/>
    <s v="High Risk Exposure"/>
    <s v="High"/>
  </r>
  <r>
    <s v="LN0652"/>
    <s v="C0408"/>
    <s v="B03"/>
    <x v="2"/>
    <n v="80000000"/>
    <n v="0.12"/>
    <d v="2020-02-01T00:00:00"/>
    <n v="72"/>
    <n v="45"/>
    <n v="57600000"/>
    <x v="2"/>
    <n v="1564015.4002159236"/>
    <d v="2026-02-01T00:00:00"/>
    <n v="0.72"/>
    <s v="Undersecured"/>
    <x v="7"/>
    <n v="572"/>
    <s v="High Risk"/>
    <s v="High Risk Exposure"/>
    <s v="High"/>
  </r>
  <r>
    <s v="LN0653"/>
    <s v="C0423"/>
    <s v="B11"/>
    <x v="0"/>
    <n v="1000000"/>
    <n v="0.1593"/>
    <d v="2024-05-09T00:00:00"/>
    <n v="12"/>
    <n v="45"/>
    <n v="1500000"/>
    <x v="2"/>
    <n v="90697.735748661522"/>
    <d v="2025-05-09T00:00:00"/>
    <n v="1.5"/>
    <s v="Secured"/>
    <x v="10"/>
    <n v="708"/>
    <s v="Low Risk"/>
    <s v="High Risk Exposure"/>
    <s v="High"/>
  </r>
  <r>
    <s v="LN0654"/>
    <s v="C0276"/>
    <s v="B01"/>
    <x v="2"/>
    <n v="6000000"/>
    <n v="0.1293"/>
    <d v="2024-11-20T00:00:00"/>
    <n v="24"/>
    <n v="0"/>
    <n v="7980000"/>
    <x v="0"/>
    <n v="285053.69862676918"/>
    <d v="2026-11-20T00:00:00"/>
    <n v="1.33"/>
    <s v="Secured"/>
    <x v="1"/>
    <n v="486"/>
    <s v="High Risk"/>
    <s v="High Risk Exposure"/>
    <s v="High"/>
  </r>
  <r>
    <s v="LN0655"/>
    <s v="C0460"/>
    <s v="B06"/>
    <x v="0"/>
    <n v="6000000"/>
    <n v="0.22309999999999999"/>
    <d v="2025-12-14T00:00:00"/>
    <n v="48"/>
    <n v="0"/>
    <n v="8160000"/>
    <x v="0"/>
    <n v="190047.69508777169"/>
    <d v="2029-12-14T00:00:00"/>
    <n v="1.36"/>
    <s v="Secured"/>
    <x v="6"/>
    <n v="544"/>
    <s v="High Risk"/>
    <s v="High Risk Exposure"/>
    <s v="High"/>
  </r>
  <r>
    <s v="LN0656"/>
    <s v="C0437"/>
    <s v="B05"/>
    <x v="2"/>
    <n v="25000000"/>
    <n v="9.6199999999999994E-2"/>
    <d v="2023-04-12T00:00:00"/>
    <n v="60"/>
    <n v="20"/>
    <n v="33250000"/>
    <x v="0"/>
    <n v="526513.81355144619"/>
    <d v="2028-04-12T00:00:00"/>
    <n v="1.33"/>
    <s v="Secured"/>
    <x v="4"/>
    <n v="695"/>
    <s v="Low Risk"/>
    <s v="Normal"/>
    <s v="Normal"/>
  </r>
  <r>
    <s v="LN0657"/>
    <s v="C0473"/>
    <s v="B10"/>
    <x v="3"/>
    <n v="1000000"/>
    <n v="0.1749"/>
    <d v="2025-07-21T00:00:00"/>
    <n v="48"/>
    <n v="0"/>
    <n v="610000"/>
    <x v="0"/>
    <n v="29109.174279726449"/>
    <d v="2029-07-21T00:00:00"/>
    <n v="0.61"/>
    <s v="Undersecured"/>
    <x v="3"/>
    <n v="674"/>
    <s v="Low Risk"/>
    <s v="High Risk Exposure"/>
    <s v="High"/>
  </r>
  <r>
    <s v="LN0658"/>
    <s v="C0588"/>
    <s v="B01"/>
    <x v="1"/>
    <n v="1000000"/>
    <n v="0.23319999999999999"/>
    <d v="2022-02-25T00:00:00"/>
    <n v="60"/>
    <n v="10"/>
    <n v="0"/>
    <x v="0"/>
    <n v="28374.627057873819"/>
    <d v="2027-02-25T00:00:00"/>
    <n v="0"/>
    <s v="Undersecured"/>
    <x v="1"/>
    <n v="571"/>
    <s v="High Risk"/>
    <s v="High Risk Exposure"/>
    <s v="High"/>
  </r>
  <r>
    <s v="LN0659"/>
    <s v="C0342"/>
    <s v="B02"/>
    <x v="1"/>
    <n v="1000000"/>
    <n v="0.1792"/>
    <d v="2025-09-20T00:00:00"/>
    <n v="36"/>
    <n v="45"/>
    <n v="0"/>
    <x v="2"/>
    <n v="36112.276267245419"/>
    <d v="2028-09-20T00:00:00"/>
    <n v="0"/>
    <s v="Undersecured"/>
    <x v="11"/>
    <n v="477"/>
    <s v="High Risk"/>
    <s v="High Risk Exposure"/>
    <s v="High"/>
  </r>
  <r>
    <s v="LN0660"/>
    <s v="C0071"/>
    <s v="B04"/>
    <x v="0"/>
    <n v="25000000"/>
    <n v="0.20930000000000001"/>
    <d v="2024-11-14T00:00:00"/>
    <n v="36"/>
    <n v="45"/>
    <n v="21750000"/>
    <x v="2"/>
    <n v="940978.40577545098"/>
    <d v="2027-11-14T00:00:00"/>
    <n v="0.87"/>
    <s v="Undersecured"/>
    <x v="14"/>
    <n v="330"/>
    <s v="High Risk"/>
    <s v="High Risk Exposure"/>
    <s v="High"/>
  </r>
  <r>
    <s v="LN0661"/>
    <s v="C0425"/>
    <s v="B11"/>
    <x v="3"/>
    <n v="1000000"/>
    <n v="0.19769999999999999"/>
    <d v="2025-06-13T00:00:00"/>
    <n v="12"/>
    <n v="90"/>
    <n v="960000"/>
    <x v="2"/>
    <n v="92524.463779693222"/>
    <d v="2026-06-13T00:00:00"/>
    <n v="0.96"/>
    <s v="Undersecured"/>
    <x v="10"/>
    <n v="667"/>
    <s v="Medium Risk"/>
    <s v="High Risk Exposure"/>
    <s v="High"/>
  </r>
  <r>
    <s v="LN0662"/>
    <s v="C0072"/>
    <s v="B05"/>
    <x v="1"/>
    <n v="1000000"/>
    <n v="0.26829999999999998"/>
    <d v="2022-06-25T00:00:00"/>
    <n v="24"/>
    <n v="5"/>
    <n v="0"/>
    <x v="0"/>
    <n v="54294.082233485518"/>
    <d v="2024-06-25T00:00:00"/>
    <n v="0"/>
    <s v="Undersecured"/>
    <x v="4"/>
    <n v="309"/>
    <s v="High Risk"/>
    <s v="High Risk Exposure"/>
    <s v="High"/>
  </r>
  <r>
    <s v="LN0663"/>
    <s v="C0524"/>
    <s v="B12"/>
    <x v="3"/>
    <n v="500000"/>
    <n v="0.13059999999999999"/>
    <d v="2022-01-25T00:00:00"/>
    <n v="24"/>
    <n v="0"/>
    <n v="635000"/>
    <x v="0"/>
    <n v="23785.004929691404"/>
    <d v="2024-01-25T00:00:00"/>
    <n v="1.27"/>
    <s v="Secured"/>
    <x v="12"/>
    <n v="662"/>
    <s v="Medium Risk"/>
    <s v="Normal"/>
    <s v="Normal"/>
  </r>
  <r>
    <s v="LN0664"/>
    <s v="C0066"/>
    <s v="B09"/>
    <x v="2"/>
    <n v="25000000"/>
    <n v="0.12139999999999999"/>
    <d v="2022-02-03T00:00:00"/>
    <n v="72"/>
    <n v="0"/>
    <n v="25750000"/>
    <x v="0"/>
    <n v="490576.81243823533"/>
    <d v="2028-02-03T00:00:00"/>
    <n v="1.03"/>
    <s v="Secured"/>
    <x v="8"/>
    <n v="506"/>
    <s v="High Risk"/>
    <s v="High Risk Exposure"/>
    <s v="High"/>
  </r>
  <r>
    <s v="LN0665"/>
    <s v="C0655"/>
    <s v="B02"/>
    <x v="3"/>
    <n v="6000000"/>
    <n v="0.12230000000000001"/>
    <d v="2022-09-27T00:00:00"/>
    <n v="48"/>
    <n v="10"/>
    <n v="5400000"/>
    <x v="0"/>
    <n v="158681.42867468685"/>
    <d v="2026-09-27T00:00:00"/>
    <n v="0.9"/>
    <s v="Undersecured"/>
    <x v="11"/>
    <n v="317"/>
    <s v="High Risk"/>
    <s v="High Risk Exposure"/>
    <s v="High"/>
  </r>
  <r>
    <s v="LN0666"/>
    <s v="C0227"/>
    <s v="B09"/>
    <x v="3"/>
    <n v="1000000"/>
    <n v="0.1303"/>
    <d v="2024-09-02T00:00:00"/>
    <n v="72"/>
    <n v="90"/>
    <n v="1380000"/>
    <x v="2"/>
    <n v="20089.942284905523"/>
    <d v="2030-09-02T00:00:00"/>
    <n v="1.38"/>
    <s v="Secured"/>
    <x v="8"/>
    <n v="660"/>
    <s v="Medium Risk"/>
    <s v="High Risk Exposure"/>
    <s v="High"/>
  </r>
  <r>
    <s v="LN0667"/>
    <s v="C0665"/>
    <s v="B02"/>
    <x v="0"/>
    <n v="1000000"/>
    <n v="0.2324"/>
    <d v="2024-11-14T00:00:00"/>
    <n v="24"/>
    <n v="20"/>
    <n v="980000"/>
    <x v="0"/>
    <n v="52492.535469562499"/>
    <d v="2026-11-14T00:00:00"/>
    <n v="0.98"/>
    <s v="Undersecured"/>
    <x v="11"/>
    <n v="635"/>
    <s v="Medium Risk"/>
    <s v="High Risk Exposure"/>
    <s v="High"/>
  </r>
  <r>
    <s v="LN0668"/>
    <s v="C0656"/>
    <s v="B08"/>
    <x v="0"/>
    <n v="1000000"/>
    <n v="0.23230000000000001"/>
    <d v="2021-01-20T00:00:00"/>
    <n v="48"/>
    <n v="120"/>
    <n v="500000"/>
    <x v="1"/>
    <n v="32177.616639229229"/>
    <d v="2025-01-20T00:00:00"/>
    <n v="0.5"/>
    <s v="Undersecured"/>
    <x v="5"/>
    <n v="485"/>
    <s v="High Risk"/>
    <s v="High Risk Exposure"/>
    <s v="Critical"/>
  </r>
  <r>
    <s v="LN0669"/>
    <s v="C0329"/>
    <s v="B12"/>
    <x v="2"/>
    <n v="25000000"/>
    <n v="0.1361"/>
    <d v="2020-11-02T00:00:00"/>
    <n v="72"/>
    <n v="10"/>
    <n v="32250000"/>
    <x v="0"/>
    <n v="509937.21933562116"/>
    <d v="2026-11-02T00:00:00"/>
    <n v="1.29"/>
    <s v="Secured"/>
    <x v="12"/>
    <n v="322"/>
    <s v="High Risk"/>
    <s v="High Risk Exposure"/>
    <s v="High"/>
  </r>
  <r>
    <s v="LN0670"/>
    <s v="C0126"/>
    <s v="B11"/>
    <x v="2"/>
    <n v="6000000"/>
    <n v="0.1099"/>
    <d v="2023-08-03T00:00:00"/>
    <n v="12"/>
    <n v="0"/>
    <n v="6480000"/>
    <x v="0"/>
    <n v="530261.96447406174"/>
    <d v="2024-08-03T00:00:00"/>
    <n v="1.08"/>
    <s v="Secured"/>
    <x v="10"/>
    <n v="649"/>
    <s v="Medium Risk"/>
    <s v="Normal"/>
    <s v="Normal"/>
  </r>
  <r>
    <s v="LN0671"/>
    <s v="C0288"/>
    <s v="B15"/>
    <x v="1"/>
    <n v="250000"/>
    <n v="0.2717"/>
    <d v="2023-03-20T00:00:00"/>
    <n v="60"/>
    <n v="45"/>
    <n v="0"/>
    <x v="2"/>
    <n v="7659.2539813074309"/>
    <d v="2028-03-20T00:00:00"/>
    <n v="0"/>
    <s v="Undersecured"/>
    <x v="9"/>
    <n v="423"/>
    <s v="High Risk"/>
    <s v="High Risk Exposure"/>
    <s v="High"/>
  </r>
  <r>
    <s v="LN0672"/>
    <s v="C0043"/>
    <s v="B09"/>
    <x v="1"/>
    <n v="1000000"/>
    <n v="0.23649999999999999"/>
    <d v="2020-10-02T00:00:00"/>
    <n v="48"/>
    <n v="0"/>
    <n v="0"/>
    <x v="0"/>
    <n v="32408.645356908666"/>
    <d v="2024-10-02T00:00:00"/>
    <n v="0"/>
    <s v="Undersecured"/>
    <x v="8"/>
    <n v="760"/>
    <s v="Very Low Risk"/>
    <s v="High Risk Exposure"/>
    <s v="High"/>
  </r>
  <r>
    <s v="LN0673"/>
    <s v="C0641"/>
    <s v="B04"/>
    <x v="1"/>
    <n v="100000"/>
    <n v="0.16120000000000001"/>
    <d v="2025-10-14T00:00:00"/>
    <n v="24"/>
    <n v="0"/>
    <n v="0"/>
    <x v="0"/>
    <n v="4902.0466987774871"/>
    <d v="2027-10-14T00:00:00"/>
    <n v="0"/>
    <s v="Undersecured"/>
    <x v="14"/>
    <n v="790"/>
    <s v="Very Low Risk"/>
    <s v="High Risk Exposure"/>
    <s v="High"/>
  </r>
  <r>
    <s v="LN0674"/>
    <s v="C0071"/>
    <s v="B15"/>
    <x v="3"/>
    <n v="6000000"/>
    <n v="0.13039999999999999"/>
    <d v="2022-07-12T00:00:00"/>
    <n v="72"/>
    <n v="0"/>
    <n v="6660000"/>
    <x v="0"/>
    <n v="120571.33713044063"/>
    <d v="2028-07-12T00:00:00"/>
    <n v="1.1100000000000001"/>
    <s v="Secured"/>
    <x v="9"/>
    <n v="330"/>
    <s v="High Risk"/>
    <s v="High Risk Exposure"/>
    <s v="High"/>
  </r>
  <r>
    <s v="LN0675"/>
    <s v="C0214"/>
    <s v="B03"/>
    <x v="1"/>
    <n v="500000"/>
    <n v="0.19320000000000001"/>
    <d v="2022-03-12T00:00:00"/>
    <n v="60"/>
    <n v="0"/>
    <n v="0"/>
    <x v="0"/>
    <n v="13058.472563806368"/>
    <d v="2027-03-12T00:00:00"/>
    <n v="0"/>
    <s v="Undersecured"/>
    <x v="7"/>
    <n v="559"/>
    <s v="High Risk"/>
    <s v="High Risk Exposure"/>
    <s v="High"/>
  </r>
  <r>
    <s v="LN0676"/>
    <s v="C0407"/>
    <s v="B15"/>
    <x v="0"/>
    <n v="3000000"/>
    <n v="0.1464"/>
    <d v="2024-11-13T00:00:00"/>
    <n v="60"/>
    <n v="10"/>
    <n v="2970000"/>
    <x v="0"/>
    <n v="70804.139756634788"/>
    <d v="2029-11-13T00:00:00"/>
    <n v="0.99"/>
    <s v="Undersecured"/>
    <x v="9"/>
    <n v="813"/>
    <s v="Prime"/>
    <s v="High Risk Exposure"/>
    <s v="High"/>
  </r>
  <r>
    <s v="LN0677"/>
    <s v="C0004"/>
    <s v="B07"/>
    <x v="0"/>
    <n v="1000000"/>
    <n v="0.2175"/>
    <d v="2020-04-25T00:00:00"/>
    <n v="24"/>
    <n v="120"/>
    <n v="530000"/>
    <x v="1"/>
    <n v="51754.780201361173"/>
    <d v="2022-04-25T00:00:00"/>
    <n v="0.53"/>
    <s v="Undersecured"/>
    <x v="0"/>
    <n v="555"/>
    <s v="High Risk"/>
    <s v="High Risk Exposure"/>
    <s v="Critical"/>
  </r>
  <r>
    <s v="LN0678"/>
    <s v="C0609"/>
    <s v="B03"/>
    <x v="2"/>
    <n v="25000000"/>
    <n v="0.13120000000000001"/>
    <d v="2023-07-17T00:00:00"/>
    <n v="36"/>
    <n v="5"/>
    <n v="16500000"/>
    <x v="0"/>
    <n v="843794.51343527029"/>
    <d v="2026-07-17T00:00:00"/>
    <n v="0.66"/>
    <s v="Undersecured"/>
    <x v="7"/>
    <n v="775"/>
    <s v="Very Low Risk"/>
    <s v="High Risk Exposure"/>
    <s v="High"/>
  </r>
  <r>
    <s v="LN0679"/>
    <s v="C0019"/>
    <s v="B06"/>
    <x v="1"/>
    <n v="100000"/>
    <n v="0.26229999999999998"/>
    <d v="2021-05-07T00:00:00"/>
    <n v="36"/>
    <n v="0"/>
    <n v="0"/>
    <x v="0"/>
    <n v="4041.3241600943406"/>
    <d v="2024-05-07T00:00:00"/>
    <n v="0"/>
    <s v="Undersecured"/>
    <x v="6"/>
    <n v="571"/>
    <s v="High Risk"/>
    <s v="High Risk Exposure"/>
    <s v="High"/>
  </r>
  <r>
    <s v="LN0680"/>
    <s v="C0207"/>
    <s v="B05"/>
    <x v="1"/>
    <n v="1000000"/>
    <n v="0.1971"/>
    <d v="2025-08-19T00:00:00"/>
    <n v="36"/>
    <n v="10"/>
    <n v="0"/>
    <x v="0"/>
    <n v="37015.985545458934"/>
    <d v="2028-08-19T00:00:00"/>
    <n v="0"/>
    <s v="Undersecured"/>
    <x v="4"/>
    <n v="347"/>
    <s v="High Risk"/>
    <s v="High Risk Exposure"/>
    <s v="High"/>
  </r>
  <r>
    <s v="LN0681"/>
    <s v="C0329"/>
    <s v="B12"/>
    <x v="1"/>
    <n v="250000"/>
    <n v="0.27689999999999998"/>
    <d v="2020-10-15T00:00:00"/>
    <n v="60"/>
    <n v="0"/>
    <n v="0"/>
    <x v="0"/>
    <n v="7737.2674572402657"/>
    <d v="2025-10-15T00:00:00"/>
    <n v="0"/>
    <s v="Undersecured"/>
    <x v="12"/>
    <n v="322"/>
    <s v="High Risk"/>
    <s v="High Risk Exposure"/>
    <s v="High"/>
  </r>
  <r>
    <s v="LN0682"/>
    <s v="C0309"/>
    <s v="B03"/>
    <x v="0"/>
    <n v="6000000"/>
    <n v="0.1968"/>
    <d v="2022-09-19T00:00:00"/>
    <n v="24"/>
    <n v="120"/>
    <n v="8100000"/>
    <x v="1"/>
    <n v="304437.67936481087"/>
    <d v="2024-09-19T00:00:00"/>
    <n v="1.35"/>
    <s v="Secured"/>
    <x v="7"/>
    <n v="659"/>
    <s v="Medium Risk"/>
    <s v="High Risk Exposure"/>
    <s v="Critical"/>
  </r>
  <r>
    <s v="LN0683"/>
    <s v="C0341"/>
    <s v="B14"/>
    <x v="3"/>
    <n v="500000"/>
    <n v="0.18740000000000001"/>
    <d v="2020-04-25T00:00:00"/>
    <n v="36"/>
    <n v="10"/>
    <n v="515000"/>
    <x v="0"/>
    <n v="18262.349008489415"/>
    <d v="2023-04-25T00:00:00"/>
    <n v="1.03"/>
    <s v="Secured"/>
    <x v="13"/>
    <n v="623"/>
    <s v="Medium Risk"/>
    <s v="Normal"/>
    <s v="Normal"/>
  </r>
  <r>
    <s v="LN0684"/>
    <s v="C0242"/>
    <s v="B09"/>
    <x v="3"/>
    <n v="1000000"/>
    <n v="0.19120000000000001"/>
    <d v="2025-05-12T00:00:00"/>
    <n v="12"/>
    <n v="0"/>
    <n v="1410000"/>
    <x v="0"/>
    <n v="92213.858712022222"/>
    <d v="2026-05-12T00:00:00"/>
    <n v="1.41"/>
    <s v="Secured"/>
    <x v="8"/>
    <n v="463"/>
    <s v="High Risk"/>
    <s v="High Risk Exposure"/>
    <s v="High"/>
  </r>
  <r>
    <s v="LN0685"/>
    <s v="C0685"/>
    <s v="B12"/>
    <x v="2"/>
    <n v="25000000"/>
    <n v="0.1356"/>
    <d v="2025-11-03T00:00:00"/>
    <n v="24"/>
    <n v="90"/>
    <n v="31500000"/>
    <x v="2"/>
    <n v="1195132.0763063508"/>
    <d v="2027-11-03T00:00:00"/>
    <n v="1.26"/>
    <s v="Secured"/>
    <x v="12"/>
    <n v="539"/>
    <s v="High Risk"/>
    <s v="High Risk Exposure"/>
    <s v="High"/>
  </r>
  <r>
    <s v="LN0686"/>
    <s v="C0450"/>
    <s v="B07"/>
    <x v="3"/>
    <n v="3000000"/>
    <n v="0.16389999999999999"/>
    <d v="2024-09-03T00:00:00"/>
    <n v="36"/>
    <n v="10"/>
    <n v="3450000"/>
    <x v="0"/>
    <n v="106049.64052395617"/>
    <d v="2027-09-03T00:00:00"/>
    <n v="1.1499999999999999"/>
    <s v="Secured"/>
    <x v="0"/>
    <n v="749"/>
    <s v="Very Low Risk"/>
    <s v="Normal"/>
    <s v="Normal"/>
  </r>
  <r>
    <s v="LN0687"/>
    <s v="C0615"/>
    <s v="B06"/>
    <x v="0"/>
    <n v="6000000"/>
    <n v="0.21129999999999999"/>
    <d v="2021-03-04T00:00:00"/>
    <n v="36"/>
    <n v="0"/>
    <n v="7140000"/>
    <x v="0"/>
    <n v="226451.08350842661"/>
    <d v="2024-03-04T00:00:00"/>
    <n v="1.19"/>
    <s v="Secured"/>
    <x v="6"/>
    <n v="763"/>
    <s v="Very Low Risk"/>
    <s v="Normal"/>
    <s v="Normal"/>
  </r>
  <r>
    <s v="LN0688"/>
    <s v="C0336"/>
    <s v="B09"/>
    <x v="1"/>
    <n v="1000000"/>
    <n v="0.24890000000000001"/>
    <d v="2024-09-16T00:00:00"/>
    <n v="72"/>
    <n v="45"/>
    <n v="0"/>
    <x v="2"/>
    <n v="26869.71828710437"/>
    <d v="2030-09-16T00:00:00"/>
    <n v="0"/>
    <s v="Undersecured"/>
    <x v="8"/>
    <n v="655"/>
    <s v="Medium Risk"/>
    <s v="High Risk Exposure"/>
    <s v="High"/>
  </r>
  <r>
    <s v="LN0689"/>
    <s v="C0101"/>
    <s v="B14"/>
    <x v="3"/>
    <n v="1000000"/>
    <n v="0.16109999999999999"/>
    <d v="2020-07-04T00:00:00"/>
    <n v="12"/>
    <n v="0"/>
    <n v="1060000"/>
    <x v="0"/>
    <n v="90782.920241989399"/>
    <d v="2021-07-04T00:00:00"/>
    <n v="1.06"/>
    <s v="Secured"/>
    <x v="13"/>
    <n v="572"/>
    <s v="High Risk"/>
    <s v="High Risk Exposure"/>
    <s v="High"/>
  </r>
  <r>
    <s v="LN0690"/>
    <s v="C0073"/>
    <s v="B15"/>
    <x v="1"/>
    <n v="250000"/>
    <n v="0.2346"/>
    <d v="2020-12-27T00:00:00"/>
    <n v="48"/>
    <n v="0"/>
    <n v="0"/>
    <x v="0"/>
    <n v="8076.0060415410335"/>
    <d v="2024-12-27T00:00:00"/>
    <n v="0"/>
    <s v="Undersecured"/>
    <x v="9"/>
    <n v="501"/>
    <s v="High Risk"/>
    <s v="High Risk Exposure"/>
    <s v="High"/>
  </r>
  <r>
    <s v="LN0691"/>
    <s v="C0660"/>
    <s v="B03"/>
    <x v="1"/>
    <n v="1000000"/>
    <n v="0.26829999999999998"/>
    <d v="2022-03-01T00:00:00"/>
    <n v="48"/>
    <n v="0"/>
    <n v="0"/>
    <x v="0"/>
    <n v="34185.934575332263"/>
    <d v="2026-03-01T00:00:00"/>
    <n v="0"/>
    <s v="Undersecured"/>
    <x v="7"/>
    <n v="652"/>
    <s v="Medium Risk"/>
    <s v="High Risk Exposure"/>
    <s v="High"/>
  </r>
  <r>
    <s v="LN0692"/>
    <s v="C0240"/>
    <s v="B11"/>
    <x v="0"/>
    <n v="25000000"/>
    <n v="0.2361"/>
    <d v="2023-07-14T00:00:00"/>
    <n v="24"/>
    <n v="120"/>
    <n v="23500000"/>
    <x v="1"/>
    <n v="1316916.1293848506"/>
    <d v="2025-07-14T00:00:00"/>
    <n v="0.94"/>
    <s v="Undersecured"/>
    <x v="10"/>
    <n v="764"/>
    <s v="Very Low Risk"/>
    <s v="High Risk Exposure"/>
    <s v="Critical"/>
  </r>
  <r>
    <s v="LN0693"/>
    <s v="C0568"/>
    <s v="B10"/>
    <x v="2"/>
    <n v="6000000"/>
    <n v="0.1333"/>
    <d v="2022-01-23T00:00:00"/>
    <n v="60"/>
    <n v="0"/>
    <n v="3060000"/>
    <x v="0"/>
    <n v="137534.15875547938"/>
    <d v="2027-01-23T00:00:00"/>
    <n v="0.51"/>
    <s v="Undersecured"/>
    <x v="3"/>
    <n v="724"/>
    <s v="Low Risk"/>
    <s v="High Risk Exposure"/>
    <s v="High"/>
  </r>
  <r>
    <s v="LN0694"/>
    <s v="C0062"/>
    <s v="B09"/>
    <x v="3"/>
    <n v="500000"/>
    <n v="0.1701"/>
    <d v="2024-09-09T00:00:00"/>
    <n v="48"/>
    <n v="0"/>
    <n v="575000"/>
    <x v="0"/>
    <n v="14430.108108801929"/>
    <d v="2028-09-09T00:00:00"/>
    <n v="1.1499999999999999"/>
    <s v="Secured"/>
    <x v="8"/>
    <n v="502"/>
    <s v="High Risk"/>
    <s v="High Risk Exposure"/>
    <s v="High"/>
  </r>
  <r>
    <s v="LN0695"/>
    <s v="C0477"/>
    <s v="B13"/>
    <x v="0"/>
    <n v="3000000"/>
    <n v="0.2271"/>
    <d v="2022-07-09T00:00:00"/>
    <n v="48"/>
    <n v="0"/>
    <n v="3240000"/>
    <x v="0"/>
    <n v="95678.381583275055"/>
    <d v="2026-07-09T00:00:00"/>
    <n v="1.08"/>
    <s v="Secured"/>
    <x v="2"/>
    <n v="518"/>
    <s v="High Risk"/>
    <s v="High Risk Exposure"/>
    <s v="High"/>
  </r>
  <r>
    <s v="LN0696"/>
    <s v="C0260"/>
    <s v="B12"/>
    <x v="2"/>
    <n v="25000000"/>
    <n v="0.1295"/>
    <d v="2025-02-16T00:00:00"/>
    <n v="24"/>
    <n v="0"/>
    <n v="37250000"/>
    <x v="0"/>
    <n v="1187958.5162340319"/>
    <d v="2027-02-16T00:00:00"/>
    <n v="1.49"/>
    <s v="Secured"/>
    <x v="12"/>
    <n v="787"/>
    <s v="Very Low Risk"/>
    <s v="Normal"/>
    <s v="Normal"/>
  </r>
  <r>
    <s v="LN0697"/>
    <s v="C0598"/>
    <s v="B04"/>
    <x v="0"/>
    <n v="25000000"/>
    <n v="0.21809999999999999"/>
    <d v="2023-10-15T00:00:00"/>
    <n v="24"/>
    <n v="20"/>
    <n v="34500000"/>
    <x v="0"/>
    <n v="1294609.3742518893"/>
    <d v="2025-10-15T00:00:00"/>
    <n v="1.38"/>
    <s v="Secured"/>
    <x v="14"/>
    <n v="627"/>
    <s v="Medium Risk"/>
    <s v="Normal"/>
    <s v="Normal"/>
  </r>
  <r>
    <s v="LN0698"/>
    <s v="C0132"/>
    <s v="B01"/>
    <x v="3"/>
    <n v="500000"/>
    <n v="0.13289999999999999"/>
    <d v="2025-07-11T00:00:00"/>
    <n v="72"/>
    <n v="0"/>
    <n v="515000"/>
    <x v="0"/>
    <n v="10113.743879730984"/>
    <d v="2031-07-11T00:00:00"/>
    <n v="1.03"/>
    <s v="Secured"/>
    <x v="1"/>
    <n v="444"/>
    <s v="High Risk"/>
    <s v="High Risk Exposure"/>
    <s v="High"/>
  </r>
  <r>
    <s v="LN0699"/>
    <s v="C0082"/>
    <s v="B01"/>
    <x v="1"/>
    <n v="250000"/>
    <n v="0.17399999999999999"/>
    <d v="2025-07-16T00:00:00"/>
    <n v="60"/>
    <n v="90"/>
    <n v="0"/>
    <x v="2"/>
    <n v="6267.0399580072262"/>
    <d v="2030-07-16T00:00:00"/>
    <n v="0"/>
    <s v="Undersecured"/>
    <x v="1"/>
    <n v="661"/>
    <s v="Medium Risk"/>
    <s v="High Risk Exposure"/>
    <s v="High"/>
  </r>
  <r>
    <s v="LN0700"/>
    <s v="C0633"/>
    <s v="B10"/>
    <x v="3"/>
    <n v="500000"/>
    <n v="0.12889999999999999"/>
    <d v="2020-10-18T00:00:00"/>
    <n v="60"/>
    <n v="120"/>
    <n v="450000"/>
    <x v="1"/>
    <n v="11348.401307069953"/>
    <d v="2025-10-18T00:00:00"/>
    <n v="0.9"/>
    <s v="Undersecured"/>
    <x v="3"/>
    <n v="406"/>
    <s v="High Risk"/>
    <s v="High Risk Exposure"/>
    <s v="Critical"/>
  </r>
  <r>
    <s v="LN0701"/>
    <s v="C0369"/>
    <s v="B01"/>
    <x v="0"/>
    <n v="25000000"/>
    <n v="0.1623"/>
    <d v="2022-10-26T00:00:00"/>
    <n v="60"/>
    <n v="10"/>
    <n v="14250000"/>
    <x v="0"/>
    <n v="611010.81293592206"/>
    <d v="2027-10-26T00:00:00"/>
    <n v="0.56999999999999995"/>
    <s v="Undersecured"/>
    <x v="1"/>
    <n v="439"/>
    <s v="High Risk"/>
    <s v="High Risk Exposure"/>
    <s v="High"/>
  </r>
  <r>
    <s v="LN0702"/>
    <s v="C0441"/>
    <s v="B06"/>
    <x v="1"/>
    <n v="1000000"/>
    <n v="0.2137"/>
    <d v="2024-05-10T00:00:00"/>
    <n v="12"/>
    <n v="0"/>
    <n v="0"/>
    <x v="0"/>
    <n v="93291.44210911222"/>
    <d v="2025-05-10T00:00:00"/>
    <n v="0"/>
    <s v="Undersecured"/>
    <x v="6"/>
    <n v="342"/>
    <s v="High Risk"/>
    <s v="High Risk Exposure"/>
    <s v="High"/>
  </r>
  <r>
    <s v="LN0703"/>
    <s v="C0660"/>
    <s v="B15"/>
    <x v="0"/>
    <n v="3000000"/>
    <n v="0.21829999999999999"/>
    <d v="2024-01-16T00:00:00"/>
    <n v="24"/>
    <n v="0"/>
    <n v="4380000"/>
    <x v="0"/>
    <n v="155382.72603722135"/>
    <d v="2026-01-16T00:00:00"/>
    <n v="1.46"/>
    <s v="Secured"/>
    <x v="9"/>
    <n v="652"/>
    <s v="Medium Risk"/>
    <s v="Normal"/>
    <s v="Normal"/>
  </r>
  <r>
    <s v="LN0704"/>
    <s v="C0009"/>
    <s v="B08"/>
    <x v="0"/>
    <n v="3000000"/>
    <n v="0.21329999999999999"/>
    <d v="2021-09-13T00:00:00"/>
    <n v="60"/>
    <n v="120"/>
    <n v="4020000"/>
    <x v="1"/>
    <n v="81717.971048588777"/>
    <d v="2026-09-13T00:00:00"/>
    <n v="1.34"/>
    <s v="Secured"/>
    <x v="5"/>
    <n v="847"/>
    <s v="Prime"/>
    <s v="High Risk Exposure"/>
    <s v="Critical"/>
  </r>
  <r>
    <s v="LN0705"/>
    <s v="C0591"/>
    <s v="B13"/>
    <x v="2"/>
    <n v="80000000"/>
    <n v="9.3200000000000005E-2"/>
    <d v="2023-05-17T00:00:00"/>
    <n v="48"/>
    <n v="0"/>
    <n v="64800000"/>
    <x v="0"/>
    <n v="2002981.3416566504"/>
    <d v="2027-05-17T00:00:00"/>
    <n v="0.81"/>
    <s v="Undersecured"/>
    <x v="2"/>
    <n v="512"/>
    <s v="High Risk"/>
    <s v="High Risk Exposure"/>
    <s v="High"/>
  </r>
  <r>
    <s v="LN0706"/>
    <s v="C0439"/>
    <s v="B06"/>
    <x v="1"/>
    <n v="100000"/>
    <n v="0.16689999999999999"/>
    <d v="2023-02-04T00:00:00"/>
    <n v="60"/>
    <n v="90"/>
    <n v="0"/>
    <x v="2"/>
    <n v="2468.6194885695463"/>
    <d v="2028-02-04T00:00:00"/>
    <n v="0"/>
    <s v="Undersecured"/>
    <x v="6"/>
    <n v="466"/>
    <s v="High Risk"/>
    <s v="High Risk Exposure"/>
    <s v="High"/>
  </r>
  <r>
    <s v="LN0707"/>
    <s v="C0507"/>
    <s v="B03"/>
    <x v="3"/>
    <n v="1000000"/>
    <n v="0.19850000000000001"/>
    <d v="2020-10-09T00:00:00"/>
    <n v="60"/>
    <n v="20"/>
    <n v="1010000"/>
    <x v="0"/>
    <n v="26410.490559508849"/>
    <d v="2025-10-09T00:00:00"/>
    <n v="1.01"/>
    <s v="Secured"/>
    <x v="7"/>
    <n v="734"/>
    <s v="Low Risk"/>
    <s v="Normal"/>
    <s v="Normal"/>
  </r>
  <r>
    <s v="LN0708"/>
    <s v="C0014"/>
    <s v="B06"/>
    <x v="2"/>
    <n v="25000000"/>
    <n v="0.11609999999999999"/>
    <d v="2020-04-08T00:00:00"/>
    <n v="12"/>
    <n v="20"/>
    <n v="23000000"/>
    <x v="0"/>
    <n v="2216661.1601663483"/>
    <d v="2021-04-08T00:00:00"/>
    <n v="0.92"/>
    <s v="Undersecured"/>
    <x v="6"/>
    <n v="648"/>
    <s v="Medium Risk"/>
    <s v="High Risk Exposure"/>
    <s v="High"/>
  </r>
  <r>
    <s v="LN0709"/>
    <s v="C0261"/>
    <s v="B07"/>
    <x v="0"/>
    <n v="3000000"/>
    <n v="0.17330000000000001"/>
    <d v="2025-05-12T00:00:00"/>
    <n v="24"/>
    <n v="90"/>
    <n v="3690000"/>
    <x v="2"/>
    <n v="148802.92252108274"/>
    <d v="2027-05-12T00:00:00"/>
    <n v="1.23"/>
    <s v="Secured"/>
    <x v="0"/>
    <n v="844"/>
    <s v="Prime"/>
    <s v="High Risk Exposure"/>
    <s v="High"/>
  </r>
  <r>
    <s v="LN0710"/>
    <s v="C0545"/>
    <s v="B06"/>
    <x v="3"/>
    <n v="3000000"/>
    <n v="0.12520000000000001"/>
    <d v="2023-07-28T00:00:00"/>
    <n v="24"/>
    <n v="0"/>
    <n v="1740000"/>
    <x v="0"/>
    <n v="141950.02737146558"/>
    <d v="2025-07-28T00:00:00"/>
    <n v="0.57999999999999996"/>
    <s v="Undersecured"/>
    <x v="6"/>
    <n v="406"/>
    <s v="High Risk"/>
    <s v="High Risk Exposure"/>
    <s v="High"/>
  </r>
  <r>
    <s v="LN0711"/>
    <s v="C0443"/>
    <s v="B09"/>
    <x v="2"/>
    <n v="6000000"/>
    <n v="0.1147"/>
    <d v="2022-10-02T00:00:00"/>
    <n v="60"/>
    <n v="0"/>
    <n v="8940000"/>
    <x v="0"/>
    <n v="131865.29736394127"/>
    <d v="2027-10-02T00:00:00"/>
    <n v="1.49"/>
    <s v="Secured"/>
    <x v="8"/>
    <n v="654"/>
    <s v="Medium Risk"/>
    <s v="Normal"/>
    <s v="Normal"/>
  </r>
  <r>
    <s v="LN0712"/>
    <s v="C0300"/>
    <s v="B09"/>
    <x v="3"/>
    <n v="3000000"/>
    <n v="0.14330000000000001"/>
    <d v="2023-02-13T00:00:00"/>
    <n v="24"/>
    <n v="10"/>
    <n v="1680000"/>
    <x v="0"/>
    <n v="144506.78105196453"/>
    <d v="2025-02-13T00:00:00"/>
    <n v="0.56000000000000005"/>
    <s v="Undersecured"/>
    <x v="8"/>
    <n v="325"/>
    <s v="High Risk"/>
    <s v="High Risk Exposure"/>
    <s v="High"/>
  </r>
  <r>
    <s v="LN0713"/>
    <s v="C0326"/>
    <s v="B06"/>
    <x v="3"/>
    <n v="6000000"/>
    <n v="0.17979999999999999"/>
    <d v="2023-11-19T00:00:00"/>
    <n v="24"/>
    <n v="0"/>
    <n v="3600000"/>
    <x v="0"/>
    <n v="299486.63370167889"/>
    <d v="2025-11-19T00:00:00"/>
    <n v="0.6"/>
    <s v="Undersecured"/>
    <x v="6"/>
    <n v="537"/>
    <s v="High Risk"/>
    <s v="High Risk Exposure"/>
    <s v="High"/>
  </r>
  <r>
    <s v="LN0714"/>
    <s v="C0287"/>
    <s v="B11"/>
    <x v="2"/>
    <n v="6000000"/>
    <n v="0.1019"/>
    <d v="2022-04-15T00:00:00"/>
    <n v="72"/>
    <n v="0"/>
    <n v="8220000"/>
    <x v="0"/>
    <n v="111730.76758335753"/>
    <d v="2028-04-15T00:00:00"/>
    <n v="1.37"/>
    <s v="Secured"/>
    <x v="10"/>
    <n v="657"/>
    <s v="Medium Risk"/>
    <s v="Normal"/>
    <s v="Normal"/>
  </r>
  <r>
    <s v="LN0715"/>
    <s v="C0050"/>
    <s v="B06"/>
    <x v="1"/>
    <n v="250000"/>
    <n v="0.20180000000000001"/>
    <d v="2023-07-15T00:00:00"/>
    <n v="72"/>
    <n v="120"/>
    <n v="0"/>
    <x v="1"/>
    <n v="6014.3195555509992"/>
    <d v="2029-07-15T00:00:00"/>
    <n v="0"/>
    <s v="Undersecured"/>
    <x v="6"/>
    <n v="494"/>
    <s v="High Risk"/>
    <s v="High Risk Exposure"/>
    <s v="Critical"/>
  </r>
  <r>
    <s v="LN0716"/>
    <s v="C0526"/>
    <s v="B06"/>
    <x v="2"/>
    <n v="6000000"/>
    <n v="0.1042"/>
    <d v="2025-07-04T00:00:00"/>
    <n v="24"/>
    <n v="0"/>
    <n v="4380000"/>
    <x v="0"/>
    <n v="278034.10435461072"/>
    <d v="2027-07-04T00:00:00"/>
    <n v="0.73"/>
    <s v="Undersecured"/>
    <x v="6"/>
    <n v="501"/>
    <s v="High Risk"/>
    <s v="High Risk Exposure"/>
    <s v="High"/>
  </r>
  <r>
    <s v="LN0717"/>
    <s v="C0431"/>
    <s v="B15"/>
    <x v="2"/>
    <n v="80000000"/>
    <n v="0.1201"/>
    <d v="2023-03-13T00:00:00"/>
    <n v="60"/>
    <n v="5"/>
    <n v="53600000"/>
    <x v="0"/>
    <n v="1779960.1074399464"/>
    <d v="2028-03-13T00:00:00"/>
    <n v="0.67"/>
    <s v="Undersecured"/>
    <x v="9"/>
    <n v="511"/>
    <s v="High Risk"/>
    <s v="High Risk Exposure"/>
    <s v="High"/>
  </r>
  <r>
    <s v="LN0718"/>
    <s v="C0592"/>
    <s v="B04"/>
    <x v="0"/>
    <n v="3000000"/>
    <n v="0.1552"/>
    <d v="2022-12-06T00:00:00"/>
    <n v="36"/>
    <n v="0"/>
    <n v="3330000"/>
    <x v="0"/>
    <n v="104761.54777562508"/>
    <d v="2025-12-06T00:00:00"/>
    <n v="1.1100000000000001"/>
    <s v="Secured"/>
    <x v="14"/>
    <n v="334"/>
    <s v="High Risk"/>
    <s v="High Risk Exposure"/>
    <s v="High"/>
  </r>
  <r>
    <s v="LN0719"/>
    <s v="C0266"/>
    <s v="B07"/>
    <x v="1"/>
    <n v="500000"/>
    <n v="0.27489999999999998"/>
    <d v="2025-08-11T00:00:00"/>
    <n v="48"/>
    <n v="0"/>
    <n v="0"/>
    <x v="0"/>
    <n v="17280.471168091815"/>
    <d v="2029-08-11T00:00:00"/>
    <n v="0"/>
    <s v="Undersecured"/>
    <x v="0"/>
    <n v="426"/>
    <s v="High Risk"/>
    <s v="High Risk Exposure"/>
    <s v="High"/>
  </r>
  <r>
    <s v="LN0720"/>
    <s v="C0017"/>
    <s v="B15"/>
    <x v="3"/>
    <n v="3000000"/>
    <n v="0.13900000000000001"/>
    <d v="2021-05-23T00:00:00"/>
    <n v="60"/>
    <n v="120"/>
    <n v="3360000"/>
    <x v="1"/>
    <n v="69649.318925525455"/>
    <d v="2026-05-23T00:00:00"/>
    <n v="1.1200000000000001"/>
    <s v="Secured"/>
    <x v="9"/>
    <n v="622"/>
    <s v="Medium Risk"/>
    <s v="High Risk Exposure"/>
    <s v="Critical"/>
  </r>
  <r>
    <s v="LN0721"/>
    <s v="C0414"/>
    <s v="B11"/>
    <x v="0"/>
    <n v="3000000"/>
    <n v="0.17810000000000001"/>
    <d v="2022-07-17T00:00:00"/>
    <n v="72"/>
    <n v="20"/>
    <n v="4320000"/>
    <x v="0"/>
    <n v="68101.539298189062"/>
    <d v="2028-07-17T00:00:00"/>
    <n v="1.44"/>
    <s v="Secured"/>
    <x v="10"/>
    <n v="708"/>
    <s v="Low Risk"/>
    <s v="Normal"/>
    <s v="Normal"/>
  </r>
  <r>
    <s v="LN0722"/>
    <s v="C0308"/>
    <s v="B09"/>
    <x v="1"/>
    <n v="1000000"/>
    <n v="0.18010000000000001"/>
    <d v="2024-05-03T00:00:00"/>
    <n v="36"/>
    <n v="120"/>
    <n v="0"/>
    <x v="1"/>
    <n v="36157.412225120119"/>
    <d v="2027-05-03T00:00:00"/>
    <n v="0"/>
    <s v="Undersecured"/>
    <x v="8"/>
    <n v="625"/>
    <s v="Medium Risk"/>
    <s v="High Risk Exposure"/>
    <s v="Critical"/>
  </r>
  <r>
    <s v="LN0723"/>
    <s v="C0392"/>
    <s v="B09"/>
    <x v="0"/>
    <n v="3000000"/>
    <n v="0.21840000000000001"/>
    <d v="2023-12-20T00:00:00"/>
    <n v="36"/>
    <n v="90"/>
    <n v="2820000"/>
    <x v="2"/>
    <n v="114323.19008453951"/>
    <d v="2026-12-20T00:00:00"/>
    <n v="0.94"/>
    <s v="Undersecured"/>
    <x v="8"/>
    <n v="311"/>
    <s v="High Risk"/>
    <s v="High Risk Exposure"/>
    <s v="High"/>
  </r>
  <r>
    <s v="LN0724"/>
    <s v="C0685"/>
    <s v="B01"/>
    <x v="2"/>
    <n v="25000000"/>
    <n v="0.12470000000000001"/>
    <d v="2023-03-18T00:00:00"/>
    <n v="24"/>
    <n v="0"/>
    <n v="32750000"/>
    <x v="0"/>
    <n v="1182331.473451406"/>
    <d v="2025-03-18T00:00:00"/>
    <n v="1.31"/>
    <s v="Secured"/>
    <x v="1"/>
    <n v="539"/>
    <s v="High Risk"/>
    <s v="High Risk Exposure"/>
    <s v="High"/>
  </r>
  <r>
    <s v="LN0725"/>
    <s v="C0177"/>
    <s v="B10"/>
    <x v="3"/>
    <n v="6000000"/>
    <n v="0.15129999999999999"/>
    <d v="2022-03-27T00:00:00"/>
    <n v="24"/>
    <n v="0"/>
    <n v="4320000"/>
    <x v="0"/>
    <n v="291290.61451353616"/>
    <d v="2024-03-27T00:00:00"/>
    <n v="0.72"/>
    <s v="Undersecured"/>
    <x v="3"/>
    <n v="734"/>
    <s v="Low Risk"/>
    <s v="High Risk Exposure"/>
    <s v="High"/>
  </r>
  <r>
    <s v="LN0726"/>
    <s v="C0477"/>
    <s v="B09"/>
    <x v="3"/>
    <n v="1000000"/>
    <n v="0.1515"/>
    <d v="2022-01-28T00:00:00"/>
    <n v="24"/>
    <n v="0"/>
    <n v="1180000"/>
    <x v="0"/>
    <n v="48557.945598722319"/>
    <d v="2024-01-28T00:00:00"/>
    <n v="1.18"/>
    <s v="Secured"/>
    <x v="8"/>
    <n v="518"/>
    <s v="High Risk"/>
    <s v="High Risk Exposure"/>
    <s v="High"/>
  </r>
  <r>
    <s v="LN0727"/>
    <s v="C0223"/>
    <s v="B02"/>
    <x v="0"/>
    <n v="1000000"/>
    <n v="0.17649999999999999"/>
    <d v="2020-05-13T00:00:00"/>
    <n v="24"/>
    <n v="45"/>
    <n v="510000"/>
    <x v="2"/>
    <n v="49755.153801042201"/>
    <d v="2022-05-13T00:00:00"/>
    <n v="0.51"/>
    <s v="Undersecured"/>
    <x v="11"/>
    <n v="731"/>
    <s v="Low Risk"/>
    <s v="High Risk Exposure"/>
    <s v="High"/>
  </r>
  <r>
    <s v="LN0728"/>
    <s v="C0235"/>
    <s v="B04"/>
    <x v="1"/>
    <n v="250000"/>
    <n v="0.1822"/>
    <d v="2023-12-05T00:00:00"/>
    <n v="24"/>
    <n v="0"/>
    <n v="0"/>
    <x v="0"/>
    <n v="12507.616462763517"/>
    <d v="2025-12-05T00:00:00"/>
    <n v="0"/>
    <s v="Undersecured"/>
    <x v="14"/>
    <n v="325"/>
    <s v="High Risk"/>
    <s v="High Risk Exposure"/>
    <s v="High"/>
  </r>
  <r>
    <s v="LN0729"/>
    <s v="C0021"/>
    <s v="B01"/>
    <x v="3"/>
    <n v="500000"/>
    <n v="0.1807"/>
    <d v="2023-09-13T00:00:00"/>
    <n v="36"/>
    <n v="120"/>
    <n v="430000"/>
    <x v="1"/>
    <n v="18093.760334038154"/>
    <d v="2026-09-13T00:00:00"/>
    <n v="0.86"/>
    <s v="Undersecured"/>
    <x v="1"/>
    <n v="834"/>
    <s v="Prime"/>
    <s v="High Risk Exposure"/>
    <s v="Critical"/>
  </r>
  <r>
    <s v="LN0730"/>
    <s v="C0691"/>
    <s v="B04"/>
    <x v="1"/>
    <n v="1000000"/>
    <n v="0.16819999999999999"/>
    <d v="2021-11-04T00:00:00"/>
    <n v="36"/>
    <n v="120"/>
    <n v="0"/>
    <x v="1"/>
    <n v="35563.208787584132"/>
    <d v="2024-11-04T00:00:00"/>
    <n v="0"/>
    <s v="Undersecured"/>
    <x v="14"/>
    <n v="735"/>
    <s v="Low Risk"/>
    <s v="High Risk Exposure"/>
    <s v="Critical"/>
  </r>
  <r>
    <s v="LN0731"/>
    <s v="C0340"/>
    <s v="B12"/>
    <x v="0"/>
    <n v="6000000"/>
    <n v="0.1666"/>
    <d v="2024-11-13T00:00:00"/>
    <n v="24"/>
    <n v="0"/>
    <n v="7080000"/>
    <x v="0"/>
    <n v="295674.30209072662"/>
    <d v="2026-11-13T00:00:00"/>
    <n v="1.18"/>
    <s v="Secured"/>
    <x v="12"/>
    <n v="669"/>
    <s v="Medium Risk"/>
    <s v="Normal"/>
    <s v="Normal"/>
  </r>
  <r>
    <s v="LN0732"/>
    <s v="C0430"/>
    <s v="B10"/>
    <x v="3"/>
    <n v="1000000"/>
    <n v="0.16020000000000001"/>
    <d v="2023-10-03T00:00:00"/>
    <n v="48"/>
    <n v="120"/>
    <n v="560000"/>
    <x v="1"/>
    <n v="28350.524899278829"/>
    <d v="2027-10-03T00:00:00"/>
    <n v="0.56000000000000005"/>
    <s v="Undersecured"/>
    <x v="3"/>
    <n v="389"/>
    <s v="High Risk"/>
    <s v="High Risk Exposure"/>
    <s v="Critical"/>
  </r>
  <r>
    <s v="LN0733"/>
    <s v="C0090"/>
    <s v="B05"/>
    <x v="3"/>
    <n v="6000000"/>
    <n v="0.14580000000000001"/>
    <d v="2022-11-03T00:00:00"/>
    <n v="12"/>
    <n v="0"/>
    <n v="6000000"/>
    <x v="0"/>
    <n v="540361.4754782971"/>
    <d v="2023-11-03T00:00:00"/>
    <n v="1"/>
    <s v="Secured"/>
    <x v="4"/>
    <n v="718"/>
    <s v="Low Risk"/>
    <s v="Normal"/>
    <s v="Normal"/>
  </r>
  <r>
    <s v="LN0734"/>
    <s v="C0007"/>
    <s v="B12"/>
    <x v="3"/>
    <n v="500000"/>
    <n v="0.1948"/>
    <d v="2025-06-18T00:00:00"/>
    <n v="36"/>
    <n v="5"/>
    <n v="680000"/>
    <x v="0"/>
    <n v="18449.579982144216"/>
    <d v="2028-06-18T00:00:00"/>
    <n v="1.36"/>
    <s v="Secured"/>
    <x v="12"/>
    <n v="366"/>
    <s v="High Risk"/>
    <s v="High Risk Exposure"/>
    <s v="High"/>
  </r>
  <r>
    <s v="LN0735"/>
    <s v="C0153"/>
    <s v="B14"/>
    <x v="3"/>
    <n v="6000000"/>
    <n v="0.14729999999999999"/>
    <d v="2020-05-09T00:00:00"/>
    <n v="72"/>
    <n v="120"/>
    <n v="7500000"/>
    <x v="1"/>
    <n v="125991.96802973903"/>
    <d v="2026-05-09T00:00:00"/>
    <n v="1.25"/>
    <s v="Secured"/>
    <x v="13"/>
    <n v="320"/>
    <s v="High Risk"/>
    <s v="High Risk Exposure"/>
    <s v="Critical"/>
  </r>
  <r>
    <s v="LN0736"/>
    <s v="C0566"/>
    <s v="B01"/>
    <x v="0"/>
    <n v="25000000"/>
    <n v="0.18890000000000001"/>
    <d v="2022-12-03T00:00:00"/>
    <n v="24"/>
    <n v="90"/>
    <n v="24750000"/>
    <x v="2"/>
    <n v="1258879.7422785759"/>
    <d v="2024-12-03T00:00:00"/>
    <n v="0.99"/>
    <s v="Undersecured"/>
    <x v="1"/>
    <n v="517"/>
    <s v="High Risk"/>
    <s v="High Risk Exposure"/>
    <s v="High"/>
  </r>
  <r>
    <s v="LN0737"/>
    <s v="C0255"/>
    <s v="B02"/>
    <x v="1"/>
    <n v="100000"/>
    <n v="0.26590000000000003"/>
    <d v="2022-01-20T00:00:00"/>
    <n v="12"/>
    <n v="45"/>
    <n v="0"/>
    <x v="2"/>
    <n v="9581.7463570861455"/>
    <d v="2023-01-20T00:00:00"/>
    <n v="0"/>
    <s v="Undersecured"/>
    <x v="11"/>
    <n v="682"/>
    <s v="Low Risk"/>
    <s v="High Risk Exposure"/>
    <s v="High"/>
  </r>
  <r>
    <s v="LN0738"/>
    <s v="C0188"/>
    <s v="B02"/>
    <x v="0"/>
    <n v="25000000"/>
    <n v="0.19889999999999999"/>
    <d v="2024-02-26T00:00:00"/>
    <n v="72"/>
    <n v="20"/>
    <n v="29750000"/>
    <x v="0"/>
    <n v="597227.67166800506"/>
    <d v="2030-02-26T00:00:00"/>
    <n v="1.19"/>
    <s v="Secured"/>
    <x v="11"/>
    <n v="810"/>
    <s v="Prime"/>
    <s v="Normal"/>
    <s v="Normal"/>
  </r>
  <r>
    <s v="LN0739"/>
    <s v="C0141"/>
    <s v="B11"/>
    <x v="0"/>
    <n v="1000000"/>
    <n v="0.2203"/>
    <d v="2024-06-21T00:00:00"/>
    <n v="36"/>
    <n v="20"/>
    <n v="520000"/>
    <x v="0"/>
    <n v="38205.974836495952"/>
    <d v="2027-06-21T00:00:00"/>
    <n v="0.52"/>
    <s v="Undersecured"/>
    <x v="10"/>
    <n v="615"/>
    <s v="Medium Risk"/>
    <s v="High Risk Exposure"/>
    <s v="High"/>
  </r>
  <r>
    <s v="LN0740"/>
    <s v="C0349"/>
    <s v="B08"/>
    <x v="3"/>
    <n v="500000"/>
    <n v="0.16880000000000001"/>
    <d v="2021-03-12T00:00:00"/>
    <n v="60"/>
    <n v="0"/>
    <n v="580000"/>
    <x v="0"/>
    <n v="12394.048984356748"/>
    <d v="2026-03-12T00:00:00"/>
    <n v="1.1599999999999999"/>
    <s v="Secured"/>
    <x v="5"/>
    <n v="789"/>
    <s v="Very Low Risk"/>
    <s v="Normal"/>
    <s v="Normal"/>
  </r>
  <r>
    <s v="LN0741"/>
    <s v="C0034"/>
    <s v="B12"/>
    <x v="1"/>
    <n v="500000"/>
    <n v="0.26250000000000001"/>
    <d v="2023-10-19T00:00:00"/>
    <n v="24"/>
    <n v="45"/>
    <n v="0"/>
    <x v="2"/>
    <n v="27000.368799350286"/>
    <d v="2025-10-19T00:00:00"/>
    <n v="0"/>
    <s v="Undersecured"/>
    <x v="12"/>
    <n v="588"/>
    <s v="Medium Risk"/>
    <s v="High Risk Exposure"/>
    <s v="High"/>
  </r>
  <r>
    <s v="LN0742"/>
    <s v="C0170"/>
    <s v="B14"/>
    <x v="2"/>
    <n v="25000000"/>
    <n v="0.11310000000000001"/>
    <d v="2021-02-20T00:00:00"/>
    <n v="60"/>
    <n v="5"/>
    <n v="26250000"/>
    <x v="0"/>
    <n v="547433.54887343489"/>
    <d v="2026-02-20T00:00:00"/>
    <n v="1.05"/>
    <s v="Secured"/>
    <x v="13"/>
    <n v="476"/>
    <s v="High Risk"/>
    <s v="High Risk Exposure"/>
    <s v="High"/>
  </r>
  <r>
    <s v="LN0743"/>
    <s v="C0375"/>
    <s v="B04"/>
    <x v="2"/>
    <n v="25000000"/>
    <n v="0.10879999999999999"/>
    <d v="2022-01-15T00:00:00"/>
    <n v="72"/>
    <n v="0"/>
    <n v="27000000"/>
    <x v="0"/>
    <n v="474316.82514499722"/>
    <d v="2028-01-15T00:00:00"/>
    <n v="1.08"/>
    <s v="Secured"/>
    <x v="14"/>
    <n v="411"/>
    <s v="High Risk"/>
    <s v="High Risk Exposure"/>
    <s v="High"/>
  </r>
  <r>
    <s v="LN0744"/>
    <s v="C0379"/>
    <s v="B03"/>
    <x v="2"/>
    <n v="25000000"/>
    <n v="0.12970000000000001"/>
    <d v="2023-09-14T00:00:00"/>
    <n v="24"/>
    <n v="45"/>
    <n v="20750000"/>
    <x v="2"/>
    <n v="1188193.315296225"/>
    <d v="2025-09-14T00:00:00"/>
    <n v="0.83"/>
    <s v="Undersecured"/>
    <x v="7"/>
    <n v="603"/>
    <s v="Medium Risk"/>
    <s v="High Risk Exposure"/>
    <s v="High"/>
  </r>
  <r>
    <s v="LN0745"/>
    <s v="C0547"/>
    <s v="B03"/>
    <x v="2"/>
    <n v="80000000"/>
    <n v="9.6500000000000002E-2"/>
    <d v="2022-02-26T00:00:00"/>
    <n v="12"/>
    <n v="20"/>
    <n v="52800000"/>
    <x v="0"/>
    <n v="7020255.0939528048"/>
    <d v="2023-02-26T00:00:00"/>
    <n v="0.66"/>
    <s v="Undersecured"/>
    <x v="7"/>
    <n v="733"/>
    <s v="Low Risk"/>
    <s v="High Risk Exposure"/>
    <s v="High"/>
  </r>
  <r>
    <s v="LN0746"/>
    <s v="C0371"/>
    <s v="B05"/>
    <x v="2"/>
    <n v="25000000"/>
    <n v="9.6699999999999994E-2"/>
    <d v="2023-11-10T00:00:00"/>
    <n v="24"/>
    <n v="0"/>
    <n v="36750000"/>
    <x v="0"/>
    <n v="1149819.0942367131"/>
    <d v="2025-11-10T00:00:00"/>
    <n v="1.47"/>
    <s v="Secured"/>
    <x v="4"/>
    <n v="625"/>
    <s v="Medium Risk"/>
    <s v="Normal"/>
    <s v="Normal"/>
  </r>
  <r>
    <s v="LN0747"/>
    <s v="C0341"/>
    <s v="B02"/>
    <x v="3"/>
    <n v="500000"/>
    <n v="0.13589999999999999"/>
    <d v="2020-12-10T00:00:00"/>
    <n v="12"/>
    <n v="0"/>
    <n v="735000"/>
    <x v="0"/>
    <n v="44797.159345628585"/>
    <d v="2021-12-10T00:00:00"/>
    <n v="1.47"/>
    <s v="Secured"/>
    <x v="11"/>
    <n v="623"/>
    <s v="Medium Risk"/>
    <s v="Normal"/>
    <s v="Normal"/>
  </r>
  <r>
    <s v="LN0748"/>
    <s v="C0607"/>
    <s v="B06"/>
    <x v="1"/>
    <n v="1000000"/>
    <n v="0.24729999999999999"/>
    <d v="2021-04-07T00:00:00"/>
    <n v="24"/>
    <n v="0"/>
    <n v="0"/>
    <x v="0"/>
    <n v="53236.147170653487"/>
    <d v="2023-04-07T00:00:00"/>
    <n v="0"/>
    <s v="Undersecured"/>
    <x v="6"/>
    <n v="504"/>
    <s v="High Risk"/>
    <s v="High Risk Exposure"/>
    <s v="High"/>
  </r>
  <r>
    <s v="LN0749"/>
    <s v="C0343"/>
    <s v="B01"/>
    <x v="1"/>
    <n v="1000000"/>
    <n v="0.23880000000000001"/>
    <d v="2024-02-09T00:00:00"/>
    <n v="48"/>
    <n v="5"/>
    <n v="0"/>
    <x v="0"/>
    <n v="32535.530802832447"/>
    <d v="2028-02-09T00:00:00"/>
    <n v="0"/>
    <s v="Undersecured"/>
    <x v="1"/>
    <n v="655"/>
    <s v="Medium Risk"/>
    <s v="High Risk Exposure"/>
    <s v="High"/>
  </r>
  <r>
    <s v="LN0750"/>
    <s v="C0567"/>
    <s v="B15"/>
    <x v="3"/>
    <n v="3000000"/>
    <n v="0.14960000000000001"/>
    <d v="2020-05-09T00:00:00"/>
    <n v="24"/>
    <n v="0"/>
    <n v="1770000"/>
    <x v="0"/>
    <n v="145402.93685058405"/>
    <d v="2022-05-09T00:00:00"/>
    <n v="0.59"/>
    <s v="Undersecured"/>
    <x v="9"/>
    <n v="649"/>
    <s v="Medium Risk"/>
    <s v="High Risk Exposure"/>
    <s v="High"/>
  </r>
  <r>
    <s v="LN0751"/>
    <s v="C0448"/>
    <s v="B15"/>
    <x v="0"/>
    <n v="3000000"/>
    <n v="0.2089"/>
    <d v="2023-11-03T00:00:00"/>
    <n v="36"/>
    <n v="45"/>
    <n v="2280000"/>
    <x v="2"/>
    <n v="112855.83827291176"/>
    <d v="2026-11-03T00:00:00"/>
    <n v="0.76"/>
    <s v="Undersecured"/>
    <x v="9"/>
    <n v="673"/>
    <s v="Low Risk"/>
    <s v="High Risk Exposure"/>
    <s v="High"/>
  </r>
  <r>
    <s v="LN0752"/>
    <s v="C0356"/>
    <s v="B07"/>
    <x v="1"/>
    <n v="1000000"/>
    <n v="0.21299999999999999"/>
    <d v="2021-04-24T00:00:00"/>
    <n v="60"/>
    <n v="0"/>
    <n v="0"/>
    <x v="0"/>
    <n v="27222.390597326026"/>
    <d v="2026-04-24T00:00:00"/>
    <n v="0"/>
    <s v="Undersecured"/>
    <x v="0"/>
    <n v="641"/>
    <s v="Medium Risk"/>
    <s v="High Risk Exposure"/>
    <s v="High"/>
  </r>
  <r>
    <s v="LN0753"/>
    <s v="C0541"/>
    <s v="B10"/>
    <x v="2"/>
    <n v="6000000"/>
    <n v="0.1236"/>
    <d v="2022-05-04T00:00:00"/>
    <n v="12"/>
    <n v="0"/>
    <n v="4680000"/>
    <x v="0"/>
    <n v="534103.72681619856"/>
    <d v="2023-05-04T00:00:00"/>
    <n v="0.78"/>
    <s v="Undersecured"/>
    <x v="3"/>
    <n v="544"/>
    <s v="High Risk"/>
    <s v="High Risk Exposure"/>
    <s v="High"/>
  </r>
  <r>
    <s v="LN0754"/>
    <s v="C0435"/>
    <s v="B11"/>
    <x v="3"/>
    <n v="3000000"/>
    <n v="0.1787"/>
    <d v="2021-03-08T00:00:00"/>
    <n v="12"/>
    <n v="120"/>
    <n v="2730000"/>
    <x v="1"/>
    <n v="274854.40656695759"/>
    <d v="2022-03-08T00:00:00"/>
    <n v="0.91"/>
    <s v="Undersecured"/>
    <x v="10"/>
    <n v="391"/>
    <s v="High Risk"/>
    <s v="High Risk Exposure"/>
    <s v="Critical"/>
  </r>
  <r>
    <s v="LN0755"/>
    <s v="C0297"/>
    <s v="B10"/>
    <x v="2"/>
    <n v="25000000"/>
    <n v="0.10829999999999999"/>
    <d v="2023-01-22T00:00:00"/>
    <n v="12"/>
    <n v="90"/>
    <n v="36750000"/>
    <x v="2"/>
    <n v="2207559.5369928591"/>
    <d v="2024-01-22T00:00:00"/>
    <n v="1.47"/>
    <s v="Secured"/>
    <x v="3"/>
    <n v="500"/>
    <s v="High Risk"/>
    <s v="High Risk Exposure"/>
    <s v="High"/>
  </r>
  <r>
    <s v="LN0756"/>
    <s v="C0394"/>
    <s v="B02"/>
    <x v="2"/>
    <n v="6000000"/>
    <n v="0.1336"/>
    <d v="2025-08-01T00:00:00"/>
    <n v="24"/>
    <n v="20"/>
    <n v="7740000"/>
    <x v="0"/>
    <n v="286266.55515300005"/>
    <d v="2027-08-01T00:00:00"/>
    <n v="1.29"/>
    <s v="Secured"/>
    <x v="11"/>
    <n v="707"/>
    <s v="Low Risk"/>
    <s v="Normal"/>
    <s v="Normal"/>
  </r>
  <r>
    <s v="LN0757"/>
    <s v="C0122"/>
    <s v="B04"/>
    <x v="1"/>
    <n v="1000000"/>
    <n v="0.27510000000000001"/>
    <d v="2025-07-21T00:00:00"/>
    <n v="12"/>
    <n v="5"/>
    <n v="0"/>
    <x v="0"/>
    <n v="96266.415596437859"/>
    <d v="2026-07-21T00:00:00"/>
    <n v="0"/>
    <s v="Undersecured"/>
    <x v="14"/>
    <n v="680"/>
    <s v="Low Risk"/>
    <s v="High Risk Exposure"/>
    <s v="High"/>
  </r>
  <r>
    <s v="LN0758"/>
    <s v="C0681"/>
    <s v="B04"/>
    <x v="3"/>
    <n v="3000000"/>
    <n v="0.13300000000000001"/>
    <d v="2021-02-04T00:00:00"/>
    <n v="72"/>
    <n v="45"/>
    <n v="1530000"/>
    <x v="2"/>
    <n v="60698.365116652538"/>
    <d v="2027-02-04T00:00:00"/>
    <n v="0.51"/>
    <s v="Undersecured"/>
    <x v="14"/>
    <n v="499"/>
    <s v="High Risk"/>
    <s v="High Risk Exposure"/>
    <s v="High"/>
  </r>
  <r>
    <s v="LN0759"/>
    <s v="C0626"/>
    <s v="B11"/>
    <x v="2"/>
    <n v="25000000"/>
    <n v="0.11609999999999999"/>
    <d v="2022-02-21T00:00:00"/>
    <n v="36"/>
    <n v="120"/>
    <n v="36250000"/>
    <x v="1"/>
    <n v="825708.65569294861"/>
    <d v="2025-02-21T00:00:00"/>
    <n v="1.45"/>
    <s v="Secured"/>
    <x v="10"/>
    <n v="795"/>
    <s v="Very Low Risk"/>
    <s v="High Risk Exposure"/>
    <s v="Critical"/>
  </r>
  <r>
    <s v="LN0760"/>
    <s v="C0559"/>
    <s v="B09"/>
    <x v="1"/>
    <n v="500000"/>
    <n v="0.18609999999999999"/>
    <d v="2024-09-06T00:00:00"/>
    <n v="72"/>
    <n v="10"/>
    <n v="0"/>
    <x v="0"/>
    <n v="11576.990451111191"/>
    <d v="2030-09-06T00:00:00"/>
    <n v="0"/>
    <s v="Undersecured"/>
    <x v="8"/>
    <n v="320"/>
    <s v="High Risk"/>
    <s v="High Risk Exposure"/>
    <s v="High"/>
  </r>
  <r>
    <s v="LN0761"/>
    <s v="C0498"/>
    <s v="B13"/>
    <x v="2"/>
    <n v="25000000"/>
    <n v="0.12740000000000001"/>
    <d v="2021-07-12T00:00:00"/>
    <n v="60"/>
    <n v="0"/>
    <n v="36000000"/>
    <x v="0"/>
    <n v="565504.95263957337"/>
    <d v="2026-07-12T00:00:00"/>
    <n v="1.44"/>
    <s v="Secured"/>
    <x v="2"/>
    <n v="309"/>
    <s v="High Risk"/>
    <s v="High Risk Exposure"/>
    <s v="High"/>
  </r>
  <r>
    <s v="LN0762"/>
    <s v="C0630"/>
    <s v="B03"/>
    <x v="3"/>
    <n v="6000000"/>
    <n v="0.1956"/>
    <d v="2023-04-05T00:00:00"/>
    <n v="24"/>
    <n v="0"/>
    <n v="8580000"/>
    <x v="0"/>
    <n v="304086.67527796217"/>
    <d v="2025-04-05T00:00:00"/>
    <n v="1.43"/>
    <s v="Secured"/>
    <x v="7"/>
    <n v="434"/>
    <s v="High Risk"/>
    <s v="High Risk Exposure"/>
    <s v="High"/>
  </r>
  <r>
    <s v="LN0763"/>
    <s v="C0601"/>
    <s v="B07"/>
    <x v="1"/>
    <n v="500000"/>
    <n v="0.2792"/>
    <d v="2021-02-26T00:00:00"/>
    <n v="24"/>
    <n v="0"/>
    <n v="0"/>
    <x v="0"/>
    <n v="27423.870189370158"/>
    <d v="2023-02-26T00:00:00"/>
    <n v="0"/>
    <s v="Undersecured"/>
    <x v="0"/>
    <n v="551"/>
    <s v="High Risk"/>
    <s v="High Risk Exposure"/>
    <s v="High"/>
  </r>
  <r>
    <s v="LN0764"/>
    <s v="C0693"/>
    <s v="B10"/>
    <x v="1"/>
    <n v="100000"/>
    <n v="0.24940000000000001"/>
    <d v="2023-05-22T00:00:00"/>
    <n v="60"/>
    <n v="0"/>
    <n v="0"/>
    <x v="0"/>
    <n v="2931.615794283081"/>
    <d v="2028-05-22T00:00:00"/>
    <n v="0"/>
    <s v="Undersecured"/>
    <x v="3"/>
    <n v="459"/>
    <s v="High Risk"/>
    <s v="High Risk Exposure"/>
    <s v="High"/>
  </r>
  <r>
    <s v="LN0765"/>
    <s v="C0450"/>
    <s v="B14"/>
    <x v="0"/>
    <n v="25000000"/>
    <n v="0.16320000000000001"/>
    <d v="2023-05-01T00:00:00"/>
    <n v="36"/>
    <n v="120"/>
    <n v="13000000"/>
    <x v="1"/>
    <n v="882880.54851527396"/>
    <d v="2026-05-01T00:00:00"/>
    <n v="0.52"/>
    <s v="Undersecured"/>
    <x v="13"/>
    <n v="749"/>
    <s v="Very Low Risk"/>
    <s v="High Risk Exposure"/>
    <s v="Critical"/>
  </r>
  <r>
    <s v="LN0766"/>
    <s v="C0502"/>
    <s v="B03"/>
    <x v="3"/>
    <n v="3000000"/>
    <n v="0.16450000000000001"/>
    <d v="2024-09-09T00:00:00"/>
    <n v="60"/>
    <n v="120"/>
    <n v="2310000"/>
    <x v="1"/>
    <n v="73673.408989172458"/>
    <d v="2029-09-09T00:00:00"/>
    <n v="0.77"/>
    <s v="Undersecured"/>
    <x v="7"/>
    <n v="671"/>
    <s v="Low Risk"/>
    <s v="High Risk Exposure"/>
    <s v="Critical"/>
  </r>
  <r>
    <s v="LN0767"/>
    <s v="C0667"/>
    <s v="B07"/>
    <x v="0"/>
    <n v="25000000"/>
    <n v="0.2356"/>
    <d v="2021-01-01T00:00:00"/>
    <n v="36"/>
    <n v="90"/>
    <n v="21750000"/>
    <x v="2"/>
    <n v="975055.00885448884"/>
    <d v="2024-01-01T00:00:00"/>
    <n v="0.87"/>
    <s v="Undersecured"/>
    <x v="0"/>
    <n v="823"/>
    <s v="Prime"/>
    <s v="High Risk Exposure"/>
    <s v="High"/>
  </r>
  <r>
    <s v="LN0768"/>
    <s v="C0477"/>
    <s v="B12"/>
    <x v="0"/>
    <n v="3000000"/>
    <n v="0.2049"/>
    <d v="2022-07-09T00:00:00"/>
    <n v="60"/>
    <n v="0"/>
    <n v="3270000"/>
    <x v="0"/>
    <n v="80301.790505253535"/>
    <d v="2027-07-09T00:00:00"/>
    <n v="1.0900000000000001"/>
    <s v="Secured"/>
    <x v="12"/>
    <n v="518"/>
    <s v="High Risk"/>
    <s v="High Risk Exposure"/>
    <s v="High"/>
  </r>
  <r>
    <s v="LN0769"/>
    <s v="C0368"/>
    <s v="B13"/>
    <x v="0"/>
    <n v="1000000"/>
    <n v="0.14199999999999999"/>
    <d v="2024-02-17T00:00:00"/>
    <n v="72"/>
    <n v="10"/>
    <n v="1360000"/>
    <x v="0"/>
    <n v="20712.985785301869"/>
    <d v="2030-02-17T00:00:00"/>
    <n v="1.36"/>
    <s v="Secured"/>
    <x v="2"/>
    <n v="799"/>
    <s v="Very Low Risk"/>
    <s v="Normal"/>
    <s v="Normal"/>
  </r>
  <r>
    <s v="LN0770"/>
    <s v="C0227"/>
    <s v="B04"/>
    <x v="3"/>
    <n v="3000000"/>
    <n v="0.14119999999999999"/>
    <d v="2021-01-22T00:00:00"/>
    <n v="36"/>
    <n v="120"/>
    <n v="3360000"/>
    <x v="1"/>
    <n v="102707.82477938094"/>
    <d v="2024-01-22T00:00:00"/>
    <n v="1.1200000000000001"/>
    <s v="Secured"/>
    <x v="14"/>
    <n v="660"/>
    <s v="Medium Risk"/>
    <s v="High Risk Exposure"/>
    <s v="Critical"/>
  </r>
  <r>
    <s v="LN0771"/>
    <s v="C0471"/>
    <s v="B10"/>
    <x v="3"/>
    <n v="3000000"/>
    <n v="0.14180000000000001"/>
    <d v="2022-03-10T00:00:00"/>
    <n v="60"/>
    <n v="45"/>
    <n v="1800000"/>
    <x v="2"/>
    <n v="70085.024487755596"/>
    <d v="2027-03-10T00:00:00"/>
    <n v="0.6"/>
    <s v="Undersecured"/>
    <x v="3"/>
    <n v="499"/>
    <s v="High Risk"/>
    <s v="High Risk Exposure"/>
    <s v="High"/>
  </r>
  <r>
    <s v="LN0772"/>
    <s v="C0117"/>
    <s v="B09"/>
    <x v="1"/>
    <n v="100000"/>
    <n v="0.18709999999999999"/>
    <d v="2025-09-26T00:00:00"/>
    <n v="36"/>
    <n v="90"/>
    <n v="0"/>
    <x v="2"/>
    <n v="3650.9562626202255"/>
    <d v="2028-09-26T00:00:00"/>
    <n v="0"/>
    <s v="Undersecured"/>
    <x v="8"/>
    <n v="835"/>
    <s v="Prime"/>
    <s v="High Risk Exposure"/>
    <s v="High"/>
  </r>
  <r>
    <s v="LN0773"/>
    <s v="C0554"/>
    <s v="B14"/>
    <x v="1"/>
    <n v="100000"/>
    <n v="0.24790000000000001"/>
    <d v="2024-12-07T00:00:00"/>
    <n v="12"/>
    <n v="0"/>
    <n v="0"/>
    <x v="0"/>
    <n v="9494.2325545086751"/>
    <d v="2025-12-07T00:00:00"/>
    <n v="0"/>
    <s v="Undersecured"/>
    <x v="13"/>
    <n v="664"/>
    <s v="Medium Risk"/>
    <s v="High Risk Exposure"/>
    <s v="High"/>
  </r>
  <r>
    <s v="LN0774"/>
    <s v="C0258"/>
    <s v="B11"/>
    <x v="0"/>
    <n v="25000000"/>
    <n v="0.2253"/>
    <d v="2023-06-11T00:00:00"/>
    <n v="72"/>
    <n v="20"/>
    <n v="14000000"/>
    <x v="0"/>
    <n v="636042.04029246862"/>
    <d v="2029-06-11T00:00:00"/>
    <n v="0.56000000000000005"/>
    <s v="Undersecured"/>
    <x v="10"/>
    <n v="807"/>
    <s v="Prime"/>
    <s v="High Risk Exposure"/>
    <s v="High"/>
  </r>
  <r>
    <s v="LN0775"/>
    <s v="C0080"/>
    <s v="B11"/>
    <x v="1"/>
    <n v="250000"/>
    <n v="0.26269999999999999"/>
    <d v="2025-01-14T00:00:00"/>
    <n v="24"/>
    <n v="45"/>
    <n v="0"/>
    <x v="2"/>
    <n v="13502.709576676138"/>
    <d v="2027-01-14T00:00:00"/>
    <n v="0"/>
    <s v="Undersecured"/>
    <x v="10"/>
    <n v="626"/>
    <s v="Medium Risk"/>
    <s v="High Risk Exposure"/>
    <s v="High"/>
  </r>
  <r>
    <s v="LN0776"/>
    <s v="C0230"/>
    <s v="B07"/>
    <x v="2"/>
    <n v="6000000"/>
    <n v="0.12039999999999999"/>
    <d v="2021-10-14T00:00:00"/>
    <n v="36"/>
    <n v="0"/>
    <n v="5940000"/>
    <x v="0"/>
    <n v="199400.50704466924"/>
    <d v="2024-10-14T00:00:00"/>
    <n v="0.99"/>
    <s v="Undersecured"/>
    <x v="0"/>
    <n v="618"/>
    <s v="Medium Risk"/>
    <s v="High Risk Exposure"/>
    <s v="High"/>
  </r>
  <r>
    <s v="LN0777"/>
    <s v="C0625"/>
    <s v="B14"/>
    <x v="0"/>
    <n v="3000000"/>
    <n v="0.16200000000000001"/>
    <d v="2023-02-06T00:00:00"/>
    <n v="24"/>
    <n v="0"/>
    <n v="2490000"/>
    <x v="0"/>
    <n v="147176.17847320839"/>
    <d v="2025-02-06T00:00:00"/>
    <n v="0.83"/>
    <s v="Undersecured"/>
    <x v="13"/>
    <n v="501"/>
    <s v="High Risk"/>
    <s v="High Risk Exposure"/>
    <s v="High"/>
  </r>
  <r>
    <s v="LN0778"/>
    <s v="C0190"/>
    <s v="B11"/>
    <x v="1"/>
    <n v="500000"/>
    <n v="0.23719999999999999"/>
    <d v="2025-07-28T00:00:00"/>
    <n v="60"/>
    <n v="20"/>
    <n v="0"/>
    <x v="0"/>
    <n v="14302.836581691899"/>
    <d v="2030-07-28T00:00:00"/>
    <n v="0"/>
    <s v="Undersecured"/>
    <x v="10"/>
    <n v="359"/>
    <s v="High Risk"/>
    <s v="High Risk Exposure"/>
    <s v="High"/>
  </r>
  <r>
    <s v="LN0779"/>
    <s v="C0382"/>
    <s v="B08"/>
    <x v="0"/>
    <n v="1000000"/>
    <n v="0.20399999999999999"/>
    <d v="2025-02-17T00:00:00"/>
    <n v="12"/>
    <n v="0"/>
    <n v="1050000"/>
    <x v="0"/>
    <n v="92826.052341638104"/>
    <d v="2026-02-17T00:00:00"/>
    <n v="1.05"/>
    <s v="Secured"/>
    <x v="5"/>
    <n v="714"/>
    <s v="Low Risk"/>
    <s v="Normal"/>
    <s v="Normal"/>
  </r>
  <r>
    <s v="LN0780"/>
    <s v="C0348"/>
    <s v="B14"/>
    <x v="1"/>
    <n v="250000"/>
    <n v="0.1678"/>
    <d v="2023-12-26T00:00:00"/>
    <n v="60"/>
    <n v="5"/>
    <n v="0"/>
    <x v="0"/>
    <n v="6183.6090524122892"/>
    <d v="2028-12-26T00:00:00"/>
    <n v="0"/>
    <s v="Undersecured"/>
    <x v="13"/>
    <n v="532"/>
    <s v="High Risk"/>
    <s v="High Risk Exposure"/>
    <s v="High"/>
  </r>
  <r>
    <s v="LN0781"/>
    <s v="C0196"/>
    <s v="B07"/>
    <x v="2"/>
    <n v="80000000"/>
    <n v="0.11020000000000001"/>
    <d v="2021-07-18T00:00:00"/>
    <n v="72"/>
    <n v="0"/>
    <n v="50400000"/>
    <x v="0"/>
    <n v="1523545.9486580358"/>
    <d v="2027-07-18T00:00:00"/>
    <n v="0.63"/>
    <s v="Undersecured"/>
    <x v="0"/>
    <n v="674"/>
    <s v="Low Risk"/>
    <s v="High Risk Exposure"/>
    <s v="High"/>
  </r>
  <r>
    <s v="LN0782"/>
    <s v="C0327"/>
    <s v="B04"/>
    <x v="0"/>
    <n v="6000000"/>
    <n v="0.16839999999999999"/>
    <d v="2023-02-04T00:00:00"/>
    <n v="12"/>
    <n v="45"/>
    <n v="4620000"/>
    <x v="2"/>
    <n v="546773.03073887806"/>
    <d v="2024-02-04T00:00:00"/>
    <n v="0.77"/>
    <s v="Undersecured"/>
    <x v="14"/>
    <n v="318"/>
    <s v="High Risk"/>
    <s v="High Risk Exposure"/>
    <s v="High"/>
  </r>
  <r>
    <s v="LN0783"/>
    <s v="C0222"/>
    <s v="B08"/>
    <x v="2"/>
    <n v="6000000"/>
    <n v="0.1106"/>
    <d v="2024-04-22T00:00:00"/>
    <n v="48"/>
    <n v="120"/>
    <n v="4320000"/>
    <x v="1"/>
    <n v="155248.02057407852"/>
    <d v="2028-04-22T00:00:00"/>
    <n v="0.72"/>
    <s v="Undersecured"/>
    <x v="5"/>
    <n v="797"/>
    <s v="Very Low Risk"/>
    <s v="High Risk Exposure"/>
    <s v="Critical"/>
  </r>
  <r>
    <s v="LN0784"/>
    <s v="C0036"/>
    <s v="B10"/>
    <x v="2"/>
    <n v="80000000"/>
    <n v="9.0399999999999994E-2"/>
    <d v="2023-03-04T00:00:00"/>
    <n v="36"/>
    <n v="120"/>
    <n v="72800000"/>
    <x v="1"/>
    <n v="2545468.1953413594"/>
    <d v="2026-03-04T00:00:00"/>
    <n v="0.91"/>
    <s v="Undersecured"/>
    <x v="3"/>
    <n v="684"/>
    <s v="Low Risk"/>
    <s v="High Risk Exposure"/>
    <s v="Critical"/>
  </r>
  <r>
    <s v="LN0785"/>
    <s v="C0415"/>
    <s v="B01"/>
    <x v="2"/>
    <n v="6000000"/>
    <n v="9.2999999999999999E-2"/>
    <d v="2021-06-12T00:00:00"/>
    <n v="24"/>
    <n v="0"/>
    <n v="6660000"/>
    <x v="0"/>
    <n v="274935.06450233527"/>
    <d v="2023-06-12T00:00:00"/>
    <n v="1.1100000000000001"/>
    <s v="Secured"/>
    <x v="1"/>
    <n v="739"/>
    <s v="Low Risk"/>
    <s v="Normal"/>
    <s v="Normal"/>
  </r>
  <r>
    <s v="LN0786"/>
    <s v="C0560"/>
    <s v="B02"/>
    <x v="1"/>
    <n v="500000"/>
    <n v="0.16400000000000001"/>
    <d v="2020-12-27T00:00:00"/>
    <n v="36"/>
    <n v="0"/>
    <n v="0"/>
    <x v="0"/>
    <n v="17677.416472271205"/>
    <d v="2023-12-27T00:00:00"/>
    <n v="0"/>
    <s v="Undersecured"/>
    <x v="11"/>
    <n v="464"/>
    <s v="High Risk"/>
    <s v="High Risk Exposure"/>
    <s v="High"/>
  </r>
  <r>
    <s v="LN0787"/>
    <s v="C0147"/>
    <s v="B10"/>
    <x v="1"/>
    <n v="1000000"/>
    <n v="0.24590000000000001"/>
    <d v="2021-09-07T00:00:00"/>
    <n v="60"/>
    <n v="45"/>
    <n v="0"/>
    <x v="2"/>
    <n v="29111.442412601325"/>
    <d v="2026-09-07T00:00:00"/>
    <n v="0"/>
    <s v="Undersecured"/>
    <x v="3"/>
    <n v="696"/>
    <s v="Low Risk"/>
    <s v="High Risk Exposure"/>
    <s v="High"/>
  </r>
  <r>
    <s v="LN0788"/>
    <s v="C0629"/>
    <s v="B04"/>
    <x v="0"/>
    <n v="3000000"/>
    <n v="0.19420000000000001"/>
    <d v="2025-03-10T00:00:00"/>
    <n v="72"/>
    <n v="0"/>
    <n v="3000000"/>
    <x v="0"/>
    <n v="70853.456222403081"/>
    <d v="2031-03-10T00:00:00"/>
    <n v="1"/>
    <s v="Secured"/>
    <x v="14"/>
    <n v="502"/>
    <s v="High Risk"/>
    <s v="High Risk Exposure"/>
    <s v="High"/>
  </r>
  <r>
    <s v="LN0789"/>
    <s v="C0398"/>
    <s v="B13"/>
    <x v="2"/>
    <n v="80000000"/>
    <n v="0.1177"/>
    <d v="2022-03-19T00:00:00"/>
    <n v="24"/>
    <n v="0"/>
    <n v="42400000"/>
    <x v="0"/>
    <n v="3757290.8520458206"/>
    <d v="2024-03-19T00:00:00"/>
    <n v="0.53"/>
    <s v="Undersecured"/>
    <x v="2"/>
    <n v="687"/>
    <s v="Low Risk"/>
    <s v="High Risk Exposure"/>
    <s v="High"/>
  </r>
  <r>
    <s v="LN0790"/>
    <s v="C0454"/>
    <s v="B12"/>
    <x v="3"/>
    <n v="3000000"/>
    <n v="0.1651"/>
    <d v="2024-05-22T00:00:00"/>
    <n v="60"/>
    <n v="0"/>
    <n v="4500000"/>
    <x v="0"/>
    <n v="73769.599876160821"/>
    <d v="2029-05-22T00:00:00"/>
    <n v="1.5"/>
    <s v="Secured"/>
    <x v="12"/>
    <n v="738"/>
    <s v="Low Risk"/>
    <s v="Normal"/>
    <s v="Normal"/>
  </r>
  <r>
    <s v="LN0791"/>
    <s v="C0082"/>
    <s v="B10"/>
    <x v="1"/>
    <n v="1000000"/>
    <n v="0.16969999999999999"/>
    <d v="2025-11-08T00:00:00"/>
    <n v="12"/>
    <n v="0"/>
    <n v="0"/>
    <x v="0"/>
    <n v="91190.515648120549"/>
    <d v="2026-11-08T00:00:00"/>
    <n v="0"/>
    <s v="Undersecured"/>
    <x v="3"/>
    <n v="661"/>
    <s v="Medium Risk"/>
    <s v="High Risk Exposure"/>
    <s v="High"/>
  </r>
  <r>
    <s v="LN0792"/>
    <s v="C0091"/>
    <s v="B13"/>
    <x v="0"/>
    <n v="1000000"/>
    <n v="0.20960000000000001"/>
    <d v="2021-07-06T00:00:00"/>
    <n v="12"/>
    <n v="0"/>
    <n v="720000"/>
    <x v="0"/>
    <n v="93094.577343508252"/>
    <d v="2022-07-06T00:00:00"/>
    <n v="0.72"/>
    <s v="Undersecured"/>
    <x v="2"/>
    <n v="537"/>
    <s v="High Risk"/>
    <s v="High Risk Exposure"/>
    <s v="High"/>
  </r>
  <r>
    <s v="LN0793"/>
    <s v="C0038"/>
    <s v="B08"/>
    <x v="0"/>
    <n v="25000000"/>
    <n v="0.2387"/>
    <d v="2021-01-02T00:00:00"/>
    <n v="60"/>
    <n v="10"/>
    <n v="37000000"/>
    <x v="0"/>
    <n v="717313.95998298633"/>
    <d v="2026-01-02T00:00:00"/>
    <n v="1.48"/>
    <s v="Secured"/>
    <x v="5"/>
    <n v="456"/>
    <s v="High Risk"/>
    <s v="High Risk Exposure"/>
    <s v="High"/>
  </r>
  <r>
    <s v="LN0794"/>
    <s v="C0051"/>
    <s v="B15"/>
    <x v="2"/>
    <n v="25000000"/>
    <n v="0.1171"/>
    <d v="2021-08-09T00:00:00"/>
    <n v="60"/>
    <n v="20"/>
    <n v="24750000"/>
    <x v="0"/>
    <n v="552454.47330986639"/>
    <d v="2026-08-09T00:00:00"/>
    <n v="0.99"/>
    <s v="Undersecured"/>
    <x v="9"/>
    <n v="345"/>
    <s v="High Risk"/>
    <s v="High Risk Exposure"/>
    <s v="High"/>
  </r>
  <r>
    <s v="LN0795"/>
    <s v="C0005"/>
    <s v="B01"/>
    <x v="0"/>
    <n v="1000000"/>
    <n v="0.2036"/>
    <d v="2023-09-07T00:00:00"/>
    <n v="36"/>
    <n v="0"/>
    <n v="1090000"/>
    <x v="0"/>
    <n v="37347.266901985946"/>
    <d v="2026-09-07T00:00:00"/>
    <n v="1.0900000000000001"/>
    <s v="Secured"/>
    <x v="1"/>
    <n v="576"/>
    <s v="High Risk"/>
    <s v="High Risk Exposure"/>
    <s v="High"/>
  </r>
  <r>
    <s v="LN0796"/>
    <s v="C0364"/>
    <s v="B01"/>
    <x v="0"/>
    <n v="1000000"/>
    <n v="0.22989999999999999"/>
    <d v="2025-12-19T00:00:00"/>
    <n v="72"/>
    <n v="0"/>
    <n v="1240000"/>
    <x v="0"/>
    <n v="25717.106059191436"/>
    <d v="2031-12-19T00:00:00"/>
    <n v="1.24"/>
    <s v="Secured"/>
    <x v="1"/>
    <n v="597"/>
    <s v="Medium Risk"/>
    <s v="Normal"/>
    <s v="Normal"/>
  </r>
  <r>
    <s v="LN0797"/>
    <s v="C0170"/>
    <s v="B10"/>
    <x v="3"/>
    <n v="6000000"/>
    <n v="0.19109999999999999"/>
    <d v="2021-10-04T00:00:00"/>
    <n v="36"/>
    <n v="45"/>
    <n v="8280000"/>
    <x v="2"/>
    <n v="220269.95705272685"/>
    <d v="2024-10-04T00:00:00"/>
    <n v="1.38"/>
    <s v="Secured"/>
    <x v="3"/>
    <n v="476"/>
    <s v="High Risk"/>
    <s v="High Risk Exposure"/>
    <s v="High"/>
  </r>
  <r>
    <s v="LN0798"/>
    <s v="C0193"/>
    <s v="B11"/>
    <x v="3"/>
    <n v="6000000"/>
    <n v="0.18529999999999999"/>
    <d v="2022-05-03T00:00:00"/>
    <n v="48"/>
    <n v="120"/>
    <n v="4380000"/>
    <x v="1"/>
    <n v="177916.03123222198"/>
    <d v="2026-05-03T00:00:00"/>
    <n v="0.73"/>
    <s v="Undersecured"/>
    <x v="10"/>
    <n v="637"/>
    <s v="Medium Risk"/>
    <s v="High Risk Exposure"/>
    <s v="Critical"/>
  </r>
  <r>
    <s v="LN0799"/>
    <s v="C0696"/>
    <s v="B01"/>
    <x v="2"/>
    <n v="6000000"/>
    <n v="9.5699999999999993E-2"/>
    <d v="2020-09-14T00:00:00"/>
    <n v="60"/>
    <n v="0"/>
    <n v="7500000"/>
    <x v="0"/>
    <n v="126216.51674993199"/>
    <d v="2025-09-14T00:00:00"/>
    <n v="1.25"/>
    <s v="Secured"/>
    <x v="1"/>
    <n v="719"/>
    <s v="Low Risk"/>
    <s v="Normal"/>
    <s v="Normal"/>
  </r>
  <r>
    <s v="LN0800"/>
    <s v="C0280"/>
    <s v="B12"/>
    <x v="2"/>
    <n v="25000000"/>
    <n v="0.13850000000000001"/>
    <d v="2025-02-02T00:00:00"/>
    <n v="24"/>
    <n v="120"/>
    <n v="30500000"/>
    <x v="1"/>
    <n v="1198551.2906510413"/>
    <d v="2027-02-02T00:00:00"/>
    <n v="1.22"/>
    <s v="Secured"/>
    <x v="12"/>
    <n v="680"/>
    <s v="Low Risk"/>
    <s v="High Risk Exposure"/>
    <s v="Critical"/>
  </r>
  <r>
    <s v="LN0801"/>
    <s v="C0053"/>
    <s v="B12"/>
    <x v="0"/>
    <n v="3000000"/>
    <n v="0.2092"/>
    <d v="2025-05-05T00:00:00"/>
    <n v="72"/>
    <n v="0"/>
    <n v="3390000"/>
    <x v="0"/>
    <n v="73467.255707716613"/>
    <d v="2031-05-05T00:00:00"/>
    <n v="1.1299999999999999"/>
    <s v="Secured"/>
    <x v="12"/>
    <n v="436"/>
    <s v="High Risk"/>
    <s v="High Risk Exposure"/>
    <s v="High"/>
  </r>
  <r>
    <s v="LN0802"/>
    <s v="C0388"/>
    <s v="B08"/>
    <x v="3"/>
    <n v="3000000"/>
    <n v="0.13339999999999999"/>
    <d v="2023-12-17T00:00:00"/>
    <n v="24"/>
    <n v="5"/>
    <n v="4020000"/>
    <x v="0"/>
    <n v="143105.03828957779"/>
    <d v="2025-12-17T00:00:00"/>
    <n v="1.34"/>
    <s v="Secured"/>
    <x v="5"/>
    <n v="428"/>
    <s v="High Risk"/>
    <s v="High Risk Exposure"/>
    <s v="High"/>
  </r>
  <r>
    <s v="LN0803"/>
    <s v="C0058"/>
    <s v="B13"/>
    <x v="0"/>
    <n v="1000000"/>
    <n v="0.1951"/>
    <d v="2020-03-20T00:00:00"/>
    <n v="12"/>
    <n v="45"/>
    <n v="850000"/>
    <x v="2"/>
    <n v="92400.153746215219"/>
    <d v="2021-03-20T00:00:00"/>
    <n v="0.85"/>
    <s v="Undersecured"/>
    <x v="2"/>
    <n v="777"/>
    <s v="Very Low Risk"/>
    <s v="High Risk Exposure"/>
    <s v="High"/>
  </r>
  <r>
    <s v="LN0804"/>
    <s v="C0384"/>
    <s v="B07"/>
    <x v="2"/>
    <n v="6000000"/>
    <n v="0.1174"/>
    <d v="2022-12-17T00:00:00"/>
    <n v="12"/>
    <n v="0"/>
    <n v="4260000"/>
    <x v="0"/>
    <n v="532363.22535195039"/>
    <d v="2023-12-17T00:00:00"/>
    <n v="0.71"/>
    <s v="Undersecured"/>
    <x v="0"/>
    <n v="361"/>
    <s v="High Risk"/>
    <s v="High Risk Exposure"/>
    <s v="High"/>
  </r>
  <r>
    <s v="LN0805"/>
    <s v="C0136"/>
    <s v="B15"/>
    <x v="3"/>
    <n v="3000000"/>
    <n v="0.19450000000000001"/>
    <d v="2020-03-26T00:00:00"/>
    <n v="12"/>
    <n v="0"/>
    <n v="2160000"/>
    <x v="0"/>
    <n v="277114.43907025998"/>
    <d v="2021-03-26T00:00:00"/>
    <n v="0.72"/>
    <s v="Undersecured"/>
    <x v="9"/>
    <n v="746"/>
    <s v="Very Low Risk"/>
    <s v="High Risk Exposure"/>
    <s v="High"/>
  </r>
  <r>
    <s v="LN0806"/>
    <s v="C0292"/>
    <s v="B05"/>
    <x v="1"/>
    <n v="100000"/>
    <n v="0.22739999999999999"/>
    <d v="2021-03-14T00:00:00"/>
    <n v="12"/>
    <n v="0"/>
    <n v="0"/>
    <x v="0"/>
    <n v="9395.0888113511337"/>
    <d v="2022-03-14T00:00:00"/>
    <n v="0"/>
    <s v="Undersecured"/>
    <x v="4"/>
    <n v="649"/>
    <s v="Medium Risk"/>
    <s v="High Risk Exposure"/>
    <s v="High"/>
  </r>
  <r>
    <s v="LN0807"/>
    <s v="C0140"/>
    <s v="B03"/>
    <x v="1"/>
    <n v="1000000"/>
    <n v="0.1613"/>
    <d v="2021-04-18T00:00:00"/>
    <n v="12"/>
    <n v="0"/>
    <n v="0"/>
    <x v="0"/>
    <n v="90792.387882869822"/>
    <d v="2022-04-18T00:00:00"/>
    <n v="0"/>
    <s v="Undersecured"/>
    <x v="7"/>
    <n v="511"/>
    <s v="High Risk"/>
    <s v="High Risk Exposure"/>
    <s v="High"/>
  </r>
  <r>
    <s v="LN0808"/>
    <s v="C0137"/>
    <s v="B14"/>
    <x v="0"/>
    <n v="6000000"/>
    <n v="0.1535"/>
    <d v="2024-12-12T00:00:00"/>
    <n v="24"/>
    <n v="45"/>
    <n v="7260000"/>
    <x v="2"/>
    <n v="291918.62029694737"/>
    <d v="2026-12-12T00:00:00"/>
    <n v="1.21"/>
    <s v="Secured"/>
    <x v="13"/>
    <n v="700"/>
    <s v="Low Risk"/>
    <s v="High Risk Exposure"/>
    <s v="High"/>
  </r>
  <r>
    <s v="LN0809"/>
    <s v="C0575"/>
    <s v="B11"/>
    <x v="3"/>
    <n v="1000000"/>
    <n v="0.19189999999999999"/>
    <d v="2023-04-16T00:00:00"/>
    <n v="48"/>
    <n v="0"/>
    <n v="1060000"/>
    <x v="0"/>
    <n v="30000.47130312321"/>
    <d v="2027-04-16T00:00:00"/>
    <n v="1.06"/>
    <s v="Secured"/>
    <x v="10"/>
    <n v="803"/>
    <s v="Prime"/>
    <s v="Normal"/>
    <s v="Normal"/>
  </r>
  <r>
    <s v="LN0810"/>
    <s v="C0267"/>
    <s v="B06"/>
    <x v="0"/>
    <n v="1000000"/>
    <n v="0.15989999999999999"/>
    <d v="2023-01-21T00:00:00"/>
    <n v="24"/>
    <n v="20"/>
    <n v="1030000"/>
    <x v="0"/>
    <n v="48958.332560826719"/>
    <d v="2025-01-21T00:00:00"/>
    <n v="1.03"/>
    <s v="Secured"/>
    <x v="6"/>
    <n v="376"/>
    <s v="High Risk"/>
    <s v="High Risk Exposure"/>
    <s v="High"/>
  </r>
  <r>
    <s v="LN0811"/>
    <s v="C0226"/>
    <s v="B07"/>
    <x v="1"/>
    <n v="500000"/>
    <n v="0.17430000000000001"/>
    <d v="2021-11-03T00:00:00"/>
    <n v="60"/>
    <n v="0"/>
    <n v="0"/>
    <x v="0"/>
    <n v="12542.184689345415"/>
    <d v="2026-11-03T00:00:00"/>
    <n v="0"/>
    <s v="Undersecured"/>
    <x v="0"/>
    <n v="554"/>
    <s v="High Risk"/>
    <s v="High Risk Exposure"/>
    <s v="High"/>
  </r>
  <r>
    <s v="LN0812"/>
    <s v="C0385"/>
    <s v="B09"/>
    <x v="1"/>
    <n v="100000"/>
    <n v="0.20039999999999999"/>
    <d v="2021-10-17T00:00:00"/>
    <n v="48"/>
    <n v="0"/>
    <n v="0"/>
    <x v="0"/>
    <n v="3045.1678200318297"/>
    <d v="2025-10-17T00:00:00"/>
    <n v="0"/>
    <s v="Undersecured"/>
    <x v="8"/>
    <n v="444"/>
    <s v="High Risk"/>
    <s v="High Risk Exposure"/>
    <s v="High"/>
  </r>
  <r>
    <s v="LN0813"/>
    <s v="C0633"/>
    <s v="B06"/>
    <x v="3"/>
    <n v="3000000"/>
    <n v="0.14879999999999999"/>
    <d v="2024-06-26T00:00:00"/>
    <n v="24"/>
    <n v="90"/>
    <n v="2580000"/>
    <x v="2"/>
    <n v="145288.96112202661"/>
    <d v="2026-06-26T00:00:00"/>
    <n v="0.86"/>
    <s v="Undersecured"/>
    <x v="6"/>
    <n v="406"/>
    <s v="High Risk"/>
    <s v="High Risk Exposure"/>
    <s v="High"/>
  </r>
  <r>
    <s v="LN0814"/>
    <s v="C0380"/>
    <s v="B03"/>
    <x v="2"/>
    <n v="6000000"/>
    <n v="0.1125"/>
    <d v="2022-09-07T00:00:00"/>
    <n v="72"/>
    <n v="0"/>
    <n v="3120000"/>
    <x v="0"/>
    <n v="114974.23275104431"/>
    <d v="2028-09-07T00:00:00"/>
    <n v="0.52"/>
    <s v="Undersecured"/>
    <x v="7"/>
    <n v="692"/>
    <s v="Low Risk"/>
    <s v="High Risk Exposure"/>
    <s v="High"/>
  </r>
  <r>
    <s v="LN0815"/>
    <s v="C0355"/>
    <s v="B09"/>
    <x v="3"/>
    <n v="1000000"/>
    <n v="0.1212"/>
    <d v="2021-05-25T00:00:00"/>
    <n v="12"/>
    <n v="0"/>
    <n v="1020000"/>
    <x v="0"/>
    <n v="88904.935518689075"/>
    <d v="2022-05-25T00:00:00"/>
    <n v="1.02"/>
    <s v="Secured"/>
    <x v="8"/>
    <n v="809"/>
    <s v="Prime"/>
    <s v="Normal"/>
    <s v="Normal"/>
  </r>
  <r>
    <s v="LN0816"/>
    <s v="C0329"/>
    <s v="B02"/>
    <x v="0"/>
    <n v="25000000"/>
    <n v="0.2397"/>
    <d v="2024-07-14T00:00:00"/>
    <n v="24"/>
    <n v="120"/>
    <n v="30000000"/>
    <x v="1"/>
    <n v="1321403.1295773603"/>
    <d v="2026-07-14T00:00:00"/>
    <n v="1.2"/>
    <s v="Secured"/>
    <x v="11"/>
    <n v="322"/>
    <s v="High Risk"/>
    <s v="High Risk Exposure"/>
    <s v="Critical"/>
  </r>
  <r>
    <s v="LN0817"/>
    <s v="C0324"/>
    <s v="B10"/>
    <x v="2"/>
    <n v="80000000"/>
    <n v="0.13089999999999999"/>
    <d v="2023-03-02T00:00:00"/>
    <n v="36"/>
    <n v="0"/>
    <n v="57600000"/>
    <x v="0"/>
    <n v="2698985.4365717098"/>
    <d v="2026-03-02T00:00:00"/>
    <n v="0.72"/>
    <s v="Undersecured"/>
    <x v="3"/>
    <n v="321"/>
    <s v="High Risk"/>
    <s v="High Risk Exposure"/>
    <s v="High"/>
  </r>
  <r>
    <s v="LN0818"/>
    <s v="C0397"/>
    <s v="B10"/>
    <x v="3"/>
    <n v="6000000"/>
    <n v="0.19450000000000001"/>
    <d v="2024-08-02T00:00:00"/>
    <n v="60"/>
    <n v="5"/>
    <n v="3180000"/>
    <x v="0"/>
    <n v="157132.71788080799"/>
    <d v="2029-08-02T00:00:00"/>
    <n v="0.53"/>
    <s v="Undersecured"/>
    <x v="3"/>
    <n v="333"/>
    <s v="High Risk"/>
    <s v="High Risk Exposure"/>
    <s v="High"/>
  </r>
  <r>
    <s v="LN0819"/>
    <s v="C0035"/>
    <s v="B04"/>
    <x v="0"/>
    <n v="1000000"/>
    <n v="0.20519999999999999"/>
    <d v="2022-04-06T00:00:00"/>
    <n v="60"/>
    <n v="0"/>
    <n v="540000"/>
    <x v="0"/>
    <n v="26784.048785146766"/>
    <d v="2027-04-06T00:00:00"/>
    <n v="0.54"/>
    <s v="Undersecured"/>
    <x v="14"/>
    <n v="696"/>
    <s v="Low Risk"/>
    <s v="High Risk Exposure"/>
    <s v="High"/>
  </r>
  <r>
    <s v="LN0820"/>
    <s v="C0545"/>
    <s v="B10"/>
    <x v="1"/>
    <n v="100000"/>
    <n v="0.20749999999999999"/>
    <d v="2023-10-07T00:00:00"/>
    <n v="48"/>
    <n v="0"/>
    <n v="0"/>
    <x v="0"/>
    <n v="3083.1386834871332"/>
    <d v="2027-10-07T00:00:00"/>
    <n v="0"/>
    <s v="Undersecured"/>
    <x v="3"/>
    <n v="406"/>
    <s v="High Risk"/>
    <s v="High Risk Exposure"/>
    <s v="High"/>
  </r>
  <r>
    <s v="LN0821"/>
    <s v="C0394"/>
    <s v="B03"/>
    <x v="0"/>
    <n v="3000000"/>
    <n v="0.23169999999999999"/>
    <d v="2022-02-01T00:00:00"/>
    <n v="48"/>
    <n v="45"/>
    <n v="4470000"/>
    <x v="2"/>
    <n v="96434.051706295271"/>
    <d v="2026-02-01T00:00:00"/>
    <n v="1.49"/>
    <s v="Secured"/>
    <x v="7"/>
    <n v="707"/>
    <s v="Low Risk"/>
    <s v="High Risk Exposure"/>
    <s v="High"/>
  </r>
  <r>
    <s v="LN0822"/>
    <s v="C0324"/>
    <s v="B14"/>
    <x v="0"/>
    <n v="6000000"/>
    <n v="0.19939999999999999"/>
    <d v="2023-02-08T00:00:00"/>
    <n v="60"/>
    <n v="45"/>
    <n v="5940000"/>
    <x v="2"/>
    <n v="158763.05911384273"/>
    <d v="2028-02-08T00:00:00"/>
    <n v="0.99"/>
    <s v="Undersecured"/>
    <x v="13"/>
    <n v="321"/>
    <s v="High Risk"/>
    <s v="High Risk Exposure"/>
    <s v="High"/>
  </r>
  <r>
    <s v="LN0823"/>
    <s v="C0165"/>
    <s v="B08"/>
    <x v="1"/>
    <n v="500000"/>
    <n v="0.20480000000000001"/>
    <d v="2024-07-15T00:00:00"/>
    <n v="12"/>
    <n v="5"/>
    <n v="0"/>
    <x v="0"/>
    <n v="46432.1936750319"/>
    <d v="2025-07-15T00:00:00"/>
    <n v="0"/>
    <s v="Undersecured"/>
    <x v="5"/>
    <n v="511"/>
    <s v="High Risk"/>
    <s v="High Risk Exposure"/>
    <s v="High"/>
  </r>
  <r>
    <s v="LN0824"/>
    <s v="C0408"/>
    <s v="B02"/>
    <x v="1"/>
    <n v="500000"/>
    <n v="0.23930000000000001"/>
    <d v="2020-05-08T00:00:00"/>
    <n v="36"/>
    <n v="0"/>
    <n v="0"/>
    <x v="0"/>
    <n v="19598.05405973296"/>
    <d v="2023-05-08T00:00:00"/>
    <n v="0"/>
    <s v="Undersecured"/>
    <x v="11"/>
    <n v="572"/>
    <s v="High Risk"/>
    <s v="High Risk Exposure"/>
    <s v="High"/>
  </r>
  <r>
    <s v="LN0825"/>
    <s v="C0431"/>
    <s v="B07"/>
    <x v="2"/>
    <n v="25000000"/>
    <n v="0.1138"/>
    <d v="2025-09-08T00:00:00"/>
    <n v="24"/>
    <n v="90"/>
    <n v="20000000"/>
    <x v="2"/>
    <n v="1169611.4691728898"/>
    <d v="2027-09-08T00:00:00"/>
    <n v="0.8"/>
    <s v="Undersecured"/>
    <x v="0"/>
    <n v="511"/>
    <s v="High Risk"/>
    <s v="High Risk Exposure"/>
    <s v="High"/>
  </r>
  <r>
    <s v="LN0826"/>
    <s v="C0244"/>
    <s v="B05"/>
    <x v="3"/>
    <n v="500000"/>
    <n v="0.1663"/>
    <d v="2023-12-23T00:00:00"/>
    <n v="60"/>
    <n v="0"/>
    <n v="540000"/>
    <x v="0"/>
    <n v="12327.031291369036"/>
    <d v="2028-12-23T00:00:00"/>
    <n v="1.08"/>
    <s v="Secured"/>
    <x v="4"/>
    <n v="671"/>
    <s v="Low Risk"/>
    <s v="Normal"/>
    <s v="Normal"/>
  </r>
  <r>
    <s v="LN0827"/>
    <s v="C0388"/>
    <s v="B09"/>
    <x v="3"/>
    <n v="6000000"/>
    <n v="0.1845"/>
    <d v="2022-10-08T00:00:00"/>
    <n v="48"/>
    <n v="20"/>
    <n v="3180000"/>
    <x v="0"/>
    <n v="177663.99828068962"/>
    <d v="2026-10-08T00:00:00"/>
    <n v="0.53"/>
    <s v="Undersecured"/>
    <x v="8"/>
    <n v="428"/>
    <s v="High Risk"/>
    <s v="High Risk Exposure"/>
    <s v="High"/>
  </r>
  <r>
    <s v="LN0828"/>
    <s v="C0067"/>
    <s v="B11"/>
    <x v="1"/>
    <n v="100000"/>
    <n v="0.19900000000000001"/>
    <d v="2023-05-19T00:00:00"/>
    <n v="12"/>
    <n v="0"/>
    <n v="0"/>
    <x v="0"/>
    <n v="9258.6652785396018"/>
    <d v="2024-05-19T00:00:00"/>
    <n v="0"/>
    <s v="Undersecured"/>
    <x v="10"/>
    <n v="819"/>
    <s v="Prime"/>
    <s v="High Risk Exposure"/>
    <s v="High"/>
  </r>
  <r>
    <s v="LN0829"/>
    <s v="C0183"/>
    <s v="B13"/>
    <x v="0"/>
    <n v="6000000"/>
    <n v="0.18440000000000001"/>
    <d v="2023-02-27T00:00:00"/>
    <n v="72"/>
    <n v="20"/>
    <n v="4500000"/>
    <x v="0"/>
    <n v="138343.38658884168"/>
    <d v="2029-02-27T00:00:00"/>
    <n v="0.75"/>
    <s v="Undersecured"/>
    <x v="2"/>
    <n v="561"/>
    <s v="High Risk"/>
    <s v="High Risk Exposure"/>
    <s v="High"/>
  </r>
  <r>
    <s v="LN0830"/>
    <s v="C0201"/>
    <s v="B15"/>
    <x v="0"/>
    <n v="25000000"/>
    <n v="0.17219999999999999"/>
    <d v="2023-07-22T00:00:00"/>
    <n v="48"/>
    <n v="120"/>
    <n v="33500000"/>
    <x v="1"/>
    <n v="724224.70743177307"/>
    <d v="2027-07-22T00:00:00"/>
    <n v="1.34"/>
    <s v="Secured"/>
    <x v="9"/>
    <n v="611"/>
    <s v="Medium Risk"/>
    <s v="High Risk Exposure"/>
    <s v="Critical"/>
  </r>
  <r>
    <s v="LN0831"/>
    <s v="C0087"/>
    <s v="B08"/>
    <x v="1"/>
    <n v="1000000"/>
    <n v="0.23130000000000001"/>
    <d v="2025-06-25T00:00:00"/>
    <n v="36"/>
    <n v="90"/>
    <n v="0"/>
    <x v="2"/>
    <n v="38777.510587136305"/>
    <d v="2028-06-25T00:00:00"/>
    <n v="0"/>
    <s v="Undersecured"/>
    <x v="5"/>
    <n v="549"/>
    <s v="High Risk"/>
    <s v="High Risk Exposure"/>
    <s v="High"/>
  </r>
  <r>
    <s v="LN0832"/>
    <s v="C0316"/>
    <s v="B10"/>
    <x v="1"/>
    <n v="500000"/>
    <n v="0.1663"/>
    <d v="2020-09-07T00:00:00"/>
    <n v="72"/>
    <n v="20"/>
    <n v="0"/>
    <x v="0"/>
    <n v="11020.089833415597"/>
    <d v="2026-09-07T00:00:00"/>
    <n v="0"/>
    <s v="Undersecured"/>
    <x v="3"/>
    <n v="472"/>
    <s v="High Risk"/>
    <s v="High Risk Exposure"/>
    <s v="High"/>
  </r>
  <r>
    <s v="LN0833"/>
    <s v="C0409"/>
    <s v="B08"/>
    <x v="2"/>
    <n v="25000000"/>
    <n v="0.11650000000000001"/>
    <d v="2024-10-25T00:00:00"/>
    <n v="12"/>
    <n v="0"/>
    <n v="19500000"/>
    <x v="0"/>
    <n v="2217128.4669128102"/>
    <d v="2025-10-25T00:00:00"/>
    <n v="0.78"/>
    <s v="Undersecured"/>
    <x v="5"/>
    <n v="324"/>
    <s v="High Risk"/>
    <s v="High Risk Exposure"/>
    <s v="High"/>
  </r>
  <r>
    <s v="LN0834"/>
    <s v="C0281"/>
    <s v="B15"/>
    <x v="1"/>
    <n v="1000000"/>
    <n v="0.1704"/>
    <d v="2024-02-14T00:00:00"/>
    <n v="24"/>
    <n v="5"/>
    <n v="0"/>
    <x v="0"/>
    <n v="49461.486107750279"/>
    <d v="2026-02-14T00:00:00"/>
    <n v="0"/>
    <s v="Undersecured"/>
    <x v="9"/>
    <n v="534"/>
    <s v="High Risk"/>
    <s v="High Risk Exposure"/>
    <s v="High"/>
  </r>
  <r>
    <s v="LN0835"/>
    <s v="C0214"/>
    <s v="B14"/>
    <x v="1"/>
    <n v="100000"/>
    <n v="0.1731"/>
    <d v="2020-02-22T00:00:00"/>
    <n v="24"/>
    <n v="0"/>
    <n v="0"/>
    <x v="0"/>
    <n v="4959.1347063603016"/>
    <d v="2022-02-22T00:00:00"/>
    <n v="0"/>
    <s v="Undersecured"/>
    <x v="13"/>
    <n v="559"/>
    <s v="High Risk"/>
    <s v="High Risk Exposure"/>
    <s v="High"/>
  </r>
  <r>
    <s v="LN0836"/>
    <s v="C0285"/>
    <s v="B08"/>
    <x v="0"/>
    <n v="1000000"/>
    <n v="0.15529999999999999"/>
    <d v="2021-08-04T00:00:00"/>
    <n v="24"/>
    <n v="45"/>
    <n v="1420000"/>
    <x v="2"/>
    <n v="48738.837573387231"/>
    <d v="2023-08-04T00:00:00"/>
    <n v="1.42"/>
    <s v="Secured"/>
    <x v="5"/>
    <n v="626"/>
    <s v="Medium Risk"/>
    <s v="High Risk Exposure"/>
    <s v="High"/>
  </r>
  <r>
    <s v="LN0837"/>
    <s v="C0392"/>
    <s v="B08"/>
    <x v="0"/>
    <n v="25000000"/>
    <n v="0.1741"/>
    <d v="2025-03-14T00:00:00"/>
    <n v="36"/>
    <n v="0"/>
    <n v="33250000"/>
    <x v="0"/>
    <n v="896427.79421584262"/>
    <d v="2028-03-14T00:00:00"/>
    <n v="1.33"/>
    <s v="Secured"/>
    <x v="5"/>
    <n v="311"/>
    <s v="High Risk"/>
    <s v="High Risk Exposure"/>
    <s v="High"/>
  </r>
  <r>
    <s v="LN0838"/>
    <s v="C0240"/>
    <s v="B04"/>
    <x v="2"/>
    <n v="25000000"/>
    <n v="0.1128"/>
    <d v="2025-11-25T00:00:00"/>
    <n v="72"/>
    <n v="0"/>
    <n v="30000000"/>
    <x v="0"/>
    <n v="479445.00781212252"/>
    <d v="2031-11-25T00:00:00"/>
    <n v="1.2"/>
    <s v="Secured"/>
    <x v="14"/>
    <n v="764"/>
    <s v="Very Low Risk"/>
    <s v="Normal"/>
    <s v="Normal"/>
  </r>
  <r>
    <s v="LN0839"/>
    <s v="C0641"/>
    <s v="B07"/>
    <x v="2"/>
    <n v="6000000"/>
    <n v="0.13189999999999999"/>
    <d v="2024-09-27T00:00:00"/>
    <n v="24"/>
    <n v="45"/>
    <n v="6900000"/>
    <x v="2"/>
    <n v="285786.6944760672"/>
    <d v="2026-09-27T00:00:00"/>
    <n v="1.1499999999999999"/>
    <s v="Secured"/>
    <x v="0"/>
    <n v="790"/>
    <s v="Very Low Risk"/>
    <s v="High Risk Exposure"/>
    <s v="High"/>
  </r>
  <r>
    <s v="LN0840"/>
    <s v="C0546"/>
    <s v="B10"/>
    <x v="3"/>
    <n v="3000000"/>
    <n v="0.15920000000000001"/>
    <d v="2025-04-06T00:00:00"/>
    <n v="72"/>
    <n v="10"/>
    <n v="2730000"/>
    <x v="0"/>
    <n v="64943.455657863196"/>
    <d v="2031-04-06T00:00:00"/>
    <n v="0.91"/>
    <s v="Undersecured"/>
    <x v="3"/>
    <n v="397"/>
    <s v="High Risk"/>
    <s v="High Risk Exposure"/>
    <s v="High"/>
  </r>
  <r>
    <s v="LN0841"/>
    <s v="C0142"/>
    <s v="B04"/>
    <x v="2"/>
    <n v="25000000"/>
    <n v="0.1169"/>
    <d v="2025-05-26T00:00:00"/>
    <n v="12"/>
    <n v="5"/>
    <n v="36250000"/>
    <x v="0"/>
    <n v="2217595.827962352"/>
    <d v="2026-05-26T00:00:00"/>
    <n v="1.45"/>
    <s v="Secured"/>
    <x v="14"/>
    <n v="633"/>
    <s v="Medium Risk"/>
    <s v="Normal"/>
    <s v="Normal"/>
  </r>
  <r>
    <s v="LN0842"/>
    <s v="C0567"/>
    <s v="B08"/>
    <x v="1"/>
    <n v="250000"/>
    <n v="0.2787"/>
    <d v="2023-10-23T00:00:00"/>
    <n v="12"/>
    <n v="0"/>
    <n v="0"/>
    <x v="0"/>
    <n v="24110.59936804965"/>
    <d v="2024-10-23T00:00:00"/>
    <n v="0"/>
    <s v="Undersecured"/>
    <x v="5"/>
    <n v="649"/>
    <s v="Medium Risk"/>
    <s v="High Risk Exposure"/>
    <s v="High"/>
  </r>
  <r>
    <s v="LN0843"/>
    <s v="C0472"/>
    <s v="B08"/>
    <x v="0"/>
    <n v="6000000"/>
    <n v="0.157"/>
    <d v="2023-11-15T00:00:00"/>
    <n v="48"/>
    <n v="45"/>
    <n v="3540000"/>
    <x v="2"/>
    <n v="169121.2231700276"/>
    <d v="2027-11-15T00:00:00"/>
    <n v="0.59"/>
    <s v="Undersecured"/>
    <x v="5"/>
    <n v="767"/>
    <s v="Very Low Risk"/>
    <s v="High Risk Exposure"/>
    <s v="High"/>
  </r>
  <r>
    <s v="LN0844"/>
    <s v="C0267"/>
    <s v="B03"/>
    <x v="0"/>
    <n v="1000000"/>
    <n v="0.20730000000000001"/>
    <d v="2023-01-06T00:00:00"/>
    <n v="36"/>
    <n v="0"/>
    <n v="950000"/>
    <x v="0"/>
    <n v="37536.581340325327"/>
    <d v="2026-01-06T00:00:00"/>
    <n v="0.95"/>
    <s v="Undersecured"/>
    <x v="7"/>
    <n v="376"/>
    <s v="High Risk"/>
    <s v="High Risk Exposure"/>
    <s v="High"/>
  </r>
  <r>
    <s v="LN0845"/>
    <s v="C0635"/>
    <s v="B02"/>
    <x v="3"/>
    <n v="6000000"/>
    <n v="0.1207"/>
    <d v="2025-11-14T00:00:00"/>
    <n v="12"/>
    <n v="0"/>
    <n v="6060000"/>
    <x v="0"/>
    <n v="533289.2317653721"/>
    <d v="2026-11-14T00:00:00"/>
    <n v="1.01"/>
    <s v="Secured"/>
    <x v="11"/>
    <n v="657"/>
    <s v="Medium Risk"/>
    <s v="Normal"/>
    <s v="Normal"/>
  </r>
  <r>
    <s v="LN0846"/>
    <s v="C0137"/>
    <s v="B01"/>
    <x v="2"/>
    <n v="80000000"/>
    <n v="9.0200000000000002E-2"/>
    <d v="2021-04-21T00:00:00"/>
    <n v="36"/>
    <n v="45"/>
    <n v="59200000"/>
    <x v="2"/>
    <n v="2544723.3386737532"/>
    <d v="2024-04-21T00:00:00"/>
    <n v="0.74"/>
    <s v="Undersecured"/>
    <x v="1"/>
    <n v="700"/>
    <s v="Low Risk"/>
    <s v="High Risk Exposure"/>
    <s v="High"/>
  </r>
  <r>
    <s v="LN0847"/>
    <s v="C0335"/>
    <s v="B13"/>
    <x v="3"/>
    <n v="500000"/>
    <n v="0.18529999999999999"/>
    <d v="2021-01-22T00:00:00"/>
    <n v="24"/>
    <n v="5"/>
    <n v="305000"/>
    <x v="0"/>
    <n v="25090.281014869222"/>
    <d v="2023-01-22T00:00:00"/>
    <n v="0.61"/>
    <s v="Undersecured"/>
    <x v="2"/>
    <n v="316"/>
    <s v="High Risk"/>
    <s v="High Risk Exposure"/>
    <s v="High"/>
  </r>
  <r>
    <s v="LN0848"/>
    <s v="C0300"/>
    <s v="B07"/>
    <x v="3"/>
    <n v="6000000"/>
    <n v="0.15679999999999999"/>
    <d v="2023-05-08T00:00:00"/>
    <n v="12"/>
    <n v="90"/>
    <n v="3300000"/>
    <x v="2"/>
    <n v="543476.9787349354"/>
    <d v="2024-05-08T00:00:00"/>
    <n v="0.55000000000000004"/>
    <s v="Undersecured"/>
    <x v="0"/>
    <n v="325"/>
    <s v="High Risk"/>
    <s v="High Risk Exposure"/>
    <s v="High"/>
  </r>
  <r>
    <s v="LN0849"/>
    <s v="C0439"/>
    <s v="B04"/>
    <x v="0"/>
    <n v="25000000"/>
    <n v="0.22339999999999999"/>
    <d v="2023-10-21T00:00:00"/>
    <n v="36"/>
    <n v="20"/>
    <n v="13500000"/>
    <x v="0"/>
    <n v="959164.24476994574"/>
    <d v="2026-10-21T00:00:00"/>
    <n v="0.54"/>
    <s v="Undersecured"/>
    <x v="14"/>
    <n v="466"/>
    <s v="High Risk"/>
    <s v="High Risk Exposure"/>
    <s v="High"/>
  </r>
  <r>
    <s v="LN0850"/>
    <s v="C0118"/>
    <s v="B10"/>
    <x v="3"/>
    <n v="1000000"/>
    <n v="0.1968"/>
    <d v="2025-10-13T00:00:00"/>
    <n v="36"/>
    <n v="5"/>
    <n v="1420000"/>
    <x v="0"/>
    <n v="37000.735643337706"/>
    <d v="2028-10-13T00:00:00"/>
    <n v="1.42"/>
    <s v="Secured"/>
    <x v="3"/>
    <n v="790"/>
    <s v="Very Low Risk"/>
    <s v="Normal"/>
    <s v="Normal"/>
  </r>
  <r>
    <s v="LN0851"/>
    <s v="C0093"/>
    <s v="B09"/>
    <x v="0"/>
    <n v="25000000"/>
    <n v="0.1769"/>
    <d v="2025-02-17T00:00:00"/>
    <n v="48"/>
    <n v="0"/>
    <n v="13250000"/>
    <x v="0"/>
    <n v="730331.48016692919"/>
    <d v="2029-02-17T00:00:00"/>
    <n v="0.53"/>
    <s v="Undersecured"/>
    <x v="8"/>
    <n v="520"/>
    <s v="High Risk"/>
    <s v="High Risk Exposure"/>
    <s v="High"/>
  </r>
  <r>
    <s v="LN0852"/>
    <s v="C0081"/>
    <s v="B11"/>
    <x v="0"/>
    <n v="6000000"/>
    <n v="0.2228"/>
    <d v="2024-07-03T00:00:00"/>
    <n v="60"/>
    <n v="45"/>
    <n v="7020000"/>
    <x v="2"/>
    <n v="166670.07665689048"/>
    <d v="2029-07-03T00:00:00"/>
    <n v="1.17"/>
    <s v="Secured"/>
    <x v="10"/>
    <n v="609"/>
    <s v="Medium Risk"/>
    <s v="High Risk Exposure"/>
    <s v="High"/>
  </r>
  <r>
    <s v="LN0853"/>
    <s v="C0063"/>
    <s v="B12"/>
    <x v="1"/>
    <n v="100000"/>
    <n v="0.186"/>
    <d v="2022-07-06T00:00:00"/>
    <n v="24"/>
    <n v="120"/>
    <n v="0"/>
    <x v="1"/>
    <n v="5021.4490281729823"/>
    <d v="2024-07-06T00:00:00"/>
    <n v="0"/>
    <s v="Undersecured"/>
    <x v="12"/>
    <n v="808"/>
    <s v="Prime"/>
    <s v="High Risk Exposure"/>
    <s v="Critical"/>
  </r>
  <r>
    <s v="LN0854"/>
    <s v="C0313"/>
    <s v="B05"/>
    <x v="1"/>
    <n v="1000000"/>
    <n v="0.2218"/>
    <d v="2022-10-27T00:00:00"/>
    <n v="36"/>
    <n v="0"/>
    <n v="0"/>
    <x v="0"/>
    <n v="38283.635524724974"/>
    <d v="2025-10-27T00:00:00"/>
    <n v="0"/>
    <s v="Undersecured"/>
    <x v="4"/>
    <n v="576"/>
    <s v="High Risk"/>
    <s v="High Risk Exposure"/>
    <s v="High"/>
  </r>
  <r>
    <s v="LN0855"/>
    <s v="C0406"/>
    <s v="B10"/>
    <x v="3"/>
    <n v="1000000"/>
    <n v="0.18010000000000001"/>
    <d v="2024-07-04T00:00:00"/>
    <n v="24"/>
    <n v="5"/>
    <n v="870000"/>
    <x v="0"/>
    <n v="49928.933880731624"/>
    <d v="2026-07-04T00:00:00"/>
    <n v="0.87"/>
    <s v="Undersecured"/>
    <x v="3"/>
    <n v="314"/>
    <s v="High Risk"/>
    <s v="High Risk Exposure"/>
    <s v="High"/>
  </r>
  <r>
    <s v="LN0856"/>
    <s v="C0425"/>
    <s v="B02"/>
    <x v="1"/>
    <n v="100000"/>
    <n v="0.1623"/>
    <d v="2021-09-08T00:00:00"/>
    <n v="48"/>
    <n v="120"/>
    <n v="0"/>
    <x v="1"/>
    <n v="2845.8214108072289"/>
    <d v="2025-09-08T00:00:00"/>
    <n v="0"/>
    <s v="Undersecured"/>
    <x v="11"/>
    <n v="667"/>
    <s v="Medium Risk"/>
    <s v="High Risk Exposure"/>
    <s v="Critical"/>
  </r>
  <r>
    <s v="LN0857"/>
    <s v="C0364"/>
    <s v="B07"/>
    <x v="2"/>
    <n v="25000000"/>
    <n v="0.12920000000000001"/>
    <d v="2020-04-10T00:00:00"/>
    <n v="48"/>
    <n v="120"/>
    <n v="20000000"/>
    <x v="1"/>
    <n v="669695.17254807823"/>
    <d v="2024-04-10T00:00:00"/>
    <n v="0.8"/>
    <s v="Undersecured"/>
    <x v="0"/>
    <n v="597"/>
    <s v="Medium Risk"/>
    <s v="High Risk Exposure"/>
    <s v="Critical"/>
  </r>
  <r>
    <s v="LN0858"/>
    <s v="C0541"/>
    <s v="B11"/>
    <x v="2"/>
    <n v="25000000"/>
    <n v="0.1187"/>
    <d v="2020-07-11T00:00:00"/>
    <n v="12"/>
    <n v="0"/>
    <n v="25500000"/>
    <x v="0"/>
    <n v="2219699.6246003872"/>
    <d v="2021-07-11T00:00:00"/>
    <n v="1.02"/>
    <s v="Secured"/>
    <x v="10"/>
    <n v="544"/>
    <s v="High Risk"/>
    <s v="High Risk Exposure"/>
    <s v="High"/>
  </r>
  <r>
    <s v="LN0859"/>
    <s v="C0329"/>
    <s v="B14"/>
    <x v="1"/>
    <n v="500000"/>
    <n v="0.18090000000000001"/>
    <d v="2025-04-11T00:00:00"/>
    <n v="36"/>
    <n v="0"/>
    <n v="0"/>
    <x v="0"/>
    <n v="18098.779990081835"/>
    <d v="2028-04-11T00:00:00"/>
    <n v="0"/>
    <s v="Undersecured"/>
    <x v="13"/>
    <n v="322"/>
    <s v="High Risk"/>
    <s v="High Risk Exposure"/>
    <s v="High"/>
  </r>
  <r>
    <s v="LN0860"/>
    <s v="C0679"/>
    <s v="B06"/>
    <x v="0"/>
    <n v="3000000"/>
    <n v="0.16669999999999999"/>
    <d v="2020-07-19T00:00:00"/>
    <n v="60"/>
    <n v="0"/>
    <n v="1860000"/>
    <x v="0"/>
    <n v="74026.444730281801"/>
    <d v="2025-07-19T00:00:00"/>
    <n v="0.62"/>
    <s v="Undersecured"/>
    <x v="6"/>
    <n v="514"/>
    <s v="High Risk"/>
    <s v="High Risk Exposure"/>
    <s v="High"/>
  </r>
  <r>
    <s v="LN0861"/>
    <s v="C0332"/>
    <s v="B02"/>
    <x v="1"/>
    <n v="100000"/>
    <n v="0.26369999999999999"/>
    <d v="2025-06-20T00:00:00"/>
    <n v="12"/>
    <n v="0"/>
    <n v="0"/>
    <x v="0"/>
    <n v="9571.0271623183198"/>
    <d v="2026-06-20T00:00:00"/>
    <n v="0"/>
    <s v="Undersecured"/>
    <x v="11"/>
    <n v="701"/>
    <s v="Low Risk"/>
    <s v="High Risk Exposure"/>
    <s v="High"/>
  </r>
  <r>
    <s v="LN0862"/>
    <s v="C0377"/>
    <s v="B11"/>
    <x v="0"/>
    <n v="25000000"/>
    <n v="0.2014"/>
    <d v="2020-08-21T00:00:00"/>
    <n v="36"/>
    <n v="0"/>
    <n v="34750000"/>
    <x v="0"/>
    <n v="930873.8879354503"/>
    <d v="2023-08-21T00:00:00"/>
    <n v="1.39"/>
    <s v="Secured"/>
    <x v="10"/>
    <n v="436"/>
    <s v="High Risk"/>
    <s v="High Risk Exposure"/>
    <s v="High"/>
  </r>
  <r>
    <s v="LN0863"/>
    <s v="C0410"/>
    <s v="B02"/>
    <x v="0"/>
    <n v="25000000"/>
    <n v="0.1888"/>
    <d v="2024-02-24T00:00:00"/>
    <n v="36"/>
    <n v="0"/>
    <n v="19250000"/>
    <x v="0"/>
    <n v="914884.41902319225"/>
    <d v="2027-02-24T00:00:00"/>
    <n v="0.77"/>
    <s v="Undersecured"/>
    <x v="11"/>
    <n v="363"/>
    <s v="High Risk"/>
    <s v="High Risk Exposure"/>
    <s v="High"/>
  </r>
  <r>
    <s v="LN0864"/>
    <s v="C0238"/>
    <s v="B12"/>
    <x v="1"/>
    <n v="100000"/>
    <n v="0.20300000000000001"/>
    <d v="2025-10-26T00:00:00"/>
    <n v="36"/>
    <n v="0"/>
    <n v="0"/>
    <x v="0"/>
    <n v="3731.6617728848855"/>
    <d v="2028-10-26T00:00:00"/>
    <n v="0"/>
    <s v="Undersecured"/>
    <x v="12"/>
    <n v="389"/>
    <s v="High Risk"/>
    <s v="High Risk Exposure"/>
    <s v="High"/>
  </r>
  <r>
    <s v="LN0865"/>
    <s v="C0681"/>
    <s v="B12"/>
    <x v="0"/>
    <n v="6000000"/>
    <n v="0.1852"/>
    <d v="2025-12-18T00:00:00"/>
    <n v="36"/>
    <n v="90"/>
    <n v="5520000"/>
    <x v="2"/>
    <n v="218482.72561259274"/>
    <d v="2028-12-18T00:00:00"/>
    <n v="0.92"/>
    <s v="Undersecured"/>
    <x v="12"/>
    <n v="499"/>
    <s v="High Risk"/>
    <s v="High Risk Exposure"/>
    <s v="High"/>
  </r>
  <r>
    <s v="LN0866"/>
    <s v="C0401"/>
    <s v="B15"/>
    <x v="1"/>
    <n v="100000"/>
    <n v="0.18609999999999999"/>
    <d v="2022-01-17T00:00:00"/>
    <n v="60"/>
    <n v="0"/>
    <n v="0"/>
    <x v="0"/>
    <n v="2572.6430818069489"/>
    <d v="2027-01-17T00:00:00"/>
    <n v="0"/>
    <s v="Undersecured"/>
    <x v="9"/>
    <n v="668"/>
    <s v="Medium Risk"/>
    <s v="High Risk Exposure"/>
    <s v="High"/>
  </r>
  <r>
    <s v="LN0867"/>
    <s v="C0354"/>
    <s v="B05"/>
    <x v="0"/>
    <n v="1000000"/>
    <n v="0.18759999999999999"/>
    <d v="2020-05-27T00:00:00"/>
    <n v="24"/>
    <n v="45"/>
    <n v="650000"/>
    <x v="2"/>
    <n v="50292.089753064356"/>
    <d v="2022-05-27T00:00:00"/>
    <n v="0.65"/>
    <s v="Undersecured"/>
    <x v="4"/>
    <n v="692"/>
    <s v="Low Risk"/>
    <s v="High Risk Exposure"/>
    <s v="High"/>
  </r>
  <r>
    <s v="LN0868"/>
    <s v="C0207"/>
    <s v="B15"/>
    <x v="0"/>
    <n v="6000000"/>
    <n v="0.15620000000000001"/>
    <d v="2020-05-13T00:00:00"/>
    <n v="72"/>
    <n v="0"/>
    <n v="5760000"/>
    <x v="0"/>
    <n v="128898.97258149061"/>
    <d v="2026-05-13T00:00:00"/>
    <n v="0.96"/>
    <s v="Undersecured"/>
    <x v="9"/>
    <n v="347"/>
    <s v="High Risk"/>
    <s v="High Risk Exposure"/>
    <s v="High"/>
  </r>
  <r>
    <s v="LN0869"/>
    <s v="C0451"/>
    <s v="B08"/>
    <x v="2"/>
    <n v="80000000"/>
    <n v="0.1115"/>
    <d v="2024-04-15T00:00:00"/>
    <n v="72"/>
    <n v="10"/>
    <n v="54400000"/>
    <x v="0"/>
    <n v="1528879.6721170044"/>
    <d v="2030-04-15T00:00:00"/>
    <n v="0.68"/>
    <s v="Undersecured"/>
    <x v="5"/>
    <n v="825"/>
    <s v="Prime"/>
    <s v="High Risk Exposure"/>
    <s v="High"/>
  </r>
  <r>
    <s v="LN0870"/>
    <s v="C0209"/>
    <s v="B02"/>
    <x v="0"/>
    <n v="1000000"/>
    <n v="0.15210000000000001"/>
    <d v="2025-04-23T00:00:00"/>
    <n v="24"/>
    <n v="0"/>
    <n v="800000"/>
    <x v="0"/>
    <n v="48586.481610065304"/>
    <d v="2027-04-23T00:00:00"/>
    <n v="0.8"/>
    <s v="Undersecured"/>
    <x v="11"/>
    <n v="385"/>
    <s v="High Risk"/>
    <s v="High Risk Exposure"/>
    <s v="High"/>
  </r>
  <r>
    <s v="LN0871"/>
    <s v="C0293"/>
    <s v="B14"/>
    <x v="0"/>
    <n v="6000000"/>
    <n v="0.156"/>
    <d v="2023-02-13T00:00:00"/>
    <n v="12"/>
    <n v="45"/>
    <n v="5820000"/>
    <x v="2"/>
    <n v="543250.06615371036"/>
    <d v="2024-02-13T00:00:00"/>
    <n v="0.97"/>
    <s v="Undersecured"/>
    <x v="13"/>
    <n v="679"/>
    <s v="Low Risk"/>
    <s v="High Risk Exposure"/>
    <s v="High"/>
  </r>
  <r>
    <s v="LN0872"/>
    <s v="C0204"/>
    <s v="B13"/>
    <x v="3"/>
    <n v="500000"/>
    <n v="0.1895"/>
    <d v="2020-12-22T00:00:00"/>
    <n v="60"/>
    <n v="45"/>
    <n v="710000"/>
    <x v="2"/>
    <n v="12956.523480956223"/>
    <d v="2025-12-22T00:00:00"/>
    <n v="1.42"/>
    <s v="Secured"/>
    <x v="2"/>
    <n v="304"/>
    <s v="High Risk"/>
    <s v="High Risk Exposure"/>
    <s v="High"/>
  </r>
  <r>
    <s v="LN0873"/>
    <s v="C0290"/>
    <s v="B14"/>
    <x v="2"/>
    <n v="80000000"/>
    <n v="0.1"/>
    <d v="2022-01-25T00:00:00"/>
    <n v="72"/>
    <n v="90"/>
    <n v="59200000"/>
    <x v="2"/>
    <n v="1482067.0220616383"/>
    <d v="2028-01-25T00:00:00"/>
    <n v="0.74"/>
    <s v="Undersecured"/>
    <x v="13"/>
    <n v="478"/>
    <s v="High Risk"/>
    <s v="High Risk Exposure"/>
    <s v="High"/>
  </r>
  <r>
    <s v="LN0874"/>
    <s v="C0319"/>
    <s v="B15"/>
    <x v="1"/>
    <n v="1000000"/>
    <n v="0.26650000000000001"/>
    <d v="2024-12-22T00:00:00"/>
    <n v="60"/>
    <n v="45"/>
    <n v="0"/>
    <x v="2"/>
    <n v="30326.482139074185"/>
    <d v="2029-12-22T00:00:00"/>
    <n v="0"/>
    <s v="Undersecured"/>
    <x v="9"/>
    <n v="502"/>
    <s v="High Risk"/>
    <s v="High Risk Exposure"/>
    <s v="High"/>
  </r>
  <r>
    <s v="LN0875"/>
    <s v="C0272"/>
    <s v="B15"/>
    <x v="2"/>
    <n v="6000000"/>
    <n v="0.11260000000000001"/>
    <d v="2020-07-28T00:00:00"/>
    <n v="24"/>
    <n v="90"/>
    <n v="3120000"/>
    <x v="2"/>
    <n v="280371.84841819375"/>
    <d v="2022-07-28T00:00:00"/>
    <n v="0.52"/>
    <s v="Undersecured"/>
    <x v="9"/>
    <n v="621"/>
    <s v="Medium Risk"/>
    <s v="High Risk Exposure"/>
    <s v="High"/>
  </r>
  <r>
    <s v="LN0876"/>
    <s v="C0509"/>
    <s v="B02"/>
    <x v="1"/>
    <n v="100000"/>
    <n v="0.188"/>
    <d v="2021-12-13T00:00:00"/>
    <n v="24"/>
    <n v="45"/>
    <n v="0"/>
    <x v="2"/>
    <n v="5031.1500309850353"/>
    <d v="2023-12-13T00:00:00"/>
    <n v="0"/>
    <s v="Undersecured"/>
    <x v="11"/>
    <n v="662"/>
    <s v="Medium Risk"/>
    <s v="High Risk Exposure"/>
    <s v="High"/>
  </r>
  <r>
    <s v="LN0877"/>
    <s v="C0665"/>
    <s v="B07"/>
    <x v="1"/>
    <n v="250000"/>
    <n v="0.25209999999999999"/>
    <d v="2025-05-08T00:00:00"/>
    <n v="48"/>
    <n v="20"/>
    <n v="0"/>
    <x v="0"/>
    <n v="8318.5904724353768"/>
    <d v="2029-05-08T00:00:00"/>
    <n v="0"/>
    <s v="Undersecured"/>
    <x v="0"/>
    <n v="635"/>
    <s v="Medium Risk"/>
    <s v="High Risk Exposure"/>
    <s v="High"/>
  </r>
  <r>
    <s v="LN0878"/>
    <s v="C0120"/>
    <s v="B05"/>
    <x v="2"/>
    <n v="25000000"/>
    <n v="0.1153"/>
    <d v="2023-07-03T00:00:00"/>
    <n v="36"/>
    <n v="0"/>
    <n v="30500000"/>
    <x v="0"/>
    <n v="824756.90138903563"/>
    <d v="2026-07-03T00:00:00"/>
    <n v="1.22"/>
    <s v="Secured"/>
    <x v="4"/>
    <n v="357"/>
    <s v="High Risk"/>
    <s v="High Risk Exposure"/>
    <s v="High"/>
  </r>
  <r>
    <s v="LN0879"/>
    <s v="C0560"/>
    <s v="B09"/>
    <x v="1"/>
    <n v="250000"/>
    <n v="0.2354"/>
    <d v="2023-03-16T00:00:00"/>
    <n v="60"/>
    <n v="0"/>
    <n v="0"/>
    <x v="0"/>
    <n v="7125.3964106269277"/>
    <d v="2028-03-16T00:00:00"/>
    <n v="0"/>
    <s v="Undersecured"/>
    <x v="8"/>
    <n v="464"/>
    <s v="High Risk"/>
    <s v="High Risk Exposure"/>
    <s v="High"/>
  </r>
  <r>
    <s v="LN0880"/>
    <s v="C0204"/>
    <s v="B01"/>
    <x v="2"/>
    <n v="25000000"/>
    <n v="0.1356"/>
    <d v="2021-12-15T00:00:00"/>
    <n v="48"/>
    <n v="45"/>
    <n v="31500000"/>
    <x v="2"/>
    <n v="677656.7852934656"/>
    <d v="2025-12-15T00:00:00"/>
    <n v="1.26"/>
    <s v="Secured"/>
    <x v="1"/>
    <n v="304"/>
    <s v="High Risk"/>
    <s v="High Risk Exposure"/>
    <s v="High"/>
  </r>
  <r>
    <s v="LN0881"/>
    <s v="C0412"/>
    <s v="B15"/>
    <x v="1"/>
    <n v="500000"/>
    <n v="0.26889999999999997"/>
    <d v="2021-02-08T00:00:00"/>
    <n v="48"/>
    <n v="0"/>
    <n v="0"/>
    <x v="0"/>
    <n v="17109.969943699532"/>
    <d v="2025-02-08T00:00:00"/>
    <n v="0"/>
    <s v="Undersecured"/>
    <x v="9"/>
    <n v="513"/>
    <s v="High Risk"/>
    <s v="High Risk Exposure"/>
    <s v="High"/>
  </r>
  <r>
    <s v="LN0882"/>
    <s v="C0610"/>
    <s v="B14"/>
    <x v="1"/>
    <n v="250000"/>
    <n v="0.25190000000000001"/>
    <d v="2023-01-07T00:00:00"/>
    <n v="24"/>
    <n v="120"/>
    <n v="0"/>
    <x v="1"/>
    <n v="13366.724381783908"/>
    <d v="2025-01-07T00:00:00"/>
    <n v="0"/>
    <s v="Undersecured"/>
    <x v="13"/>
    <n v="318"/>
    <s v="High Risk"/>
    <s v="High Risk Exposure"/>
    <s v="Critical"/>
  </r>
  <r>
    <s v="LN0883"/>
    <s v="C0106"/>
    <s v="B07"/>
    <x v="3"/>
    <n v="500000"/>
    <n v="0.19270000000000001"/>
    <d v="2025-06-28T00:00:00"/>
    <n v="48"/>
    <n v="20"/>
    <n v="380000"/>
    <x v="0"/>
    <n v="15021.390265793565"/>
    <d v="2029-06-28T00:00:00"/>
    <n v="0.76"/>
    <s v="Undersecured"/>
    <x v="0"/>
    <n v="348"/>
    <s v="High Risk"/>
    <s v="High Risk Exposure"/>
    <s v="High"/>
  </r>
  <r>
    <s v="LN0884"/>
    <s v="C0238"/>
    <s v="B14"/>
    <x v="1"/>
    <n v="100000"/>
    <n v="0.24349999999999999"/>
    <d v="2025-07-21T00:00:00"/>
    <n v="48"/>
    <n v="0"/>
    <n v="0"/>
    <x v="0"/>
    <n v="3279.5629508642846"/>
    <d v="2029-07-21T00:00:00"/>
    <n v="0"/>
    <s v="Undersecured"/>
    <x v="13"/>
    <n v="389"/>
    <s v="High Risk"/>
    <s v="High Risk Exposure"/>
    <s v="High"/>
  </r>
  <r>
    <s v="LN0885"/>
    <s v="C0540"/>
    <s v="B15"/>
    <x v="3"/>
    <n v="6000000"/>
    <n v="0.15540000000000001"/>
    <d v="2025-05-10T00:00:00"/>
    <n v="12"/>
    <n v="5"/>
    <n v="5280000"/>
    <x v="0"/>
    <n v="543079.91572583839"/>
    <d v="2026-05-10T00:00:00"/>
    <n v="0.88"/>
    <s v="Undersecured"/>
    <x v="9"/>
    <n v="823"/>
    <s v="Prime"/>
    <s v="High Risk Exposure"/>
    <s v="High"/>
  </r>
  <r>
    <s v="LN0886"/>
    <s v="C0700"/>
    <s v="B04"/>
    <x v="1"/>
    <n v="100000"/>
    <n v="0.23419999999999999"/>
    <d v="2025-03-02T00:00:00"/>
    <n v="12"/>
    <n v="5"/>
    <n v="0"/>
    <x v="0"/>
    <n v="9427.913465326541"/>
    <d v="2026-03-02T00:00:00"/>
    <n v="0"/>
    <s v="Undersecured"/>
    <x v="14"/>
    <n v="571"/>
    <s v="High Risk"/>
    <s v="High Risk Exposure"/>
    <s v="High"/>
  </r>
  <r>
    <s v="LN0887"/>
    <s v="C0193"/>
    <s v="B04"/>
    <x v="0"/>
    <n v="25000000"/>
    <n v="0.15"/>
    <d v="2023-09-23T00:00:00"/>
    <n v="60"/>
    <n v="0"/>
    <n v="27000000"/>
    <x v="0"/>
    <n v="594748.25215896824"/>
    <d v="2028-09-23T00:00:00"/>
    <n v="1.08"/>
    <s v="Secured"/>
    <x v="14"/>
    <n v="637"/>
    <s v="Medium Risk"/>
    <s v="Normal"/>
    <s v="Normal"/>
  </r>
  <r>
    <s v="LN0888"/>
    <s v="C0136"/>
    <s v="B08"/>
    <x v="3"/>
    <n v="500000"/>
    <n v="0.12759999999999999"/>
    <d v="2021-09-16T00:00:00"/>
    <n v="60"/>
    <n v="5"/>
    <n v="630000"/>
    <x v="0"/>
    <n v="11315.201754263415"/>
    <d v="2026-09-16T00:00:00"/>
    <n v="1.26"/>
    <s v="Secured"/>
    <x v="5"/>
    <n v="746"/>
    <s v="Very Low Risk"/>
    <s v="Normal"/>
    <s v="Normal"/>
  </r>
  <r>
    <s v="LN0889"/>
    <s v="C0262"/>
    <s v="B11"/>
    <x v="3"/>
    <n v="6000000"/>
    <n v="0.17730000000000001"/>
    <d v="2025-02-23T00:00:00"/>
    <n v="36"/>
    <n v="0"/>
    <n v="8580000"/>
    <x v="0"/>
    <n v="216102.56724504553"/>
    <d v="2028-02-23T00:00:00"/>
    <n v="1.43"/>
    <s v="Secured"/>
    <x v="10"/>
    <n v="744"/>
    <s v="Very Low Risk"/>
    <s v="Normal"/>
    <s v="Normal"/>
  </r>
  <r>
    <s v="LN0890"/>
    <s v="C0091"/>
    <s v="B11"/>
    <x v="3"/>
    <n v="500000"/>
    <n v="0.14349999999999999"/>
    <d v="2022-03-06T00:00:00"/>
    <n v="60"/>
    <n v="10"/>
    <n v="265000"/>
    <x v="0"/>
    <n v="11725.050867782826"/>
    <d v="2027-03-06T00:00:00"/>
    <n v="0.53"/>
    <s v="Undersecured"/>
    <x v="10"/>
    <n v="537"/>
    <s v="High Risk"/>
    <s v="High Risk Exposure"/>
    <s v="High"/>
  </r>
  <r>
    <s v="LN0891"/>
    <s v="C0698"/>
    <s v="B08"/>
    <x v="3"/>
    <n v="3000000"/>
    <n v="0.17150000000000001"/>
    <d v="2021-08-10T00:00:00"/>
    <n v="48"/>
    <n v="20"/>
    <n v="2010000"/>
    <x v="0"/>
    <n v="86798.116495470269"/>
    <d v="2025-08-10T00:00:00"/>
    <n v="0.67"/>
    <s v="Undersecured"/>
    <x v="5"/>
    <n v="500"/>
    <s v="High Risk"/>
    <s v="High Risk Exposure"/>
    <s v="High"/>
  </r>
  <r>
    <s v="LN0892"/>
    <s v="C0217"/>
    <s v="B02"/>
    <x v="1"/>
    <n v="1000000"/>
    <n v="0.2271"/>
    <d v="2023-02-22T00:00:00"/>
    <n v="72"/>
    <n v="90"/>
    <n v="0"/>
    <x v="2"/>
    <n v="25549.285833057151"/>
    <d v="2029-02-22T00:00:00"/>
    <n v="0"/>
    <s v="Undersecured"/>
    <x v="11"/>
    <n v="841"/>
    <s v="Prime"/>
    <s v="High Risk Exposure"/>
    <s v="High"/>
  </r>
  <r>
    <s v="LN0893"/>
    <s v="C0099"/>
    <s v="B09"/>
    <x v="2"/>
    <n v="25000000"/>
    <n v="0.13450000000000001"/>
    <d v="2022-11-08T00:00:00"/>
    <n v="24"/>
    <n v="0"/>
    <n v="31250000"/>
    <x v="0"/>
    <n v="1193836.6215084265"/>
    <d v="2024-11-08T00:00:00"/>
    <n v="1.25"/>
    <s v="Secured"/>
    <x v="8"/>
    <n v="332"/>
    <s v="High Risk"/>
    <s v="High Risk Exposure"/>
    <s v="High"/>
  </r>
  <r>
    <s v="LN0894"/>
    <s v="C0359"/>
    <s v="B13"/>
    <x v="0"/>
    <n v="1000000"/>
    <n v="0.2094"/>
    <d v="2020-12-21T00:00:00"/>
    <n v="36"/>
    <n v="0"/>
    <n v="580000"/>
    <x v="0"/>
    <n v="37644.268075221815"/>
    <d v="2023-12-21T00:00:00"/>
    <n v="0.57999999999999996"/>
    <s v="Undersecured"/>
    <x v="2"/>
    <n v="651"/>
    <s v="Medium Risk"/>
    <s v="High Risk Exposure"/>
    <s v="High"/>
  </r>
  <r>
    <s v="LN0895"/>
    <s v="C0103"/>
    <s v="B14"/>
    <x v="3"/>
    <n v="500000"/>
    <n v="0.1804"/>
    <d v="2025-03-19T00:00:00"/>
    <n v="12"/>
    <n v="0"/>
    <n v="695000"/>
    <x v="0"/>
    <n v="45849.515259462431"/>
    <d v="2026-03-19T00:00:00"/>
    <n v="1.39"/>
    <s v="Secured"/>
    <x v="13"/>
    <n v="641"/>
    <s v="Medium Risk"/>
    <s v="Normal"/>
    <s v="Normal"/>
  </r>
  <r>
    <s v="LN0896"/>
    <s v="C0220"/>
    <s v="B11"/>
    <x v="3"/>
    <n v="6000000"/>
    <n v="0.1227"/>
    <d v="2023-01-07T00:00:00"/>
    <n v="60"/>
    <n v="0"/>
    <n v="4020000"/>
    <x v="0"/>
    <n v="134286.76796161491"/>
    <d v="2028-01-07T00:00:00"/>
    <n v="0.67"/>
    <s v="Undersecured"/>
    <x v="10"/>
    <n v="457"/>
    <s v="High Risk"/>
    <s v="High Risk Exposure"/>
    <s v="High"/>
  </r>
  <r>
    <s v="LN0897"/>
    <s v="C0085"/>
    <s v="B12"/>
    <x v="3"/>
    <n v="500000"/>
    <n v="0.19550000000000001"/>
    <d v="2022-08-08T00:00:00"/>
    <n v="60"/>
    <n v="90"/>
    <n v="490000"/>
    <x v="2"/>
    <n v="13122.059920159454"/>
    <d v="2027-08-08T00:00:00"/>
    <n v="0.98"/>
    <s v="Undersecured"/>
    <x v="12"/>
    <n v="329"/>
    <s v="High Risk"/>
    <s v="High Risk Exposure"/>
    <s v="High"/>
  </r>
  <r>
    <s v="LN0898"/>
    <s v="C0409"/>
    <s v="B09"/>
    <x v="1"/>
    <n v="500000"/>
    <n v="0.25629999999999997"/>
    <d v="2024-10-26T00:00:00"/>
    <n v="36"/>
    <n v="5"/>
    <n v="0"/>
    <x v="0"/>
    <n v="20046.891248136646"/>
    <d v="2027-10-26T00:00:00"/>
    <n v="0"/>
    <s v="Undersecured"/>
    <x v="8"/>
    <n v="324"/>
    <s v="High Risk"/>
    <s v="High Risk Exposure"/>
    <s v="High"/>
  </r>
  <r>
    <s v="LN0899"/>
    <s v="C0620"/>
    <s v="B08"/>
    <x v="1"/>
    <n v="250000"/>
    <n v="0.2354"/>
    <d v="2020-11-27T00:00:00"/>
    <n v="48"/>
    <n v="5"/>
    <n v="0"/>
    <x v="0"/>
    <n v="8087.013356080226"/>
    <d v="2024-11-27T00:00:00"/>
    <n v="0"/>
    <s v="Undersecured"/>
    <x v="5"/>
    <n v="653"/>
    <s v="Medium Risk"/>
    <s v="High Risk Exposure"/>
    <s v="High"/>
  </r>
  <r>
    <s v="LN0900"/>
    <s v="C0498"/>
    <s v="B02"/>
    <x v="2"/>
    <n v="6000000"/>
    <n v="9.2700000000000005E-2"/>
    <d v="2025-09-03T00:00:00"/>
    <n v="12"/>
    <n v="0"/>
    <n v="7980000"/>
    <x v="0"/>
    <n v="525460.40023988078"/>
    <d v="2026-09-03T00:00:00"/>
    <n v="1.33"/>
    <s v="Secured"/>
    <x v="11"/>
    <n v="309"/>
    <s v="High Risk"/>
    <s v="High Risk Exposure"/>
    <s v="High"/>
  </r>
  <r>
    <s v="LN0901"/>
    <s v="C0322"/>
    <s v="B13"/>
    <x v="1"/>
    <n v="250000"/>
    <n v="0.2384"/>
    <d v="2023-04-06T00:00:00"/>
    <n v="12"/>
    <n v="0"/>
    <n v="0"/>
    <x v="0"/>
    <n v="23620.54576289167"/>
    <d v="2024-04-06T00:00:00"/>
    <n v="0"/>
    <s v="Undersecured"/>
    <x v="2"/>
    <n v="425"/>
    <s v="High Risk"/>
    <s v="High Risk Exposure"/>
    <s v="High"/>
  </r>
  <r>
    <s v="LN0902"/>
    <s v="C0196"/>
    <s v="B09"/>
    <x v="2"/>
    <n v="25000000"/>
    <n v="9.2899999999999996E-2"/>
    <d v="2023-07-02T00:00:00"/>
    <n v="36"/>
    <n v="45"/>
    <n v="31250000"/>
    <x v="2"/>
    <n v="798371.85499128746"/>
    <d v="2026-07-02T00:00:00"/>
    <n v="1.25"/>
    <s v="Secured"/>
    <x v="8"/>
    <n v="674"/>
    <s v="Low Risk"/>
    <s v="High Risk Exposure"/>
    <s v="High"/>
  </r>
  <r>
    <s v="LN0903"/>
    <s v="C0338"/>
    <s v="B14"/>
    <x v="3"/>
    <n v="500000"/>
    <n v="0.16220000000000001"/>
    <d v="2020-07-26T00:00:00"/>
    <n v="24"/>
    <n v="90"/>
    <n v="365000"/>
    <x v="2"/>
    <n v="24534.146820066104"/>
    <d v="2022-07-26T00:00:00"/>
    <n v="0.73"/>
    <s v="Undersecured"/>
    <x v="13"/>
    <n v="334"/>
    <s v="High Risk"/>
    <s v="High Risk Exposure"/>
    <s v="High"/>
  </r>
  <r>
    <s v="LN0904"/>
    <s v="C0189"/>
    <s v="B12"/>
    <x v="0"/>
    <n v="1000000"/>
    <n v="0.1578"/>
    <d v="2025-08-04T00:00:00"/>
    <n v="60"/>
    <n v="10"/>
    <n v="770000"/>
    <x v="0"/>
    <n v="24201.318770201447"/>
    <d v="2030-08-04T00:00:00"/>
    <n v="0.77"/>
    <s v="Undersecured"/>
    <x v="12"/>
    <n v="451"/>
    <s v="High Risk"/>
    <s v="High Risk Exposure"/>
    <s v="High"/>
  </r>
  <r>
    <s v="LN0905"/>
    <s v="C0692"/>
    <s v="B13"/>
    <x v="3"/>
    <n v="1000000"/>
    <n v="0.13109999999999999"/>
    <d v="2022-07-16T00:00:00"/>
    <n v="72"/>
    <n v="120"/>
    <n v="700000"/>
    <x v="1"/>
    <n v="20132.208454229287"/>
    <d v="2028-07-16T00:00:00"/>
    <n v="0.7"/>
    <s v="Undersecured"/>
    <x v="2"/>
    <n v="350"/>
    <s v="High Risk"/>
    <s v="High Risk Exposure"/>
    <s v="Critical"/>
  </r>
  <r>
    <s v="LN0906"/>
    <s v="C0119"/>
    <s v="B09"/>
    <x v="2"/>
    <n v="80000000"/>
    <n v="0.1032"/>
    <d v="2020-06-01T00:00:00"/>
    <n v="36"/>
    <n v="90"/>
    <n v="100000000"/>
    <x v="2"/>
    <n v="2593410.716598433"/>
    <d v="2023-06-01T00:00:00"/>
    <n v="1.25"/>
    <s v="Secured"/>
    <x v="8"/>
    <n v="300"/>
    <s v="High Risk"/>
    <s v="High Risk Exposure"/>
    <s v="High"/>
  </r>
  <r>
    <s v="LN0907"/>
    <s v="C0208"/>
    <s v="B10"/>
    <x v="2"/>
    <n v="6000000"/>
    <n v="0.1106"/>
    <d v="2020-08-27T00:00:00"/>
    <n v="72"/>
    <n v="20"/>
    <n v="3960000"/>
    <x v="0"/>
    <n v="114388.94710922579"/>
    <d v="2026-08-27T00:00:00"/>
    <n v="0.66"/>
    <s v="Undersecured"/>
    <x v="3"/>
    <n v="463"/>
    <s v="High Risk"/>
    <s v="High Risk Exposure"/>
    <s v="High"/>
  </r>
  <r>
    <s v="LN0908"/>
    <s v="C0552"/>
    <s v="B14"/>
    <x v="0"/>
    <n v="25000000"/>
    <n v="0.2147"/>
    <d v="2021-09-03T00:00:00"/>
    <n v="72"/>
    <n v="90"/>
    <n v="30000000"/>
    <x v="2"/>
    <n v="620312.44173353841"/>
    <d v="2027-09-03T00:00:00"/>
    <n v="1.2"/>
    <s v="Secured"/>
    <x v="13"/>
    <n v="415"/>
    <s v="High Risk"/>
    <s v="High Risk Exposure"/>
    <s v="High"/>
  </r>
  <r>
    <s v="LN0909"/>
    <s v="C0548"/>
    <s v="B04"/>
    <x v="2"/>
    <n v="80000000"/>
    <n v="0.1066"/>
    <d v="2022-05-14T00:00:00"/>
    <n v="36"/>
    <n v="45"/>
    <n v="110400000"/>
    <x v="2"/>
    <n v="2606235.2363113062"/>
    <d v="2025-05-14T00:00:00"/>
    <n v="1.38"/>
    <s v="Secured"/>
    <x v="14"/>
    <n v="696"/>
    <s v="Low Risk"/>
    <s v="High Risk Exposure"/>
    <s v="High"/>
  </r>
  <r>
    <s v="LN0910"/>
    <s v="C0424"/>
    <s v="B01"/>
    <x v="0"/>
    <n v="3000000"/>
    <n v="0.18479999999999999"/>
    <d v="2022-12-04T00:00:00"/>
    <n v="24"/>
    <n v="10"/>
    <n v="4230000"/>
    <x v="0"/>
    <n v="150469.00675406621"/>
    <d v="2024-12-04T00:00:00"/>
    <n v="1.41"/>
    <s v="Secured"/>
    <x v="1"/>
    <n v="668"/>
    <s v="Medium Risk"/>
    <s v="Normal"/>
    <s v="Normal"/>
  </r>
  <r>
    <s v="LN0911"/>
    <s v="C0379"/>
    <s v="B05"/>
    <x v="3"/>
    <n v="3000000"/>
    <n v="0.18290000000000001"/>
    <d v="2025-08-07T00:00:00"/>
    <n v="24"/>
    <n v="45"/>
    <n v="2070000"/>
    <x v="2"/>
    <n v="150193.00820199717"/>
    <d v="2027-08-07T00:00:00"/>
    <n v="0.69"/>
    <s v="Undersecured"/>
    <x v="4"/>
    <n v="603"/>
    <s v="Medium Risk"/>
    <s v="High Risk Exposure"/>
    <s v="High"/>
  </r>
  <r>
    <s v="LN0912"/>
    <s v="C0324"/>
    <s v="B07"/>
    <x v="0"/>
    <n v="6000000"/>
    <n v="0.1628"/>
    <d v="2023-11-05T00:00:00"/>
    <n v="48"/>
    <n v="120"/>
    <n v="5160000"/>
    <x v="1"/>
    <n v="170903.33008452851"/>
    <d v="2027-11-05T00:00:00"/>
    <n v="0.86"/>
    <s v="Undersecured"/>
    <x v="0"/>
    <n v="321"/>
    <s v="High Risk"/>
    <s v="High Risk Exposure"/>
    <s v="Critical"/>
  </r>
  <r>
    <s v="LN0913"/>
    <s v="C0265"/>
    <s v="B06"/>
    <x v="1"/>
    <n v="1000000"/>
    <n v="0.1867"/>
    <d v="2025-08-08T00:00:00"/>
    <n v="36"/>
    <n v="10"/>
    <n v="0"/>
    <x v="0"/>
    <n v="36489.387626947173"/>
    <d v="2028-08-08T00:00:00"/>
    <n v="0"/>
    <s v="Undersecured"/>
    <x v="6"/>
    <n v="834"/>
    <s v="Prime"/>
    <s v="High Risk Exposure"/>
    <s v="High"/>
  </r>
  <r>
    <s v="LN0914"/>
    <s v="C0238"/>
    <s v="B08"/>
    <x v="3"/>
    <n v="1000000"/>
    <n v="0.1326"/>
    <d v="2023-12-21T00:00:00"/>
    <n v="72"/>
    <n v="5"/>
    <n v="770000"/>
    <x v="0"/>
    <n v="20211.590540675872"/>
    <d v="2029-12-21T00:00:00"/>
    <n v="0.77"/>
    <s v="Undersecured"/>
    <x v="5"/>
    <n v="389"/>
    <s v="High Risk"/>
    <s v="High Risk Exposure"/>
    <s v="High"/>
  </r>
  <r>
    <s v="LN0915"/>
    <s v="C0576"/>
    <s v="B03"/>
    <x v="2"/>
    <n v="80000000"/>
    <n v="0.1119"/>
    <d v="2021-03-06T00:00:00"/>
    <n v="72"/>
    <n v="0"/>
    <n v="59200000"/>
    <x v="0"/>
    <n v="1530522.9568439496"/>
    <d v="2027-03-06T00:00:00"/>
    <n v="0.74"/>
    <s v="Undersecured"/>
    <x v="7"/>
    <n v="758"/>
    <s v="Very Low Risk"/>
    <s v="High Risk Exposure"/>
    <s v="High"/>
  </r>
  <r>
    <s v="LN0916"/>
    <s v="C0017"/>
    <s v="B01"/>
    <x v="1"/>
    <n v="250000"/>
    <n v="0.21179999999999999"/>
    <d v="2021-05-08T00:00:00"/>
    <n v="72"/>
    <n v="45"/>
    <n v="0"/>
    <x v="2"/>
    <n v="6160.4273674442175"/>
    <d v="2027-05-08T00:00:00"/>
    <n v="0"/>
    <s v="Undersecured"/>
    <x v="1"/>
    <n v="622"/>
    <s v="Medium Risk"/>
    <s v="High Risk Exposure"/>
    <s v="High"/>
  </r>
  <r>
    <s v="LN0917"/>
    <s v="C0513"/>
    <s v="B08"/>
    <x v="2"/>
    <n v="25000000"/>
    <n v="0.12659999999999999"/>
    <d v="2023-03-21T00:00:00"/>
    <n v="24"/>
    <n v="5"/>
    <n v="27500000"/>
    <x v="0"/>
    <n v="1184556.9765266862"/>
    <d v="2025-03-21T00:00:00"/>
    <n v="1.1000000000000001"/>
    <s v="Secured"/>
    <x v="5"/>
    <n v="825"/>
    <s v="Prime"/>
    <s v="Normal"/>
    <s v="Normal"/>
  </r>
  <r>
    <s v="LN0918"/>
    <s v="C0151"/>
    <s v="B10"/>
    <x v="1"/>
    <n v="1000000"/>
    <n v="0.25240000000000001"/>
    <d v="2025-10-01T00:00:00"/>
    <n v="60"/>
    <n v="0"/>
    <n v="0"/>
    <x v="0"/>
    <n v="29492.193332806703"/>
    <d v="2030-10-01T00:00:00"/>
    <n v="0"/>
    <s v="Undersecured"/>
    <x v="3"/>
    <n v="813"/>
    <s v="Prime"/>
    <s v="High Risk Exposure"/>
    <s v="High"/>
  </r>
  <r>
    <s v="LN0919"/>
    <s v="C0419"/>
    <s v="B05"/>
    <x v="2"/>
    <n v="6000000"/>
    <n v="0.10879999999999999"/>
    <d v="2023-10-11T00:00:00"/>
    <n v="24"/>
    <n v="20"/>
    <n v="5160000"/>
    <x v="0"/>
    <n v="279312.86958074884"/>
    <d v="2025-10-11T00:00:00"/>
    <n v="0.86"/>
    <s v="Undersecured"/>
    <x v="4"/>
    <n v="775"/>
    <s v="Very Low Risk"/>
    <s v="High Risk Exposure"/>
    <s v="High"/>
  </r>
  <r>
    <s v="LN0920"/>
    <s v="C0406"/>
    <s v="B08"/>
    <x v="1"/>
    <n v="250000"/>
    <n v="0.27360000000000001"/>
    <d v="2020-08-25T00:00:00"/>
    <n v="72"/>
    <n v="0"/>
    <n v="0"/>
    <x v="0"/>
    <n v="7100.7974041570487"/>
    <d v="2026-08-25T00:00:00"/>
    <n v="0"/>
    <s v="Undersecured"/>
    <x v="5"/>
    <n v="314"/>
    <s v="High Risk"/>
    <s v="High Risk Exposure"/>
    <s v="High"/>
  </r>
  <r>
    <s v="LN0921"/>
    <s v="C0466"/>
    <s v="B06"/>
    <x v="0"/>
    <n v="3000000"/>
    <n v="0.15359999999999999"/>
    <d v="2022-04-20T00:00:00"/>
    <n v="72"/>
    <n v="0"/>
    <n v="3630000"/>
    <x v="0"/>
    <n v="64023.016866344544"/>
    <d v="2028-04-20T00:00:00"/>
    <n v="1.21"/>
    <s v="Secured"/>
    <x v="6"/>
    <n v="368"/>
    <s v="High Risk"/>
    <s v="High Risk Exposure"/>
    <s v="High"/>
  </r>
  <r>
    <s v="LN0922"/>
    <s v="C0323"/>
    <s v="B07"/>
    <x v="1"/>
    <n v="1000000"/>
    <n v="0.1855"/>
    <d v="2020-04-19T00:00:00"/>
    <n v="36"/>
    <n v="0"/>
    <n v="0"/>
    <x v="0"/>
    <n v="36428.900503597994"/>
    <d v="2023-04-19T00:00:00"/>
    <n v="0"/>
    <s v="Undersecured"/>
    <x v="0"/>
    <n v="580"/>
    <s v="Medium Risk"/>
    <s v="High Risk Exposure"/>
    <s v="High"/>
  </r>
  <r>
    <s v="LN0923"/>
    <s v="C0530"/>
    <s v="B04"/>
    <x v="0"/>
    <n v="25000000"/>
    <n v="0.16250000000000001"/>
    <d v="2025-04-22T00:00:00"/>
    <n v="24"/>
    <n v="0"/>
    <n v="24250000"/>
    <x v="0"/>
    <n v="1227066.1720234265"/>
    <d v="2027-04-22T00:00:00"/>
    <n v="0.97"/>
    <s v="Undersecured"/>
    <x v="14"/>
    <n v="802"/>
    <s v="Prime"/>
    <s v="High Risk Exposure"/>
    <s v="High"/>
  </r>
  <r>
    <s v="LN0924"/>
    <s v="C0025"/>
    <s v="B04"/>
    <x v="3"/>
    <n v="1000000"/>
    <n v="0.17269999999999999"/>
    <d v="2025-05-19T00:00:00"/>
    <n v="72"/>
    <n v="5"/>
    <n v="1440000"/>
    <x v="0"/>
    <n v="22397.05708060598"/>
    <d v="2031-05-19T00:00:00"/>
    <n v="1.44"/>
    <s v="Secured"/>
    <x v="14"/>
    <n v="698"/>
    <s v="Low Risk"/>
    <s v="Normal"/>
    <s v="Normal"/>
  </r>
  <r>
    <s v="LN0925"/>
    <s v="C0572"/>
    <s v="B04"/>
    <x v="2"/>
    <n v="25000000"/>
    <n v="0.128"/>
    <d v="2021-11-16T00:00:00"/>
    <n v="48"/>
    <n v="0"/>
    <n v="32750000"/>
    <x v="0"/>
    <n v="668208.43222106935"/>
    <d v="2025-11-16T00:00:00"/>
    <n v="1.31"/>
    <s v="Secured"/>
    <x v="14"/>
    <n v="816"/>
    <s v="Prime"/>
    <s v="Normal"/>
    <s v="Normal"/>
  </r>
  <r>
    <s v="LN0926"/>
    <s v="C0151"/>
    <s v="B13"/>
    <x v="3"/>
    <n v="500000"/>
    <n v="0.18790000000000001"/>
    <d v="2021-04-26T00:00:00"/>
    <n v="48"/>
    <n v="10"/>
    <n v="435000"/>
    <x v="0"/>
    <n v="14894.708464330057"/>
    <d v="2025-04-26T00:00:00"/>
    <n v="0.87"/>
    <s v="Undersecured"/>
    <x v="2"/>
    <n v="813"/>
    <s v="Prime"/>
    <s v="High Risk Exposure"/>
    <s v="High"/>
  </r>
  <r>
    <s v="LN0927"/>
    <s v="C0235"/>
    <s v="B09"/>
    <x v="2"/>
    <n v="25000000"/>
    <n v="0.1023"/>
    <d v="2020-07-22T00:00:00"/>
    <n v="24"/>
    <n v="20"/>
    <n v="33000000"/>
    <x v="0"/>
    <n v="1156278.8679918661"/>
    <d v="2022-07-22T00:00:00"/>
    <n v="1.32"/>
    <s v="Secured"/>
    <x v="8"/>
    <n v="325"/>
    <s v="High Risk"/>
    <s v="High Risk Exposure"/>
    <s v="High"/>
  </r>
  <r>
    <s v="LN0928"/>
    <s v="C0433"/>
    <s v="B08"/>
    <x v="1"/>
    <n v="1000000"/>
    <n v="0.2059"/>
    <d v="2023-02-27T00:00:00"/>
    <n v="24"/>
    <n v="0"/>
    <n v="0"/>
    <x v="0"/>
    <n v="51184.491551665669"/>
    <d v="2025-02-27T00:00:00"/>
    <n v="0"/>
    <s v="Undersecured"/>
    <x v="5"/>
    <n v="457"/>
    <s v="High Risk"/>
    <s v="High Risk Exposure"/>
    <s v="High"/>
  </r>
  <r>
    <s v="LN0929"/>
    <s v="C0263"/>
    <s v="B08"/>
    <x v="2"/>
    <n v="80000000"/>
    <n v="9.2600000000000002E-2"/>
    <d v="2022-02-27T00:00:00"/>
    <n v="12"/>
    <n v="0"/>
    <n v="104800000"/>
    <x v="0"/>
    <n v="7005767.3974950584"/>
    <d v="2023-02-27T00:00:00"/>
    <n v="1.31"/>
    <s v="Secured"/>
    <x v="5"/>
    <n v="795"/>
    <s v="Very Low Risk"/>
    <s v="Normal"/>
    <s v="Normal"/>
  </r>
  <r>
    <s v="LN0930"/>
    <s v="C0138"/>
    <s v="B14"/>
    <x v="0"/>
    <n v="3000000"/>
    <n v="0.14230000000000001"/>
    <d v="2023-09-20T00:00:00"/>
    <n v="12"/>
    <n v="0"/>
    <n v="4440000"/>
    <x v="0"/>
    <n v="269686.11804280314"/>
    <d v="2024-09-20T00:00:00"/>
    <n v="1.48"/>
    <s v="Secured"/>
    <x v="13"/>
    <n v="355"/>
    <s v="High Risk"/>
    <s v="High Risk Exposure"/>
    <s v="High"/>
  </r>
  <r>
    <s v="LN0931"/>
    <s v="C0262"/>
    <s v="B03"/>
    <x v="1"/>
    <n v="1000000"/>
    <n v="0.25879999999999997"/>
    <d v="2025-02-02T00:00:00"/>
    <n v="60"/>
    <n v="120"/>
    <n v="0"/>
    <x v="1"/>
    <n v="29869.468630351123"/>
    <d v="2030-02-02T00:00:00"/>
    <n v="0"/>
    <s v="Undersecured"/>
    <x v="7"/>
    <n v="744"/>
    <s v="Very Low Risk"/>
    <s v="High Risk Exposure"/>
    <s v="Critical"/>
  </r>
  <r>
    <s v="LN0932"/>
    <s v="C0221"/>
    <s v="B02"/>
    <x v="1"/>
    <n v="1000000"/>
    <n v="0.22170000000000001"/>
    <d v="2022-08-23T00:00:00"/>
    <n v="24"/>
    <n v="0"/>
    <n v="0"/>
    <x v="0"/>
    <n v="51962.143801809623"/>
    <d v="2024-08-23T00:00:00"/>
    <n v="0"/>
    <s v="Undersecured"/>
    <x v="11"/>
    <n v="522"/>
    <s v="High Risk"/>
    <s v="High Risk Exposure"/>
    <s v="High"/>
  </r>
  <r>
    <s v="LN0933"/>
    <s v="C0139"/>
    <s v="B01"/>
    <x v="1"/>
    <n v="100000"/>
    <n v="0.2797"/>
    <d v="2025-12-28T00:00:00"/>
    <n v="12"/>
    <n v="0"/>
    <n v="0"/>
    <x v="0"/>
    <n v="9649.1311748718599"/>
    <d v="2026-12-28T00:00:00"/>
    <n v="0"/>
    <s v="Undersecured"/>
    <x v="1"/>
    <n v="625"/>
    <s v="Medium Risk"/>
    <s v="High Risk Exposure"/>
    <s v="High"/>
  </r>
  <r>
    <s v="LN0934"/>
    <s v="C0114"/>
    <s v="B15"/>
    <x v="2"/>
    <n v="6000000"/>
    <n v="0.13339999999999999"/>
    <d v="2020-11-14T00:00:00"/>
    <n v="72"/>
    <n v="0"/>
    <n v="5460000"/>
    <x v="0"/>
    <n v="121523.99112125931"/>
    <d v="2026-11-14T00:00:00"/>
    <n v="0.91"/>
    <s v="Undersecured"/>
    <x v="9"/>
    <n v="496"/>
    <s v="High Risk"/>
    <s v="High Risk Exposure"/>
    <s v="High"/>
  </r>
  <r>
    <s v="LN0935"/>
    <s v="C0035"/>
    <s v="B11"/>
    <x v="1"/>
    <n v="500000"/>
    <n v="0.1978"/>
    <d v="2022-08-26T00:00:00"/>
    <n v="36"/>
    <n v="0"/>
    <n v="0"/>
    <x v="0"/>
    <n v="18525.791195323534"/>
    <d v="2025-08-26T00:00:00"/>
    <n v="0"/>
    <s v="Undersecured"/>
    <x v="10"/>
    <n v="696"/>
    <s v="Low Risk"/>
    <s v="High Risk Exposure"/>
    <s v="High"/>
  </r>
  <r>
    <s v="LN0936"/>
    <s v="C0633"/>
    <s v="B11"/>
    <x v="1"/>
    <n v="250000"/>
    <n v="0.24249999999999999"/>
    <d v="2020-11-18T00:00:00"/>
    <n v="12"/>
    <n v="120"/>
    <n v="0"/>
    <x v="1"/>
    <n v="23670.155889183523"/>
    <d v="2021-11-18T00:00:00"/>
    <n v="0"/>
    <s v="Undersecured"/>
    <x v="10"/>
    <n v="406"/>
    <s v="High Risk"/>
    <s v="High Risk Exposure"/>
    <s v="Critical"/>
  </r>
  <r>
    <s v="LN0937"/>
    <s v="C0598"/>
    <s v="B03"/>
    <x v="0"/>
    <n v="3000000"/>
    <n v="0.23910000000000001"/>
    <d v="2024-04-02T00:00:00"/>
    <n v="72"/>
    <n v="90"/>
    <n v="2130000"/>
    <x v="2"/>
    <n v="78816.668344948732"/>
    <d v="2030-04-02T00:00:00"/>
    <n v="0.71"/>
    <s v="Undersecured"/>
    <x v="7"/>
    <n v="627"/>
    <s v="Medium Risk"/>
    <s v="High Risk Exposure"/>
    <s v="High"/>
  </r>
  <r>
    <s v="LN0938"/>
    <s v="C0452"/>
    <s v="B11"/>
    <x v="2"/>
    <n v="6000000"/>
    <n v="0.1069"/>
    <d v="2025-10-04T00:00:00"/>
    <n v="12"/>
    <n v="0"/>
    <n v="7140000"/>
    <x v="0"/>
    <n v="529422.74398987647"/>
    <d v="2026-10-04T00:00:00"/>
    <n v="1.19"/>
    <s v="Secured"/>
    <x v="10"/>
    <n v="578"/>
    <s v="High Risk"/>
    <s v="High Risk Exposure"/>
    <s v="High"/>
  </r>
  <r>
    <s v="LN0939"/>
    <s v="C0326"/>
    <s v="B02"/>
    <x v="1"/>
    <n v="250000"/>
    <n v="0.22750000000000001"/>
    <d v="2025-04-01T00:00:00"/>
    <n v="36"/>
    <n v="0"/>
    <n v="0"/>
    <x v="0"/>
    <n v="9644.8853878431546"/>
    <d v="2028-04-01T00:00:00"/>
    <n v="0"/>
    <s v="Undersecured"/>
    <x v="11"/>
    <n v="537"/>
    <s v="High Risk"/>
    <s v="High Risk Exposure"/>
    <s v="High"/>
  </r>
  <r>
    <s v="LN0940"/>
    <s v="C0521"/>
    <s v="B05"/>
    <x v="3"/>
    <n v="500000"/>
    <n v="0.12590000000000001"/>
    <d v="2022-04-12T00:00:00"/>
    <n v="12"/>
    <n v="0"/>
    <n v="435000"/>
    <x v="0"/>
    <n v="44562.516021099771"/>
    <d v="2023-04-12T00:00:00"/>
    <n v="0.87"/>
    <s v="Undersecured"/>
    <x v="4"/>
    <n v="309"/>
    <s v="High Risk"/>
    <s v="High Risk Exposure"/>
    <s v="High"/>
  </r>
  <r>
    <s v="LN0941"/>
    <s v="C0448"/>
    <s v="B15"/>
    <x v="1"/>
    <n v="100000"/>
    <n v="0.1739"/>
    <d v="2022-12-19T00:00:00"/>
    <n v="12"/>
    <n v="45"/>
    <n v="0"/>
    <x v="2"/>
    <n v="9138.9935938373656"/>
    <d v="2023-12-19T00:00:00"/>
    <n v="0"/>
    <s v="Undersecured"/>
    <x v="9"/>
    <n v="673"/>
    <s v="Low Risk"/>
    <s v="High Risk Exposure"/>
    <s v="High"/>
  </r>
  <r>
    <s v="LN0942"/>
    <s v="C0032"/>
    <s v="B06"/>
    <x v="3"/>
    <n v="1000000"/>
    <n v="0.1227"/>
    <d v="2023-06-09T00:00:00"/>
    <n v="36"/>
    <n v="10"/>
    <n v="510000"/>
    <x v="0"/>
    <n v="33343.414696052823"/>
    <d v="2026-06-09T00:00:00"/>
    <n v="0.51"/>
    <s v="Undersecured"/>
    <x v="6"/>
    <n v="459"/>
    <s v="High Risk"/>
    <s v="High Risk Exposure"/>
    <s v="High"/>
  </r>
  <r>
    <s v="LN0943"/>
    <s v="C0056"/>
    <s v="B10"/>
    <x v="3"/>
    <n v="6000000"/>
    <n v="0.1666"/>
    <d v="2023-08-15T00:00:00"/>
    <n v="72"/>
    <n v="20"/>
    <n v="5580000"/>
    <x v="0"/>
    <n v="132341.04441134541"/>
    <d v="2029-08-15T00:00:00"/>
    <n v="0.93"/>
    <s v="Undersecured"/>
    <x v="3"/>
    <n v="402"/>
    <s v="High Risk"/>
    <s v="High Risk Exposure"/>
    <s v="High"/>
  </r>
  <r>
    <s v="LN0944"/>
    <s v="C0537"/>
    <s v="B07"/>
    <x v="3"/>
    <n v="6000000"/>
    <n v="0.19550000000000001"/>
    <d v="2022-10-20T00:00:00"/>
    <n v="72"/>
    <n v="120"/>
    <n v="5640000"/>
    <x v="1"/>
    <n v="142156.19285490096"/>
    <d v="2028-10-20T00:00:00"/>
    <n v="0.94"/>
    <s v="Undersecured"/>
    <x v="0"/>
    <n v="595"/>
    <s v="Medium Risk"/>
    <s v="High Risk Exposure"/>
    <s v="Critical"/>
  </r>
  <r>
    <s v="LN0945"/>
    <s v="C0369"/>
    <s v="B07"/>
    <x v="1"/>
    <n v="500000"/>
    <n v="0.20499999999999999"/>
    <d v="2021-12-13T00:00:00"/>
    <n v="24"/>
    <n v="10"/>
    <n v="0"/>
    <x v="0"/>
    <n v="25570.197203203177"/>
    <d v="2023-12-13T00:00:00"/>
    <n v="0"/>
    <s v="Undersecured"/>
    <x v="0"/>
    <n v="439"/>
    <s v="High Risk"/>
    <s v="High Risk Exposure"/>
    <s v="High"/>
  </r>
  <r>
    <s v="LN0946"/>
    <s v="C0147"/>
    <s v="B11"/>
    <x v="2"/>
    <n v="80000000"/>
    <n v="0.13539999999999999"/>
    <d v="2021-07-07T00:00:00"/>
    <n v="36"/>
    <n v="120"/>
    <n v="92800000"/>
    <x v="1"/>
    <n v="2716371.0150426677"/>
    <d v="2024-07-07T00:00:00"/>
    <n v="1.1599999999999999"/>
    <s v="Secured"/>
    <x v="10"/>
    <n v="696"/>
    <s v="Low Risk"/>
    <s v="High Risk Exposure"/>
    <s v="Critical"/>
  </r>
  <r>
    <s v="LN0947"/>
    <s v="C0375"/>
    <s v="B12"/>
    <x v="0"/>
    <n v="25000000"/>
    <n v="0.2014"/>
    <d v="2024-06-09T00:00:00"/>
    <n v="24"/>
    <n v="5"/>
    <n v="31250000"/>
    <x v="0"/>
    <n v="1274105.5318011669"/>
    <d v="2026-06-09T00:00:00"/>
    <n v="1.25"/>
    <s v="Secured"/>
    <x v="12"/>
    <n v="411"/>
    <s v="High Risk"/>
    <s v="High Risk Exposure"/>
    <s v="High"/>
  </r>
  <r>
    <s v="LN0948"/>
    <s v="C0018"/>
    <s v="B11"/>
    <x v="0"/>
    <n v="6000000"/>
    <n v="0.1913"/>
    <d v="2025-01-08T00:00:00"/>
    <n v="60"/>
    <n v="90"/>
    <n v="5940000"/>
    <x v="2"/>
    <n v="156072.80781987234"/>
    <d v="2030-01-08T00:00:00"/>
    <n v="0.99"/>
    <s v="Undersecured"/>
    <x v="10"/>
    <n v="593"/>
    <s v="Medium Risk"/>
    <s v="High Risk Exposure"/>
    <s v="High"/>
  </r>
  <r>
    <s v="LN0949"/>
    <s v="C0003"/>
    <s v="B07"/>
    <x v="0"/>
    <n v="6000000"/>
    <n v="0.20630000000000001"/>
    <d v="2024-08-18T00:00:00"/>
    <n v="12"/>
    <n v="20"/>
    <n v="8820000"/>
    <x v="0"/>
    <n v="557617.73154210648"/>
    <d v="2025-08-18T00:00:00"/>
    <n v="1.47"/>
    <s v="Secured"/>
    <x v="0"/>
    <n v="565"/>
    <s v="High Risk"/>
    <s v="High Risk Exposure"/>
    <s v="High"/>
  </r>
  <r>
    <s v="LN0950"/>
    <s v="C0311"/>
    <s v="B14"/>
    <x v="2"/>
    <n v="6000000"/>
    <n v="0.1085"/>
    <d v="2024-11-15T00:00:00"/>
    <n v="72"/>
    <n v="90"/>
    <n v="8100000"/>
    <x v="2"/>
    <n v="113744.03540917953"/>
    <d v="2030-11-15T00:00:00"/>
    <n v="1.35"/>
    <s v="Secured"/>
    <x v="13"/>
    <n v="370"/>
    <s v="High Risk"/>
    <s v="High Risk Exposure"/>
    <s v="High"/>
  </r>
  <r>
    <s v="LN0951"/>
    <s v="C0496"/>
    <s v="B01"/>
    <x v="1"/>
    <n v="250000"/>
    <n v="0.2165"/>
    <d v="2022-11-17T00:00:00"/>
    <n v="12"/>
    <n v="120"/>
    <n v="0"/>
    <x v="1"/>
    <n v="23356.503880592751"/>
    <d v="2023-11-17T00:00:00"/>
    <n v="0"/>
    <s v="Undersecured"/>
    <x v="1"/>
    <n v="604"/>
    <s v="Medium Risk"/>
    <s v="High Risk Exposure"/>
    <s v="Critical"/>
  </r>
  <r>
    <s v="LN0952"/>
    <s v="C0649"/>
    <s v="B05"/>
    <x v="0"/>
    <n v="3000000"/>
    <n v="0.2016"/>
    <d v="2020-05-19T00:00:00"/>
    <n v="12"/>
    <n v="45"/>
    <n v="3420000"/>
    <x v="2"/>
    <n v="278133.29625280586"/>
    <d v="2021-05-19T00:00:00"/>
    <n v="1.1399999999999999"/>
    <s v="Secured"/>
    <x v="4"/>
    <n v="307"/>
    <s v="High Risk"/>
    <s v="High Risk Exposure"/>
    <s v="High"/>
  </r>
  <r>
    <s v="LN0953"/>
    <s v="C0452"/>
    <s v="B11"/>
    <x v="3"/>
    <n v="6000000"/>
    <n v="0.13769999999999999"/>
    <d v="2024-10-25T00:00:00"/>
    <n v="12"/>
    <n v="45"/>
    <n v="5100000"/>
    <x v="2"/>
    <n v="538073.60464143369"/>
    <d v="2025-10-25T00:00:00"/>
    <n v="0.85"/>
    <s v="Undersecured"/>
    <x v="10"/>
    <n v="578"/>
    <s v="High Risk"/>
    <s v="High Risk Exposure"/>
    <s v="High"/>
  </r>
  <r>
    <s v="LN0954"/>
    <s v="C0446"/>
    <s v="B09"/>
    <x v="1"/>
    <n v="250000"/>
    <n v="0.27050000000000002"/>
    <d v="2021-06-06T00:00:00"/>
    <n v="24"/>
    <n v="0"/>
    <n v="0"/>
    <x v="0"/>
    <n v="13601.395125520074"/>
    <d v="2023-06-06T00:00:00"/>
    <n v="0"/>
    <s v="Undersecured"/>
    <x v="8"/>
    <n v="751"/>
    <s v="Very Low Risk"/>
    <s v="High Risk Exposure"/>
    <s v="High"/>
  </r>
  <r>
    <s v="LN0955"/>
    <s v="C0031"/>
    <s v="B12"/>
    <x v="1"/>
    <n v="1000000"/>
    <n v="0.21790000000000001"/>
    <d v="2022-08-25T00:00:00"/>
    <n v="24"/>
    <n v="0"/>
    <n v="0"/>
    <x v="0"/>
    <n v="51774.508987416164"/>
    <d v="2024-08-25T00:00:00"/>
    <n v="0"/>
    <s v="Undersecured"/>
    <x v="12"/>
    <n v="602"/>
    <s v="Medium Risk"/>
    <s v="High Risk Exposure"/>
    <s v="High"/>
  </r>
  <r>
    <s v="LN0956"/>
    <s v="C0557"/>
    <s v="B05"/>
    <x v="1"/>
    <n v="1000000"/>
    <n v="0.25340000000000001"/>
    <d v="2022-03-20T00:00:00"/>
    <n v="12"/>
    <n v="0"/>
    <n v="0"/>
    <x v="0"/>
    <n v="95209.272403196461"/>
    <d v="2023-03-20T00:00:00"/>
    <n v="0"/>
    <s v="Undersecured"/>
    <x v="4"/>
    <n v="376"/>
    <s v="High Risk"/>
    <s v="High Risk Exposure"/>
    <s v="High"/>
  </r>
  <r>
    <s v="LN0957"/>
    <s v="C0425"/>
    <s v="B01"/>
    <x v="2"/>
    <n v="80000000"/>
    <n v="0.12809999999999999"/>
    <d v="2023-02-11T00:00:00"/>
    <n v="36"/>
    <n v="20"/>
    <n v="112800000"/>
    <x v="0"/>
    <n v="2688200.721303998"/>
    <d v="2026-02-11T00:00:00"/>
    <n v="1.41"/>
    <s v="Secured"/>
    <x v="1"/>
    <n v="667"/>
    <s v="Medium Risk"/>
    <s v="Normal"/>
    <s v="Normal"/>
  </r>
  <r>
    <s v="LN0958"/>
    <s v="C0348"/>
    <s v="B10"/>
    <x v="1"/>
    <n v="1000000"/>
    <n v="0.1817"/>
    <d v="2022-06-09T00:00:00"/>
    <n v="24"/>
    <n v="0"/>
    <n v="0"/>
    <x v="0"/>
    <n v="50006.280866712252"/>
    <d v="2024-06-09T00:00:00"/>
    <n v="0"/>
    <s v="Undersecured"/>
    <x v="3"/>
    <n v="532"/>
    <s v="High Risk"/>
    <s v="High Risk Exposure"/>
    <s v="High"/>
  </r>
  <r>
    <s v="LN0959"/>
    <s v="C0568"/>
    <s v="B03"/>
    <x v="1"/>
    <n v="1000000"/>
    <n v="0.2135"/>
    <d v="2024-09-08T00:00:00"/>
    <n v="72"/>
    <n v="45"/>
    <n v="0"/>
    <x v="2"/>
    <n v="24741.756059664269"/>
    <d v="2030-09-08T00:00:00"/>
    <n v="0"/>
    <s v="Undersecured"/>
    <x v="7"/>
    <n v="724"/>
    <s v="Low Risk"/>
    <s v="High Risk Exposure"/>
    <s v="High"/>
  </r>
  <r>
    <s v="LN0960"/>
    <s v="C0073"/>
    <s v="B15"/>
    <x v="1"/>
    <n v="250000"/>
    <n v="0.24959999999999999"/>
    <d v="2022-12-13T00:00:00"/>
    <n v="48"/>
    <n v="0"/>
    <n v="0"/>
    <x v="0"/>
    <n v="8283.705602989101"/>
    <d v="2026-12-13T00:00:00"/>
    <n v="0"/>
    <s v="Undersecured"/>
    <x v="9"/>
    <n v="501"/>
    <s v="High Risk"/>
    <s v="High Risk Exposure"/>
    <s v="High"/>
  </r>
  <r>
    <s v="LN0961"/>
    <s v="C0379"/>
    <s v="B15"/>
    <x v="0"/>
    <n v="3000000"/>
    <n v="0.16309999999999999"/>
    <d v="2025-06-03T00:00:00"/>
    <n v="48"/>
    <n v="10"/>
    <n v="3870000"/>
    <x v="0"/>
    <n v="85497.897465616072"/>
    <d v="2029-06-03T00:00:00"/>
    <n v="1.29"/>
    <s v="Secured"/>
    <x v="9"/>
    <n v="603"/>
    <s v="Medium Risk"/>
    <s v="Normal"/>
    <s v="Normal"/>
  </r>
  <r>
    <s v="LN0962"/>
    <s v="C0162"/>
    <s v="B12"/>
    <x v="3"/>
    <n v="3000000"/>
    <n v="0.18229999999999999"/>
    <d v="2020-08-16T00:00:00"/>
    <n v="48"/>
    <n v="45"/>
    <n v="3210000"/>
    <x v="2"/>
    <n v="88485.963397840198"/>
    <d v="2024-08-16T00:00:00"/>
    <n v="1.07"/>
    <s v="Secured"/>
    <x v="12"/>
    <n v="734"/>
    <s v="Low Risk"/>
    <s v="High Risk Exposure"/>
    <s v="High"/>
  </r>
  <r>
    <s v="LN0963"/>
    <s v="C0582"/>
    <s v="B08"/>
    <x v="0"/>
    <n v="1000000"/>
    <n v="0.22789999999999999"/>
    <d v="2023-03-03T00:00:00"/>
    <n v="60"/>
    <n v="20"/>
    <n v="1410000"/>
    <x v="0"/>
    <n v="28069.948916954978"/>
    <d v="2028-03-03T00:00:00"/>
    <n v="1.41"/>
    <s v="Secured"/>
    <x v="5"/>
    <n v="639"/>
    <s v="Medium Risk"/>
    <s v="Normal"/>
    <s v="Normal"/>
  </r>
  <r>
    <s v="LN0964"/>
    <s v="C0233"/>
    <s v="B01"/>
    <x v="0"/>
    <n v="6000000"/>
    <n v="0.1966"/>
    <d v="2023-01-13T00:00:00"/>
    <n v="60"/>
    <n v="20"/>
    <n v="3720000"/>
    <x v="0"/>
    <n v="157830.34811725348"/>
    <d v="2028-01-13T00:00:00"/>
    <n v="0.62"/>
    <s v="Undersecured"/>
    <x v="1"/>
    <n v="805"/>
    <s v="Prime"/>
    <s v="High Risk Exposure"/>
    <s v="High"/>
  </r>
  <r>
    <s v="LN0965"/>
    <s v="C0258"/>
    <s v="B07"/>
    <x v="0"/>
    <n v="6000000"/>
    <n v="0.16650000000000001"/>
    <d v="2024-08-28T00:00:00"/>
    <n v="24"/>
    <n v="20"/>
    <n v="3540000"/>
    <x v="0"/>
    <n v="295645.52786856552"/>
    <d v="2026-08-28T00:00:00"/>
    <n v="0.59"/>
    <s v="Undersecured"/>
    <x v="0"/>
    <n v="807"/>
    <s v="Prime"/>
    <s v="High Risk Exposure"/>
    <s v="High"/>
  </r>
  <r>
    <s v="LN0966"/>
    <s v="C0251"/>
    <s v="B05"/>
    <x v="1"/>
    <n v="1000000"/>
    <n v="0.19689999999999999"/>
    <d v="2021-10-21T00:00:00"/>
    <n v="36"/>
    <n v="10"/>
    <n v="0"/>
    <x v="0"/>
    <n v="37005.818551411532"/>
    <d v="2024-10-21T00:00:00"/>
    <n v="0"/>
    <s v="Undersecured"/>
    <x v="4"/>
    <n v="322"/>
    <s v="High Risk"/>
    <s v="High Risk Exposure"/>
    <s v="High"/>
  </r>
  <r>
    <s v="LN0967"/>
    <s v="C0425"/>
    <s v="B11"/>
    <x v="1"/>
    <n v="250000"/>
    <n v="0.25679999999999997"/>
    <d v="2020-06-27T00:00:00"/>
    <n v="72"/>
    <n v="0"/>
    <n v="0"/>
    <x v="0"/>
    <n v="6838.984452533492"/>
    <d v="2026-06-27T00:00:00"/>
    <n v="0"/>
    <s v="Undersecured"/>
    <x v="10"/>
    <n v="667"/>
    <s v="Medium Risk"/>
    <s v="High Risk Exposure"/>
    <s v="High"/>
  </r>
  <r>
    <s v="LN0968"/>
    <s v="C0421"/>
    <s v="B06"/>
    <x v="1"/>
    <n v="500000"/>
    <n v="0.17180000000000001"/>
    <d v="2023-12-08T00:00:00"/>
    <n v="72"/>
    <n v="0"/>
    <n v="0"/>
    <x v="0"/>
    <n v="11173.344429319084"/>
    <d v="2029-12-08T00:00:00"/>
    <n v="0"/>
    <s v="Undersecured"/>
    <x v="6"/>
    <n v="789"/>
    <s v="Very Low Risk"/>
    <s v="High Risk Exposure"/>
    <s v="High"/>
  </r>
  <r>
    <s v="LN0969"/>
    <s v="C0257"/>
    <s v="B12"/>
    <x v="3"/>
    <n v="1000000"/>
    <n v="0.193"/>
    <d v="2021-03-26T00:00:00"/>
    <n v="24"/>
    <n v="90"/>
    <n v="1430000"/>
    <x v="2"/>
    <n v="50554.492794601596"/>
    <d v="2023-03-26T00:00:00"/>
    <n v="1.43"/>
    <s v="Secured"/>
    <x v="12"/>
    <n v="724"/>
    <s v="Low Risk"/>
    <s v="High Risk Exposure"/>
    <s v="High"/>
  </r>
  <r>
    <s v="LN0970"/>
    <s v="C0264"/>
    <s v="B08"/>
    <x v="0"/>
    <n v="1000000"/>
    <n v="0.23899999999999999"/>
    <d v="2020-09-04T00:00:00"/>
    <n v="36"/>
    <n v="0"/>
    <n v="1420000"/>
    <x v="0"/>
    <n v="39180.366251107189"/>
    <d v="2023-09-04T00:00:00"/>
    <n v="1.42"/>
    <s v="Secured"/>
    <x v="5"/>
    <n v="632"/>
    <s v="Medium Risk"/>
    <s v="Normal"/>
    <s v="Normal"/>
  </r>
  <r>
    <s v="LN0971"/>
    <s v="C0585"/>
    <s v="B08"/>
    <x v="2"/>
    <n v="80000000"/>
    <n v="0.1179"/>
    <d v="2025-08-03T00:00:00"/>
    <n v="48"/>
    <n v="120"/>
    <n v="94400000"/>
    <x v="1"/>
    <n v="2098467.6208135397"/>
    <d v="2029-08-03T00:00:00"/>
    <n v="1.18"/>
    <s v="Secured"/>
    <x v="5"/>
    <n v="308"/>
    <s v="High Risk"/>
    <s v="High Risk Exposure"/>
    <s v="Critical"/>
  </r>
  <r>
    <s v="LN0972"/>
    <s v="C0584"/>
    <s v="B06"/>
    <x v="0"/>
    <n v="1000000"/>
    <n v="0.1537"/>
    <d v="2023-12-05T00:00:00"/>
    <n v="48"/>
    <n v="45"/>
    <n v="1030000"/>
    <x v="2"/>
    <n v="28018.66382596222"/>
    <d v="2027-12-05T00:00:00"/>
    <n v="1.03"/>
    <s v="Secured"/>
    <x v="6"/>
    <n v="813"/>
    <s v="Prime"/>
    <s v="High Risk Exposure"/>
    <s v="High"/>
  </r>
  <r>
    <s v="LN0973"/>
    <s v="C0512"/>
    <s v="B11"/>
    <x v="2"/>
    <n v="25000000"/>
    <n v="0.1244"/>
    <d v="2025-12-12T00:00:00"/>
    <n v="12"/>
    <n v="20"/>
    <n v="19000000"/>
    <x v="0"/>
    <n v="2226368.8981054733"/>
    <d v="2026-12-12T00:00:00"/>
    <n v="0.76"/>
    <s v="Undersecured"/>
    <x v="10"/>
    <n v="663"/>
    <s v="Medium Risk"/>
    <s v="High Risk Exposure"/>
    <s v="High"/>
  </r>
  <r>
    <s v="LN0974"/>
    <s v="C0500"/>
    <s v="B12"/>
    <x v="1"/>
    <n v="100000"/>
    <n v="0.19769999999999999"/>
    <d v="2023-12-08T00:00:00"/>
    <n v="60"/>
    <n v="90"/>
    <n v="0"/>
    <x v="2"/>
    <n v="2636.6070809038538"/>
    <d v="2028-12-08T00:00:00"/>
    <n v="0"/>
    <s v="Undersecured"/>
    <x v="12"/>
    <n v="428"/>
    <s v="High Risk"/>
    <s v="High Risk Exposure"/>
    <s v="High"/>
  </r>
  <r>
    <s v="LN0975"/>
    <s v="C0276"/>
    <s v="B15"/>
    <x v="0"/>
    <n v="6000000"/>
    <n v="0.1633"/>
    <d v="2023-08-05T00:00:00"/>
    <n v="72"/>
    <n v="5"/>
    <n v="5700000"/>
    <x v="0"/>
    <n v="131243.61565566011"/>
    <d v="2029-08-05T00:00:00"/>
    <n v="0.95"/>
    <s v="Undersecured"/>
    <x v="9"/>
    <n v="486"/>
    <s v="High Risk"/>
    <s v="High Risk Exposure"/>
    <s v="High"/>
  </r>
  <r>
    <s v="LN0976"/>
    <s v="C0269"/>
    <s v="B03"/>
    <x v="1"/>
    <n v="250000"/>
    <n v="0.27450000000000002"/>
    <d v="2023-01-20T00:00:00"/>
    <n v="36"/>
    <n v="5"/>
    <n v="0"/>
    <x v="0"/>
    <n v="10266.75414058923"/>
    <d v="2026-01-20T00:00:00"/>
    <n v="0"/>
    <s v="Undersecured"/>
    <x v="7"/>
    <n v="844"/>
    <s v="Prime"/>
    <s v="High Risk Exposure"/>
    <s v="High"/>
  </r>
  <r>
    <s v="LN0977"/>
    <s v="C0099"/>
    <s v="B10"/>
    <x v="2"/>
    <n v="80000000"/>
    <n v="0.1103"/>
    <d v="2025-11-14T00:00:00"/>
    <n v="60"/>
    <n v="0"/>
    <n v="100800000"/>
    <x v="0"/>
    <n v="1740590.9862698049"/>
    <d v="2030-11-14T00:00:00"/>
    <n v="1.26"/>
    <s v="Secured"/>
    <x v="3"/>
    <n v="332"/>
    <s v="High Risk"/>
    <s v="High Risk Exposure"/>
    <s v="High"/>
  </r>
  <r>
    <s v="LN0978"/>
    <s v="C0239"/>
    <s v="B05"/>
    <x v="0"/>
    <n v="6000000"/>
    <n v="0.23139999999999999"/>
    <d v="2021-08-06T00:00:00"/>
    <n v="72"/>
    <n v="0"/>
    <n v="7980000"/>
    <x v="0"/>
    <n v="154843.36375276925"/>
    <d v="2027-08-06T00:00:00"/>
    <n v="1.33"/>
    <s v="Secured"/>
    <x v="4"/>
    <n v="555"/>
    <s v="High Risk"/>
    <s v="High Risk Exposure"/>
    <s v="High"/>
  </r>
  <r>
    <s v="LN0979"/>
    <s v="C0026"/>
    <s v="B12"/>
    <x v="3"/>
    <n v="500000"/>
    <n v="0.17330000000000001"/>
    <d v="2022-11-08T00:00:00"/>
    <n v="36"/>
    <n v="90"/>
    <n v="445000"/>
    <x v="2"/>
    <n v="17908.589760117502"/>
    <d v="2025-11-08T00:00:00"/>
    <n v="0.89"/>
    <s v="Undersecured"/>
    <x v="12"/>
    <n v="463"/>
    <s v="High Risk"/>
    <s v="High Risk Exposure"/>
    <s v="High"/>
  </r>
  <r>
    <s v="LN0980"/>
    <s v="C0677"/>
    <s v="B08"/>
    <x v="3"/>
    <n v="500000"/>
    <n v="0.1973"/>
    <d v="2024-08-25T00:00:00"/>
    <n v="24"/>
    <n v="0"/>
    <n v="570000"/>
    <x v="0"/>
    <n v="25381.999919672013"/>
    <d v="2026-08-25T00:00:00"/>
    <n v="1.1399999999999999"/>
    <s v="Secured"/>
    <x v="5"/>
    <n v="599"/>
    <s v="Medium Risk"/>
    <s v="Normal"/>
    <s v="Normal"/>
  </r>
  <r>
    <s v="LN0981"/>
    <s v="C0398"/>
    <s v="B11"/>
    <x v="1"/>
    <n v="500000"/>
    <n v="0.17299999999999999"/>
    <d v="2022-01-14T00:00:00"/>
    <n v="36"/>
    <n v="0"/>
    <n v="0"/>
    <x v="0"/>
    <n v="17901.105736918802"/>
    <d v="2025-01-14T00:00:00"/>
    <n v="0"/>
    <s v="Undersecured"/>
    <x v="10"/>
    <n v="687"/>
    <s v="Low Risk"/>
    <s v="High Risk Exposure"/>
    <s v="High"/>
  </r>
  <r>
    <s v="LN0982"/>
    <s v="C0168"/>
    <s v="B11"/>
    <x v="3"/>
    <n v="6000000"/>
    <n v="0.18379999999999999"/>
    <d v="2020-04-03T00:00:00"/>
    <n v="12"/>
    <n v="90"/>
    <n v="5460000"/>
    <x v="2"/>
    <n v="551165.62237091456"/>
    <d v="2021-04-03T00:00:00"/>
    <n v="0.91"/>
    <s v="Undersecured"/>
    <x v="10"/>
    <n v="641"/>
    <s v="Medium Risk"/>
    <s v="High Risk Exposure"/>
    <s v="High"/>
  </r>
  <r>
    <s v="LN0983"/>
    <s v="C0692"/>
    <s v="B07"/>
    <x v="1"/>
    <n v="100000"/>
    <n v="0.17519999999999999"/>
    <d v="2023-01-24T00:00:00"/>
    <n v="12"/>
    <n v="0"/>
    <n v="0"/>
    <x v="0"/>
    <n v="9145.1709385499253"/>
    <d v="2024-01-24T00:00:00"/>
    <n v="0"/>
    <s v="Undersecured"/>
    <x v="0"/>
    <n v="350"/>
    <s v="High Risk"/>
    <s v="High Risk Exposure"/>
    <s v="High"/>
  </r>
  <r>
    <s v="LN0984"/>
    <s v="C0016"/>
    <s v="B04"/>
    <x v="2"/>
    <n v="6000000"/>
    <n v="0.1137"/>
    <d v="2025-01-11T00:00:00"/>
    <n v="72"/>
    <n v="0"/>
    <n v="8460000"/>
    <x v="0"/>
    <n v="115344.76362643079"/>
    <d v="2031-01-11T00:00:00"/>
    <n v="1.41"/>
    <s v="Secured"/>
    <x v="14"/>
    <n v="797"/>
    <s v="Very Low Risk"/>
    <s v="Normal"/>
    <s v="Normal"/>
  </r>
  <r>
    <s v="LN0985"/>
    <s v="C0617"/>
    <s v="B03"/>
    <x v="1"/>
    <n v="500000"/>
    <n v="0.19789999999999999"/>
    <d v="2020-08-14T00:00:00"/>
    <n v="48"/>
    <n v="10"/>
    <n v="0"/>
    <x v="0"/>
    <n v="15159.29386444971"/>
    <d v="2024-08-14T00:00:00"/>
    <n v="0"/>
    <s v="Undersecured"/>
    <x v="7"/>
    <n v="681"/>
    <s v="Low Risk"/>
    <s v="High Risk Exposure"/>
    <s v="High"/>
  </r>
  <r>
    <s v="LN0986"/>
    <s v="C0355"/>
    <s v="B11"/>
    <x v="1"/>
    <n v="500000"/>
    <n v="0.27289999999999998"/>
    <d v="2025-05-09T00:00:00"/>
    <n v="24"/>
    <n v="0"/>
    <n v="0"/>
    <x v="0"/>
    <n v="27263.679421694389"/>
    <d v="2027-05-09T00:00:00"/>
    <n v="0"/>
    <s v="Undersecured"/>
    <x v="10"/>
    <n v="809"/>
    <s v="Prime"/>
    <s v="High Risk Exposure"/>
    <s v="High"/>
  </r>
  <r>
    <s v="LN0987"/>
    <s v="C0038"/>
    <s v="B15"/>
    <x v="0"/>
    <n v="1000000"/>
    <n v="0.22650000000000001"/>
    <d v="2024-01-23T00:00:00"/>
    <n v="60"/>
    <n v="20"/>
    <n v="800000"/>
    <x v="0"/>
    <n v="27989.7465579503"/>
    <d v="2029-01-23T00:00:00"/>
    <n v="0.8"/>
    <s v="Undersecured"/>
    <x v="9"/>
    <n v="456"/>
    <s v="High Risk"/>
    <s v="High Risk Exposure"/>
    <s v="High"/>
  </r>
  <r>
    <s v="LN0988"/>
    <s v="C0249"/>
    <s v="B07"/>
    <x v="2"/>
    <n v="6000000"/>
    <n v="0.1226"/>
    <d v="2023-10-14T00:00:00"/>
    <n v="72"/>
    <n v="45"/>
    <n v="9000000"/>
    <x v="2"/>
    <n v="118113.97548261966"/>
    <d v="2029-10-14T00:00:00"/>
    <n v="1.5"/>
    <s v="Secured"/>
    <x v="0"/>
    <n v="424"/>
    <s v="High Risk"/>
    <s v="High Risk Exposure"/>
    <s v="High"/>
  </r>
  <r>
    <s v="LN0989"/>
    <s v="C0296"/>
    <s v="B06"/>
    <x v="3"/>
    <n v="6000000"/>
    <n v="0.1973"/>
    <d v="2020-10-13T00:00:00"/>
    <n v="60"/>
    <n v="20"/>
    <n v="8400000"/>
    <x v="0"/>
    <n v="158063.25427834733"/>
    <d v="2025-10-13T00:00:00"/>
    <n v="1.4"/>
    <s v="Secured"/>
    <x v="6"/>
    <n v="525"/>
    <s v="High Risk"/>
    <s v="High Risk Exposure"/>
    <s v="High"/>
  </r>
  <r>
    <s v="LN0990"/>
    <s v="C0271"/>
    <s v="B10"/>
    <x v="3"/>
    <n v="1000000"/>
    <n v="0.18820000000000001"/>
    <d v="2025-05-22T00:00:00"/>
    <n v="48"/>
    <n v="0"/>
    <n v="920000"/>
    <x v="0"/>
    <n v="29805.217546080792"/>
    <d v="2029-05-22T00:00:00"/>
    <n v="0.92"/>
    <s v="Undersecured"/>
    <x v="3"/>
    <n v="654"/>
    <s v="Medium Risk"/>
    <s v="High Risk Exposure"/>
    <s v="High"/>
  </r>
  <r>
    <s v="LN0991"/>
    <s v="C0688"/>
    <s v="B06"/>
    <x v="0"/>
    <n v="25000000"/>
    <n v="0.22720000000000001"/>
    <d v="2025-04-16T00:00:00"/>
    <n v="36"/>
    <n v="0"/>
    <n v="18250000"/>
    <x v="0"/>
    <n v="964098.40472742054"/>
    <d v="2028-04-16T00:00:00"/>
    <n v="0.73"/>
    <s v="Undersecured"/>
    <x v="6"/>
    <n v="686"/>
    <s v="Low Risk"/>
    <s v="High Risk Exposure"/>
    <s v="High"/>
  </r>
  <r>
    <s v="LN0992"/>
    <s v="C0297"/>
    <s v="B04"/>
    <x v="0"/>
    <n v="6000000"/>
    <n v="0.1532"/>
    <d v="2022-07-23T00:00:00"/>
    <n v="48"/>
    <n v="0"/>
    <n v="3360000"/>
    <x v="0"/>
    <n v="167959.36681168535"/>
    <d v="2026-07-23T00:00:00"/>
    <n v="0.56000000000000005"/>
    <s v="Undersecured"/>
    <x v="14"/>
    <n v="500"/>
    <s v="High Risk"/>
    <s v="High Risk Exposure"/>
    <s v="High"/>
  </r>
  <r>
    <s v="LN0993"/>
    <s v="C0051"/>
    <s v="B10"/>
    <x v="0"/>
    <n v="25000000"/>
    <n v="0.15190000000000001"/>
    <d v="2023-02-18T00:00:00"/>
    <n v="12"/>
    <n v="90"/>
    <n v="35250000"/>
    <x v="2"/>
    <n v="2258699.8028332316"/>
    <d v="2024-02-18T00:00:00"/>
    <n v="1.41"/>
    <s v="Secured"/>
    <x v="3"/>
    <n v="345"/>
    <s v="High Risk"/>
    <s v="High Risk Exposure"/>
    <s v="High"/>
  </r>
  <r>
    <s v="LN0994"/>
    <s v="C0330"/>
    <s v="B04"/>
    <x v="1"/>
    <n v="250000"/>
    <n v="0.2271"/>
    <d v="2023-06-11T00:00:00"/>
    <n v="48"/>
    <n v="45"/>
    <n v="0"/>
    <x v="2"/>
    <n v="7973.1984652729216"/>
    <d v="2027-06-11T00:00:00"/>
    <n v="0"/>
    <s v="Undersecured"/>
    <x v="14"/>
    <n v="780"/>
    <s v="Very Low Risk"/>
    <s v="High Risk Exposure"/>
    <s v="High"/>
  </r>
  <r>
    <s v="LN0995"/>
    <s v="C0665"/>
    <s v="B12"/>
    <x v="0"/>
    <n v="3000000"/>
    <n v="0.1993"/>
    <d v="2025-08-20T00:00:00"/>
    <n v="36"/>
    <n v="10"/>
    <n v="4350000"/>
    <x v="0"/>
    <n v="111383.77828433372"/>
    <d v="2028-08-20T00:00:00"/>
    <n v="1.45"/>
    <s v="Secured"/>
    <x v="12"/>
    <n v="635"/>
    <s v="Medium Risk"/>
    <s v="Normal"/>
    <s v="Normal"/>
  </r>
  <r>
    <s v="LN0996"/>
    <s v="C0049"/>
    <s v="B03"/>
    <x v="0"/>
    <n v="6000000"/>
    <n v="0.18609999999999999"/>
    <d v="2021-03-05T00:00:00"/>
    <n v="12"/>
    <n v="20"/>
    <n v="5520000"/>
    <x v="0"/>
    <n v="551823.30095795623"/>
    <d v="2022-03-05T00:00:00"/>
    <n v="0.92"/>
    <s v="Undersecured"/>
    <x v="7"/>
    <n v="374"/>
    <s v="High Risk"/>
    <s v="High Risk Exposure"/>
    <s v="High"/>
  </r>
  <r>
    <s v="LN0997"/>
    <s v="C0465"/>
    <s v="B15"/>
    <x v="3"/>
    <n v="1000000"/>
    <n v="0.18260000000000001"/>
    <d v="2020-01-08T00:00:00"/>
    <n v="12"/>
    <n v="0"/>
    <n v="750000"/>
    <x v="0"/>
    <n v="91803.775835159875"/>
    <d v="2021-01-08T00:00:00"/>
    <n v="0.75"/>
    <s v="Undersecured"/>
    <x v="9"/>
    <n v="358"/>
    <s v="High Risk"/>
    <s v="High Risk Exposure"/>
    <s v="High"/>
  </r>
  <r>
    <s v="LN0998"/>
    <s v="C0690"/>
    <s v="B08"/>
    <x v="1"/>
    <n v="1000000"/>
    <n v="0.26619999999999999"/>
    <d v="2025-06-14T00:00:00"/>
    <n v="36"/>
    <n v="45"/>
    <n v="0"/>
    <x v="2"/>
    <n v="40621.622928188583"/>
    <d v="2028-06-14T00:00:00"/>
    <n v="0"/>
    <s v="Undersecured"/>
    <x v="5"/>
    <n v="353"/>
    <s v="High Risk"/>
    <s v="High Risk Exposure"/>
    <s v="High"/>
  </r>
  <r>
    <s v="LN0999"/>
    <s v="C0434"/>
    <s v="B05"/>
    <x v="2"/>
    <n v="25000000"/>
    <n v="0.13780000000000001"/>
    <d v="2024-01-26T00:00:00"/>
    <n v="48"/>
    <n v="120"/>
    <n v="34000000"/>
    <x v="1"/>
    <n v="680406.14367675164"/>
    <d v="2028-01-26T00:00:00"/>
    <n v="1.36"/>
    <s v="Secured"/>
    <x v="4"/>
    <n v="473"/>
    <s v="High Risk"/>
    <s v="High Risk Exposure"/>
    <s v="Critical"/>
  </r>
  <r>
    <s v="LN1000"/>
    <s v="C0598"/>
    <s v="B14"/>
    <x v="2"/>
    <n v="25000000"/>
    <n v="0.1009"/>
    <d v="2024-07-14T00:00:00"/>
    <n v="24"/>
    <n v="0"/>
    <n v="30000000"/>
    <x v="0"/>
    <n v="1154661.9195949195"/>
    <d v="2026-07-14T00:00:00"/>
    <n v="1.2"/>
    <s v="Secured"/>
    <x v="13"/>
    <n v="627"/>
    <s v="Medium Risk"/>
    <s v="Normal"/>
    <s v="Normal"/>
  </r>
  <r>
    <s v="LN1001"/>
    <s v="C0293"/>
    <s v="B11"/>
    <x v="0"/>
    <n v="3000000"/>
    <n v="0.2175"/>
    <d v="2025-09-09T00:00:00"/>
    <n v="24"/>
    <n v="0"/>
    <n v="1560000"/>
    <x v="0"/>
    <n v="155264.3406040835"/>
    <d v="2027-09-09T00:00:00"/>
    <n v="0.52"/>
    <s v="Undersecured"/>
    <x v="10"/>
    <n v="679"/>
    <s v="Low Risk"/>
    <s v="High Risk Exposure"/>
    <s v="High"/>
  </r>
  <r>
    <s v="LN1002"/>
    <s v="C0578"/>
    <s v="B04"/>
    <x v="3"/>
    <n v="3000000"/>
    <n v="0.14169999999999999"/>
    <d v="2021-12-15T00:00:00"/>
    <n v="12"/>
    <n v="10"/>
    <n v="2760000"/>
    <x v="0"/>
    <n v="269601.37598982977"/>
    <d v="2022-12-15T00:00:00"/>
    <n v="0.92"/>
    <s v="Undersecured"/>
    <x v="14"/>
    <n v="642"/>
    <s v="Medium Risk"/>
    <s v="High Risk Exposure"/>
    <s v="High"/>
  </r>
  <r>
    <s v="LN1003"/>
    <s v="C0555"/>
    <s v="B02"/>
    <x v="2"/>
    <n v="6000000"/>
    <n v="9.4299999999999995E-2"/>
    <d v="2025-11-04T00:00:00"/>
    <n v="60"/>
    <n v="0"/>
    <n v="6300000"/>
    <x v="0"/>
    <n v="125806.01622107046"/>
    <d v="2030-11-04T00:00:00"/>
    <n v="1.05"/>
    <s v="Secured"/>
    <x v="11"/>
    <n v="642"/>
    <s v="Medium Risk"/>
    <s v="Normal"/>
    <s v="Normal"/>
  </r>
  <r>
    <s v="LN1004"/>
    <s v="C0148"/>
    <s v="B05"/>
    <x v="3"/>
    <n v="6000000"/>
    <n v="0.15060000000000001"/>
    <d v="2021-07-27T00:00:00"/>
    <n v="24"/>
    <n v="0"/>
    <n v="8820000"/>
    <x v="0"/>
    <n v="291090.95871047227"/>
    <d v="2023-07-27T00:00:00"/>
    <n v="1.47"/>
    <s v="Secured"/>
    <x v="4"/>
    <n v="778"/>
    <s v="Very Low Risk"/>
    <s v="Normal"/>
    <s v="Normal"/>
  </r>
  <r>
    <s v="LN1005"/>
    <s v="C0030"/>
    <s v="B10"/>
    <x v="1"/>
    <n v="1000000"/>
    <n v="0.2419"/>
    <d v="2025-02-24T00:00:00"/>
    <n v="36"/>
    <n v="20"/>
    <n v="0"/>
    <x v="0"/>
    <n v="39332.682494896893"/>
    <d v="2028-02-24T00:00:00"/>
    <n v="0"/>
    <s v="Undersecured"/>
    <x v="3"/>
    <n v="514"/>
    <s v="High Risk"/>
    <s v="High Risk Exposure"/>
    <s v="High"/>
  </r>
  <r>
    <s v="LN1006"/>
    <s v="C0582"/>
    <s v="B11"/>
    <x v="1"/>
    <n v="1000000"/>
    <n v="0.2455"/>
    <d v="2021-12-08T00:00:00"/>
    <n v="72"/>
    <n v="120"/>
    <n v="0"/>
    <x v="1"/>
    <n v="26661.708758535169"/>
    <d v="2027-12-08T00:00:00"/>
    <n v="0"/>
    <s v="Undersecured"/>
    <x v="10"/>
    <n v="639"/>
    <s v="Medium Risk"/>
    <s v="High Risk Exposure"/>
    <s v="Critical"/>
  </r>
  <r>
    <s v="LN1007"/>
    <s v="C0227"/>
    <s v="B06"/>
    <x v="2"/>
    <n v="25000000"/>
    <n v="9.9299999999999999E-2"/>
    <d v="2024-03-27T00:00:00"/>
    <n v="48"/>
    <n v="0"/>
    <n v="23500000"/>
    <x v="0"/>
    <n v="633224.48942531704"/>
    <d v="2028-03-27T00:00:00"/>
    <n v="0.94"/>
    <s v="Undersecured"/>
    <x v="6"/>
    <n v="660"/>
    <s v="Medium Risk"/>
    <s v="High Risk Exposure"/>
    <s v="High"/>
  </r>
  <r>
    <s v="LN1008"/>
    <s v="C0154"/>
    <s v="B02"/>
    <x v="1"/>
    <n v="100000"/>
    <n v="0.21240000000000001"/>
    <d v="2021-03-14T00:00:00"/>
    <n v="24"/>
    <n v="0"/>
    <n v="0"/>
    <x v="0"/>
    <n v="5150.3609960943395"/>
    <d v="2023-03-14T00:00:00"/>
    <n v="0"/>
    <s v="Undersecured"/>
    <x v="11"/>
    <n v="588"/>
    <s v="Medium Risk"/>
    <s v="High Risk Exposure"/>
    <s v="High"/>
  </r>
  <r>
    <s v="LN1009"/>
    <s v="C0654"/>
    <s v="B01"/>
    <x v="3"/>
    <n v="6000000"/>
    <n v="0.15959999999999999"/>
    <d v="2021-06-06T00:00:00"/>
    <n v="48"/>
    <n v="5"/>
    <n v="4800000"/>
    <x v="0"/>
    <n v="169918.79334582752"/>
    <d v="2025-06-06T00:00:00"/>
    <n v="0.8"/>
    <s v="Undersecured"/>
    <x v="1"/>
    <n v="511"/>
    <s v="High Risk"/>
    <s v="High Risk Exposure"/>
    <s v="High"/>
  </r>
  <r>
    <s v="LN1010"/>
    <s v="C0530"/>
    <s v="B07"/>
    <x v="1"/>
    <n v="100000"/>
    <n v="0.18759999999999999"/>
    <d v="2025-10-17T00:00:00"/>
    <n v="12"/>
    <n v="0"/>
    <n v="0"/>
    <x v="0"/>
    <n v="9204.2075245166106"/>
    <d v="2026-10-17T00:00:00"/>
    <n v="0"/>
    <s v="Undersecured"/>
    <x v="0"/>
    <n v="802"/>
    <s v="Prime"/>
    <s v="High Risk Exposure"/>
    <s v="High"/>
  </r>
  <r>
    <s v="LN1011"/>
    <s v="C0160"/>
    <s v="B15"/>
    <x v="3"/>
    <n v="6000000"/>
    <n v="0.18720000000000001"/>
    <d v="2021-07-08T00:00:00"/>
    <n v="48"/>
    <n v="120"/>
    <n v="7980000"/>
    <x v="1"/>
    <n v="178515.40073638581"/>
    <d v="2025-07-08T00:00:00"/>
    <n v="1.33"/>
    <s v="Secured"/>
    <x v="9"/>
    <n v="332"/>
    <s v="High Risk"/>
    <s v="High Risk Exposure"/>
    <s v="Critical"/>
  </r>
  <r>
    <s v="LN1012"/>
    <s v="C0051"/>
    <s v="B10"/>
    <x v="3"/>
    <n v="500000"/>
    <n v="0.1258"/>
    <d v="2022-08-10T00:00:00"/>
    <n v="12"/>
    <n v="120"/>
    <n v="465000"/>
    <x v="1"/>
    <n v="44560.173009302955"/>
    <d v="2023-08-10T00:00:00"/>
    <n v="0.93"/>
    <s v="Undersecured"/>
    <x v="3"/>
    <n v="345"/>
    <s v="High Risk"/>
    <s v="High Risk Exposure"/>
    <s v="Critical"/>
  </r>
  <r>
    <s v="LN1013"/>
    <s v="C0083"/>
    <s v="B07"/>
    <x v="3"/>
    <n v="6000000"/>
    <n v="0.183"/>
    <d v="2022-06-12T00:00:00"/>
    <n v="60"/>
    <n v="10"/>
    <n v="5940000"/>
    <x v="0"/>
    <n v="153341.45285308966"/>
    <d v="2027-06-12T00:00:00"/>
    <n v="0.99"/>
    <s v="Undersecured"/>
    <x v="0"/>
    <n v="316"/>
    <s v="High Risk"/>
    <s v="High Risk Exposure"/>
    <s v="High"/>
  </r>
  <r>
    <s v="LN1014"/>
    <s v="C0424"/>
    <s v="B15"/>
    <x v="2"/>
    <n v="25000000"/>
    <n v="0.12770000000000001"/>
    <d v="2020-05-27T00:00:00"/>
    <n v="48"/>
    <n v="0"/>
    <n v="20500000"/>
    <x v="0"/>
    <n v="667837.04667288368"/>
    <d v="2024-05-27T00:00:00"/>
    <n v="0.82"/>
    <s v="Undersecured"/>
    <x v="9"/>
    <n v="668"/>
    <s v="Medium Risk"/>
    <s v="High Risk Exposure"/>
    <s v="High"/>
  </r>
  <r>
    <s v="LN1015"/>
    <s v="C0282"/>
    <s v="B13"/>
    <x v="3"/>
    <n v="500000"/>
    <n v="0.12939999999999999"/>
    <d v="2024-04-20T00:00:00"/>
    <n v="24"/>
    <n v="90"/>
    <n v="425000"/>
    <x v="2"/>
    <n v="23756.822537354925"/>
    <d v="2026-04-20T00:00:00"/>
    <n v="0.85"/>
    <s v="Undersecured"/>
    <x v="2"/>
    <n v="339"/>
    <s v="High Risk"/>
    <s v="High Risk Exposure"/>
    <s v="High"/>
  </r>
  <r>
    <s v="LN1016"/>
    <s v="C0508"/>
    <s v="B15"/>
    <x v="3"/>
    <n v="1000000"/>
    <n v="0.14899999999999999"/>
    <d v="2022-04-11T00:00:00"/>
    <n v="12"/>
    <n v="20"/>
    <n v="960000"/>
    <x v="0"/>
    <n v="90211.132052613073"/>
    <d v="2023-04-11T00:00:00"/>
    <n v="0.96"/>
    <s v="Undersecured"/>
    <x v="9"/>
    <n v="842"/>
    <s v="Prime"/>
    <s v="High Risk Exposure"/>
    <s v="High"/>
  </r>
  <r>
    <s v="LN1017"/>
    <s v="C0213"/>
    <s v="B07"/>
    <x v="3"/>
    <n v="3000000"/>
    <n v="0.14249999999999999"/>
    <d v="2024-11-09T00:00:00"/>
    <n v="72"/>
    <n v="120"/>
    <n v="3300000"/>
    <x v="1"/>
    <n v="62219.535094084807"/>
    <d v="2030-11-09T00:00:00"/>
    <n v="1.1000000000000001"/>
    <s v="Secured"/>
    <x v="0"/>
    <n v="654"/>
    <s v="Medium Risk"/>
    <s v="High Risk Exposure"/>
    <s v="Critical"/>
  </r>
  <r>
    <s v="LN1018"/>
    <s v="C0369"/>
    <s v="B12"/>
    <x v="3"/>
    <n v="500000"/>
    <n v="0.1241"/>
    <d v="2021-02-19T00:00:00"/>
    <n v="36"/>
    <n v="10"/>
    <n v="685000"/>
    <x v="0"/>
    <n v="16705.237050907814"/>
    <d v="2024-02-19T00:00:00"/>
    <n v="1.37"/>
    <s v="Secured"/>
    <x v="12"/>
    <n v="439"/>
    <s v="High Risk"/>
    <s v="High Risk Exposure"/>
    <s v="High"/>
  </r>
  <r>
    <s v="LN1019"/>
    <s v="C0623"/>
    <s v="B10"/>
    <x v="2"/>
    <n v="25000000"/>
    <n v="0.1242"/>
    <d v="2021-05-24T00:00:00"/>
    <n v="48"/>
    <n v="0"/>
    <n v="28750000"/>
    <x v="0"/>
    <n v="663513.0758730548"/>
    <d v="2025-05-24T00:00:00"/>
    <n v="1.1499999999999999"/>
    <s v="Secured"/>
    <x v="3"/>
    <n v="726"/>
    <s v="Low Risk"/>
    <s v="Normal"/>
    <s v="Normal"/>
  </r>
  <r>
    <s v="LN1020"/>
    <s v="C0670"/>
    <s v="B03"/>
    <x v="2"/>
    <n v="6000000"/>
    <n v="0.126"/>
    <d v="2024-06-25T00:00:00"/>
    <n v="48"/>
    <n v="0"/>
    <n v="5460000"/>
    <x v="0"/>
    <n v="159776.35031381017"/>
    <d v="2028-06-25T00:00:00"/>
    <n v="0.91"/>
    <s v="Undersecured"/>
    <x v="7"/>
    <n v="616"/>
    <s v="Medium Risk"/>
    <s v="High Risk Exposure"/>
    <s v="High"/>
  </r>
  <r>
    <s v="LN1021"/>
    <s v="C0029"/>
    <s v="B03"/>
    <x v="2"/>
    <n v="6000000"/>
    <n v="0.1361"/>
    <d v="2022-03-22T00:00:00"/>
    <n v="24"/>
    <n v="0"/>
    <n v="8460000"/>
    <x v="0"/>
    <n v="286973.08562305954"/>
    <d v="2024-03-22T00:00:00"/>
    <n v="1.41"/>
    <s v="Secured"/>
    <x v="7"/>
    <n v="376"/>
    <s v="High Risk"/>
    <s v="High Risk Exposure"/>
    <s v="High"/>
  </r>
  <r>
    <s v="LN1022"/>
    <s v="C0421"/>
    <s v="B07"/>
    <x v="0"/>
    <n v="1000000"/>
    <n v="0.15079999999999999"/>
    <d v="2021-01-05T00:00:00"/>
    <n v="72"/>
    <n v="45"/>
    <n v="520000"/>
    <x v="2"/>
    <n v="21188.482720481683"/>
    <d v="2027-01-05T00:00:00"/>
    <n v="0.52"/>
    <s v="Undersecured"/>
    <x v="0"/>
    <n v="789"/>
    <s v="Very Low Risk"/>
    <s v="High Risk Exposure"/>
    <s v="High"/>
  </r>
  <r>
    <s v="LN1023"/>
    <s v="C0191"/>
    <s v="B09"/>
    <x v="1"/>
    <n v="500000"/>
    <n v="0.24529999999999999"/>
    <d v="2021-12-22T00:00:00"/>
    <n v="24"/>
    <n v="0"/>
    <n v="0"/>
    <x v="0"/>
    <n v="26567.997094441253"/>
    <d v="2023-12-22T00:00:00"/>
    <n v="0"/>
    <s v="Undersecured"/>
    <x v="8"/>
    <n v="678"/>
    <s v="Low Risk"/>
    <s v="High Risk Exposure"/>
    <s v="High"/>
  </r>
  <r>
    <s v="LN1024"/>
    <s v="C0258"/>
    <s v="B15"/>
    <x v="1"/>
    <n v="1000000"/>
    <n v="0.24349999999999999"/>
    <d v="2025-04-24T00:00:00"/>
    <n v="36"/>
    <n v="90"/>
    <n v="0"/>
    <x v="2"/>
    <n v="39416.857256779273"/>
    <d v="2028-04-24T00:00:00"/>
    <n v="0"/>
    <s v="Undersecured"/>
    <x v="9"/>
    <n v="807"/>
    <s v="Prime"/>
    <s v="High Risk Exposure"/>
    <s v="High"/>
  </r>
  <r>
    <s v="LN1025"/>
    <s v="C0547"/>
    <s v="B04"/>
    <x v="1"/>
    <n v="1000000"/>
    <n v="0.27600000000000002"/>
    <d v="2023-02-15T00:00:00"/>
    <n v="48"/>
    <n v="0"/>
    <n v="0"/>
    <x v="0"/>
    <n v="34623.646226469769"/>
    <d v="2027-02-15T00:00:00"/>
    <n v="0"/>
    <s v="Undersecured"/>
    <x v="14"/>
    <n v="733"/>
    <s v="Low Risk"/>
    <s v="High Risk Exposure"/>
    <s v="High"/>
  </r>
  <r>
    <s v="LN1026"/>
    <s v="C0128"/>
    <s v="B06"/>
    <x v="1"/>
    <n v="1000000"/>
    <n v="0.1726"/>
    <d v="2020-05-20T00:00:00"/>
    <n v="72"/>
    <n v="0"/>
    <n v="0"/>
    <x v="0"/>
    <n v="22391.457672724944"/>
    <d v="2026-05-20T00:00:00"/>
    <n v="0"/>
    <s v="Undersecured"/>
    <x v="6"/>
    <n v="308"/>
    <s v="High Risk"/>
    <s v="High Risk Exposure"/>
    <s v="High"/>
  </r>
  <r>
    <s v="LN1027"/>
    <s v="C0697"/>
    <s v="B10"/>
    <x v="0"/>
    <n v="1000000"/>
    <n v="0.16819999999999999"/>
    <d v="2022-11-08T00:00:00"/>
    <n v="12"/>
    <n v="20"/>
    <n v="1360000"/>
    <x v="0"/>
    <n v="91119.351678070903"/>
    <d v="2023-11-08T00:00:00"/>
    <n v="1.36"/>
    <s v="Secured"/>
    <x v="3"/>
    <n v="389"/>
    <s v="High Risk"/>
    <s v="High Risk Exposure"/>
    <s v="High"/>
  </r>
  <r>
    <s v="LN1028"/>
    <s v="C0479"/>
    <s v="B07"/>
    <x v="3"/>
    <n v="1000000"/>
    <n v="0.18629999999999999"/>
    <d v="2022-04-11T00:00:00"/>
    <n v="60"/>
    <n v="0"/>
    <n v="1280000"/>
    <x v="0"/>
    <n v="25737.388314101612"/>
    <d v="2027-04-11T00:00:00"/>
    <n v="1.28"/>
    <s v="Secured"/>
    <x v="0"/>
    <n v="430"/>
    <s v="High Risk"/>
    <s v="High Risk Exposure"/>
    <s v="High"/>
  </r>
  <r>
    <s v="LN1029"/>
    <s v="C0411"/>
    <s v="B11"/>
    <x v="1"/>
    <n v="100000"/>
    <n v="0.26550000000000001"/>
    <d v="2022-09-05T00:00:00"/>
    <n v="48"/>
    <n v="90"/>
    <n v="0"/>
    <x v="2"/>
    <n v="3402.7472013232787"/>
    <d v="2026-09-05T00:00:00"/>
    <n v="0"/>
    <s v="Undersecured"/>
    <x v="10"/>
    <n v="687"/>
    <s v="Low Risk"/>
    <s v="High Risk Exposure"/>
    <s v="High"/>
  </r>
  <r>
    <s v="LN1030"/>
    <s v="C0641"/>
    <s v="B09"/>
    <x v="0"/>
    <n v="25000000"/>
    <n v="0.17849999999999999"/>
    <d v="2020-11-23T00:00:00"/>
    <n v="24"/>
    <n v="10"/>
    <n v="27750000"/>
    <x v="0"/>
    <n v="1246291.3858376576"/>
    <d v="2022-11-23T00:00:00"/>
    <n v="1.1100000000000001"/>
    <s v="Secured"/>
    <x v="8"/>
    <n v="790"/>
    <s v="Very Low Risk"/>
    <s v="Normal"/>
    <s v="Normal"/>
  </r>
  <r>
    <s v="LN1031"/>
    <s v="C0500"/>
    <s v="B06"/>
    <x v="2"/>
    <n v="6000000"/>
    <n v="9.5899999999999999E-2"/>
    <d v="2025-10-11T00:00:00"/>
    <n v="12"/>
    <n v="45"/>
    <n v="6300000"/>
    <x v="2"/>
    <n v="526351.88542669918"/>
    <d v="2026-10-11T00:00:00"/>
    <n v="1.05"/>
    <s v="Secured"/>
    <x v="6"/>
    <n v="428"/>
    <s v="High Risk"/>
    <s v="High Risk Exposure"/>
    <s v="High"/>
  </r>
  <r>
    <s v="LN1032"/>
    <s v="C0495"/>
    <s v="B01"/>
    <x v="3"/>
    <n v="3000000"/>
    <n v="0.1241"/>
    <d v="2020-07-03T00:00:00"/>
    <n v="24"/>
    <n v="10"/>
    <n v="2610000"/>
    <x v="0"/>
    <n v="141795.5030097311"/>
    <d v="2022-07-03T00:00:00"/>
    <n v="0.87"/>
    <s v="Undersecured"/>
    <x v="1"/>
    <n v="519"/>
    <s v="High Risk"/>
    <s v="High Risk Exposure"/>
    <s v="High"/>
  </r>
  <r>
    <s v="LN1033"/>
    <s v="C0038"/>
    <s v="B04"/>
    <x v="3"/>
    <n v="6000000"/>
    <n v="0.15340000000000001"/>
    <d v="2020-02-27T00:00:00"/>
    <n v="24"/>
    <n v="20"/>
    <n v="4320000"/>
    <x v="0"/>
    <n v="291890.05759520142"/>
    <d v="2022-02-27T00:00:00"/>
    <n v="0.72"/>
    <s v="Undersecured"/>
    <x v="14"/>
    <n v="456"/>
    <s v="High Risk"/>
    <s v="High Risk Exposure"/>
    <s v="High"/>
  </r>
  <r>
    <s v="LN1034"/>
    <s v="C0366"/>
    <s v="B03"/>
    <x v="2"/>
    <n v="6000000"/>
    <n v="9.8400000000000001E-2"/>
    <d v="2024-03-13T00:00:00"/>
    <n v="24"/>
    <n v="20"/>
    <n v="6300000"/>
    <x v="0"/>
    <n v="276426.68061829614"/>
    <d v="2026-03-13T00:00:00"/>
    <n v="1.05"/>
    <s v="Secured"/>
    <x v="7"/>
    <n v="603"/>
    <s v="Medium Risk"/>
    <s v="Normal"/>
    <s v="Normal"/>
  </r>
  <r>
    <s v="LN1035"/>
    <s v="C0472"/>
    <s v="B07"/>
    <x v="0"/>
    <n v="25000000"/>
    <n v="0.1671"/>
    <d v="2020-10-06T00:00:00"/>
    <n v="12"/>
    <n v="0"/>
    <n v="25500000"/>
    <x v="0"/>
    <n v="2276679.6007061894"/>
    <d v="2021-10-06T00:00:00"/>
    <n v="1.02"/>
    <s v="Secured"/>
    <x v="0"/>
    <n v="767"/>
    <s v="Very Low Risk"/>
    <s v="Normal"/>
    <s v="Normal"/>
  </r>
  <r>
    <s v="LN1036"/>
    <s v="C0507"/>
    <s v="B14"/>
    <x v="3"/>
    <n v="1000000"/>
    <n v="0.16900000000000001"/>
    <d v="2022-11-02T00:00:00"/>
    <n v="48"/>
    <n v="90"/>
    <n v="1080000"/>
    <x v="2"/>
    <n v="28803.331788462106"/>
    <d v="2026-11-02T00:00:00"/>
    <n v="1.08"/>
    <s v="Secured"/>
    <x v="13"/>
    <n v="734"/>
    <s v="Low Risk"/>
    <s v="High Risk Exposure"/>
    <s v="High"/>
  </r>
  <r>
    <s v="LN1037"/>
    <s v="C0613"/>
    <s v="B11"/>
    <x v="2"/>
    <n v="25000000"/>
    <n v="0.11990000000000001"/>
    <d v="2024-06-25T00:00:00"/>
    <n v="72"/>
    <n v="45"/>
    <n v="22500000"/>
    <x v="2"/>
    <n v="488624.81590032385"/>
    <d v="2030-06-25T00:00:00"/>
    <n v="0.9"/>
    <s v="Undersecured"/>
    <x v="10"/>
    <n v="764"/>
    <s v="Very Low Risk"/>
    <s v="High Risk Exposure"/>
    <s v="High"/>
  </r>
  <r>
    <s v="LN1038"/>
    <s v="C0305"/>
    <s v="B12"/>
    <x v="0"/>
    <n v="6000000"/>
    <n v="0.1696"/>
    <d v="2024-07-25T00:00:00"/>
    <n v="24"/>
    <n v="0"/>
    <n v="3840000"/>
    <x v="0"/>
    <n v="296538.27814903948"/>
    <d v="2026-07-25T00:00:00"/>
    <n v="0.64"/>
    <s v="Undersecured"/>
    <x v="12"/>
    <n v="654"/>
    <s v="Medium Risk"/>
    <s v="High Risk Exposure"/>
    <s v="High"/>
  </r>
  <r>
    <s v="LN1039"/>
    <s v="C0104"/>
    <s v="B04"/>
    <x v="2"/>
    <n v="6000000"/>
    <n v="0.1105"/>
    <d v="2021-01-24T00:00:00"/>
    <n v="72"/>
    <n v="0"/>
    <n v="3480000"/>
    <x v="0"/>
    <n v="114358.18978661644"/>
    <d v="2027-01-24T00:00:00"/>
    <n v="0.57999999999999996"/>
    <s v="Undersecured"/>
    <x v="14"/>
    <n v="302"/>
    <s v="High Risk"/>
    <s v="High Risk Exposure"/>
    <s v="High"/>
  </r>
  <r>
    <s v="LN1040"/>
    <s v="C0183"/>
    <s v="B10"/>
    <x v="2"/>
    <n v="6000000"/>
    <n v="0.115"/>
    <d v="2020-06-03T00:00:00"/>
    <n v="24"/>
    <n v="5"/>
    <n v="7980000"/>
    <x v="0"/>
    <n v="281041.891792076"/>
    <d v="2022-06-03T00:00:00"/>
    <n v="1.33"/>
    <s v="Secured"/>
    <x v="3"/>
    <n v="561"/>
    <s v="High Risk"/>
    <s v="High Risk Exposure"/>
    <s v="High"/>
  </r>
  <r>
    <s v="LN1041"/>
    <s v="C0596"/>
    <s v="B14"/>
    <x v="0"/>
    <n v="1000000"/>
    <n v="0.219"/>
    <d v="2020-11-15T00:00:00"/>
    <n v="12"/>
    <n v="0"/>
    <n v="890000"/>
    <x v="0"/>
    <n v="93546.258906044881"/>
    <d v="2021-11-15T00:00:00"/>
    <n v="0.89"/>
    <s v="Undersecured"/>
    <x v="13"/>
    <n v="755"/>
    <s v="Very Low Risk"/>
    <s v="High Risk Exposure"/>
    <s v="High"/>
  </r>
  <r>
    <s v="LN1042"/>
    <s v="C0692"/>
    <s v="B12"/>
    <x v="0"/>
    <n v="25000000"/>
    <n v="0.22070000000000001"/>
    <d v="2025-05-25T00:00:00"/>
    <n v="48"/>
    <n v="5"/>
    <n v="22250000"/>
    <x v="0"/>
    <n v="788602.31893355458"/>
    <d v="2029-05-25T00:00:00"/>
    <n v="0.89"/>
    <s v="Undersecured"/>
    <x v="12"/>
    <n v="350"/>
    <s v="High Risk"/>
    <s v="High Risk Exposure"/>
    <s v="High"/>
  </r>
  <r>
    <s v="LN1043"/>
    <s v="C0391"/>
    <s v="B13"/>
    <x v="3"/>
    <n v="6000000"/>
    <n v="0.1862"/>
    <d v="2024-12-27T00:00:00"/>
    <n v="48"/>
    <n v="10"/>
    <n v="8520000"/>
    <x v="0"/>
    <n v="178199.80434273896"/>
    <d v="2028-12-27T00:00:00"/>
    <n v="1.42"/>
    <s v="Secured"/>
    <x v="2"/>
    <n v="333"/>
    <s v="High Risk"/>
    <s v="High Risk Exposure"/>
    <s v="High"/>
  </r>
  <r>
    <s v="LN1044"/>
    <s v="C0250"/>
    <s v="B10"/>
    <x v="0"/>
    <n v="6000000"/>
    <n v="0.23419999999999999"/>
    <d v="2024-01-28T00:00:00"/>
    <n v="60"/>
    <n v="120"/>
    <n v="6840000"/>
    <x v="1"/>
    <n v="170593.80045497441"/>
    <d v="2029-01-28T00:00:00"/>
    <n v="1.1399999999999999"/>
    <s v="Secured"/>
    <x v="3"/>
    <n v="631"/>
    <s v="Medium Risk"/>
    <s v="High Risk Exposure"/>
    <s v="Critical"/>
  </r>
  <r>
    <s v="LN1045"/>
    <s v="C0197"/>
    <s v="B05"/>
    <x v="2"/>
    <n v="6000000"/>
    <n v="9.8100000000000007E-2"/>
    <d v="2021-11-07T00:00:00"/>
    <n v="48"/>
    <n v="5"/>
    <n v="6720000"/>
    <x v="0"/>
    <n v="151628.60716254654"/>
    <d v="2025-11-07T00:00:00"/>
    <n v="1.1200000000000001"/>
    <s v="Secured"/>
    <x v="4"/>
    <n v="368"/>
    <s v="High Risk"/>
    <s v="High Risk Exposure"/>
    <s v="High"/>
  </r>
  <r>
    <s v="LN1046"/>
    <s v="C0556"/>
    <s v="B03"/>
    <x v="1"/>
    <n v="500000"/>
    <n v="0.22420000000000001"/>
    <d v="2025-06-17T00:00:00"/>
    <n v="36"/>
    <n v="0"/>
    <n v="0"/>
    <x v="0"/>
    <n v="19204.037068691883"/>
    <d v="2028-06-17T00:00:00"/>
    <n v="0"/>
    <s v="Undersecured"/>
    <x v="7"/>
    <n v="343"/>
    <s v="High Risk"/>
    <s v="High Risk Exposure"/>
    <s v="High"/>
  </r>
  <r>
    <s v="LN1047"/>
    <s v="C0400"/>
    <s v="B08"/>
    <x v="3"/>
    <n v="500000"/>
    <n v="0.1575"/>
    <d v="2020-04-13T00:00:00"/>
    <n v="12"/>
    <n v="5"/>
    <n v="450000"/>
    <x v="0"/>
    <n v="45306.297479081972"/>
    <d v="2021-04-13T00:00:00"/>
    <n v="0.9"/>
    <s v="Undersecured"/>
    <x v="5"/>
    <n v="441"/>
    <s v="High Risk"/>
    <s v="High Risk Exposure"/>
    <s v="High"/>
  </r>
  <r>
    <s v="LN1048"/>
    <s v="C0626"/>
    <s v="B01"/>
    <x v="0"/>
    <n v="1000000"/>
    <n v="0.2225"/>
    <d v="2022-10-19T00:00:00"/>
    <n v="60"/>
    <n v="120"/>
    <n v="580000"/>
    <x v="1"/>
    <n v="27761.241407753529"/>
    <d v="2027-10-19T00:00:00"/>
    <n v="0.57999999999999996"/>
    <s v="Undersecured"/>
    <x v="1"/>
    <n v="795"/>
    <s v="Very Low Risk"/>
    <s v="High Risk Exposure"/>
    <s v="Critical"/>
  </r>
  <r>
    <s v="LN1049"/>
    <s v="C0652"/>
    <s v="B13"/>
    <x v="2"/>
    <n v="25000000"/>
    <n v="9.5600000000000004E-2"/>
    <d v="2024-11-22T00:00:00"/>
    <n v="12"/>
    <n v="0"/>
    <n v="29750000"/>
    <x v="0"/>
    <n v="2192784.4714412051"/>
    <d v="2025-11-22T00:00:00"/>
    <n v="1.19"/>
    <s v="Secured"/>
    <x v="2"/>
    <n v="383"/>
    <s v="High Risk"/>
    <s v="High Risk Exposure"/>
    <s v="High"/>
  </r>
  <r>
    <s v="LN1050"/>
    <s v="C0588"/>
    <s v="B13"/>
    <x v="0"/>
    <n v="3000000"/>
    <n v="0.19009999999999999"/>
    <d v="2024-07-07T00:00:00"/>
    <n v="24"/>
    <n v="120"/>
    <n v="3360000"/>
    <x v="1"/>
    <n v="151240.42756018846"/>
    <d v="2026-07-07T00:00:00"/>
    <n v="1.1200000000000001"/>
    <s v="Secured"/>
    <x v="2"/>
    <n v="571"/>
    <s v="High Risk"/>
    <s v="High Risk Exposure"/>
    <s v="Critical"/>
  </r>
  <r>
    <s v="LN1051"/>
    <s v="C0101"/>
    <s v="B15"/>
    <x v="2"/>
    <n v="25000000"/>
    <n v="0.13320000000000001"/>
    <d v="2020-11-22T00:00:00"/>
    <n v="24"/>
    <n v="90"/>
    <n v="21250000"/>
    <x v="2"/>
    <n v="1192306.6854378504"/>
    <d v="2022-11-22T00:00:00"/>
    <n v="0.85"/>
    <s v="Undersecured"/>
    <x v="9"/>
    <n v="572"/>
    <s v="High Risk"/>
    <s v="High Risk Exposure"/>
    <s v="High"/>
  </r>
  <r>
    <s v="LN1052"/>
    <s v="C0216"/>
    <s v="B15"/>
    <x v="3"/>
    <n v="3000000"/>
    <n v="0.1588"/>
    <d v="2024-10-12T00:00:00"/>
    <n v="60"/>
    <n v="0"/>
    <n v="3090000"/>
    <x v="0"/>
    <n v="72763.029794821196"/>
    <d v="2029-10-12T00:00:00"/>
    <n v="1.03"/>
    <s v="Secured"/>
    <x v="9"/>
    <n v="457"/>
    <s v="High Risk"/>
    <s v="High Risk Exposure"/>
    <s v="High"/>
  </r>
  <r>
    <s v="LN1053"/>
    <s v="C0045"/>
    <s v="B01"/>
    <x v="0"/>
    <n v="6000000"/>
    <n v="0.2288"/>
    <d v="2023-12-02T00:00:00"/>
    <n v="72"/>
    <n v="0"/>
    <n v="6900000"/>
    <x v="0"/>
    <n v="153906.6811399305"/>
    <d v="2029-12-02T00:00:00"/>
    <n v="1.1499999999999999"/>
    <s v="Secured"/>
    <x v="1"/>
    <n v="500"/>
    <s v="High Risk"/>
    <s v="High Risk Exposure"/>
    <s v="High"/>
  </r>
  <r>
    <s v="LN1054"/>
    <s v="C0283"/>
    <s v="B08"/>
    <x v="2"/>
    <n v="6000000"/>
    <n v="0.1187"/>
    <d v="2023-02-20T00:00:00"/>
    <n v="60"/>
    <n v="0"/>
    <n v="6720000"/>
    <x v="0"/>
    <n v="133072.86129360198"/>
    <d v="2028-02-20T00:00:00"/>
    <n v="1.1200000000000001"/>
    <s v="Secured"/>
    <x v="5"/>
    <n v="487"/>
    <s v="High Risk"/>
    <s v="High Risk Exposure"/>
    <s v="High"/>
  </r>
  <r>
    <s v="LN1055"/>
    <s v="C0247"/>
    <s v="B04"/>
    <x v="3"/>
    <n v="500000"/>
    <n v="0.1595"/>
    <d v="2022-12-13T00:00:00"/>
    <n v="48"/>
    <n v="0"/>
    <n v="320000"/>
    <x v="0"/>
    <n v="14157.339860014557"/>
    <d v="2026-12-13T00:00:00"/>
    <n v="0.64"/>
    <s v="Undersecured"/>
    <x v="14"/>
    <n v="348"/>
    <s v="High Risk"/>
    <s v="High Risk Exposure"/>
    <s v="High"/>
  </r>
  <r>
    <s v="LN1056"/>
    <s v="C0542"/>
    <s v="B09"/>
    <x v="1"/>
    <n v="100000"/>
    <n v="0.2591"/>
    <d v="2025-02-18T00:00:00"/>
    <n v="24"/>
    <n v="10"/>
    <n v="0"/>
    <x v="0"/>
    <n v="5382.9185543914155"/>
    <d v="2027-02-18T00:00:00"/>
    <n v="0"/>
    <s v="Undersecured"/>
    <x v="8"/>
    <n v="635"/>
    <s v="Medium Risk"/>
    <s v="High Risk Exposure"/>
    <s v="High"/>
  </r>
  <r>
    <s v="LN1057"/>
    <s v="C0086"/>
    <s v="B05"/>
    <x v="2"/>
    <n v="25000000"/>
    <n v="0.11210000000000001"/>
    <d v="2020-03-08T00:00:00"/>
    <n v="12"/>
    <n v="120"/>
    <n v="29500000"/>
    <x v="1"/>
    <n v="2211991.0800713194"/>
    <d v="2021-03-08T00:00:00"/>
    <n v="1.18"/>
    <s v="Secured"/>
    <x v="4"/>
    <n v="521"/>
    <s v="High Risk"/>
    <s v="High Risk Exposure"/>
    <s v="Critical"/>
  </r>
  <r>
    <s v="LN1058"/>
    <s v="C0065"/>
    <s v="B11"/>
    <x v="3"/>
    <n v="1000000"/>
    <n v="0.16750000000000001"/>
    <d v="2021-06-20T00:00:00"/>
    <n v="48"/>
    <n v="90"/>
    <n v="1230000"/>
    <x v="2"/>
    <n v="28725.863507160379"/>
    <d v="2025-06-20T00:00:00"/>
    <n v="1.23"/>
    <s v="Secured"/>
    <x v="10"/>
    <n v="450"/>
    <s v="High Risk"/>
    <s v="High Risk Exposure"/>
    <s v="High"/>
  </r>
  <r>
    <s v="LN1059"/>
    <s v="C0635"/>
    <s v="B08"/>
    <x v="0"/>
    <n v="1000000"/>
    <n v="0.23810000000000001"/>
    <d v="2021-02-10T00:00:00"/>
    <n v="72"/>
    <n v="90"/>
    <n v="1020000"/>
    <x v="2"/>
    <n v="26211.610349341929"/>
    <d v="2027-02-10T00:00:00"/>
    <n v="1.02"/>
    <s v="Secured"/>
    <x v="5"/>
    <n v="657"/>
    <s v="Medium Risk"/>
    <s v="High Risk Exposure"/>
    <s v="High"/>
  </r>
  <r>
    <s v="LN1060"/>
    <s v="C0641"/>
    <s v="B12"/>
    <x v="2"/>
    <n v="6000000"/>
    <n v="9.6600000000000005E-2"/>
    <d v="2020-07-04T00:00:00"/>
    <n v="24"/>
    <n v="0"/>
    <n v="8280000"/>
    <x v="0"/>
    <n v="275928.9445316334"/>
    <d v="2022-07-04T00:00:00"/>
    <n v="1.38"/>
    <s v="Secured"/>
    <x v="12"/>
    <n v="790"/>
    <s v="Very Low Risk"/>
    <s v="Normal"/>
    <s v="Normal"/>
  </r>
  <r>
    <s v="LN1061"/>
    <s v="C0185"/>
    <s v="B14"/>
    <x v="1"/>
    <n v="500000"/>
    <n v="0.1694"/>
    <d v="2022-03-08T00:00:00"/>
    <n v="36"/>
    <n v="120"/>
    <n v="0"/>
    <x v="1"/>
    <n v="17811.436818681595"/>
    <d v="2025-03-08T00:00:00"/>
    <n v="0"/>
    <s v="Undersecured"/>
    <x v="13"/>
    <n v="732"/>
    <s v="Low Risk"/>
    <s v="High Risk Exposure"/>
    <s v="Critical"/>
  </r>
  <r>
    <s v="LN1062"/>
    <s v="C0209"/>
    <s v="B01"/>
    <x v="0"/>
    <n v="3000000"/>
    <n v="0.1774"/>
    <d v="2022-07-03T00:00:00"/>
    <n v="36"/>
    <n v="5"/>
    <n v="2610000"/>
    <x v="0"/>
    <n v="108066.3016240569"/>
    <d v="2025-07-03T00:00:00"/>
    <n v="0.87"/>
    <s v="Undersecured"/>
    <x v="1"/>
    <n v="385"/>
    <s v="High Risk"/>
    <s v="High Risk Exposure"/>
    <s v="High"/>
  </r>
  <r>
    <s v="LN1063"/>
    <s v="C0434"/>
    <s v="B09"/>
    <x v="1"/>
    <n v="100000"/>
    <n v="0.23350000000000001"/>
    <d v="2020-04-05T00:00:00"/>
    <n v="60"/>
    <n v="120"/>
    <n v="0"/>
    <x v="1"/>
    <n v="2839.1922758243195"/>
    <d v="2025-04-05T00:00:00"/>
    <n v="0"/>
    <s v="Undersecured"/>
    <x v="8"/>
    <n v="473"/>
    <s v="High Risk"/>
    <s v="High Risk Exposure"/>
    <s v="Critical"/>
  </r>
  <r>
    <s v="LN1064"/>
    <s v="C0004"/>
    <s v="B08"/>
    <x v="0"/>
    <n v="6000000"/>
    <n v="0.1643"/>
    <d v="2022-01-19T00:00:00"/>
    <n v="24"/>
    <n v="45"/>
    <n v="6420000"/>
    <x v="2"/>
    <n v="295012.90289826744"/>
    <d v="2024-01-19T00:00:00"/>
    <n v="1.07"/>
    <s v="Secured"/>
    <x v="5"/>
    <n v="555"/>
    <s v="High Risk"/>
    <s v="High Risk Exposure"/>
    <s v="High"/>
  </r>
  <r>
    <s v="LN1065"/>
    <s v="C0099"/>
    <s v="B12"/>
    <x v="0"/>
    <n v="25000000"/>
    <n v="0.2072"/>
    <d v="2023-04-17T00:00:00"/>
    <n v="24"/>
    <n v="120"/>
    <n v="12500000"/>
    <x v="1"/>
    <n v="1281205.6360764508"/>
    <d v="2025-04-17T00:00:00"/>
    <n v="0.5"/>
    <s v="Undersecured"/>
    <x v="12"/>
    <n v="332"/>
    <s v="High Risk"/>
    <s v="High Risk Exposure"/>
    <s v="Critical"/>
  </r>
  <r>
    <s v="LN1066"/>
    <s v="C0504"/>
    <s v="B01"/>
    <x v="1"/>
    <n v="100000"/>
    <n v="0.22470000000000001"/>
    <d v="2024-04-27T00:00:00"/>
    <n v="60"/>
    <n v="45"/>
    <n v="0"/>
    <x v="2"/>
    <n v="2788.6800941320339"/>
    <d v="2029-04-27T00:00:00"/>
    <n v="0"/>
    <s v="Undersecured"/>
    <x v="1"/>
    <n v="834"/>
    <s v="Prime"/>
    <s v="High Risk Exposure"/>
    <s v="High"/>
  </r>
  <r>
    <s v="LN1067"/>
    <s v="C0407"/>
    <s v="B01"/>
    <x v="3"/>
    <n v="6000000"/>
    <n v="0.19"/>
    <d v="2020-08-24T00:00:00"/>
    <n v="72"/>
    <n v="0"/>
    <n v="7320000"/>
    <x v="0"/>
    <n v="140260.33786654528"/>
    <d v="2026-08-24T00:00:00"/>
    <n v="1.22"/>
    <s v="Secured"/>
    <x v="1"/>
    <n v="813"/>
    <s v="Prime"/>
    <s v="Normal"/>
    <s v="Normal"/>
  </r>
  <r>
    <s v="LN1068"/>
    <s v="C0477"/>
    <s v="B11"/>
    <x v="1"/>
    <n v="100000"/>
    <n v="0.25190000000000001"/>
    <d v="2023-08-24T00:00:00"/>
    <n v="12"/>
    <n v="120"/>
    <n v="0"/>
    <x v="1"/>
    <n v="9513.6428849035165"/>
    <d v="2024-08-24T00:00:00"/>
    <n v="0"/>
    <s v="Undersecured"/>
    <x v="10"/>
    <n v="518"/>
    <s v="High Risk"/>
    <s v="High Risk Exposure"/>
    <s v="Critical"/>
  </r>
  <r>
    <s v="LN1069"/>
    <s v="C0446"/>
    <s v="B03"/>
    <x v="1"/>
    <n v="500000"/>
    <n v="0.1638"/>
    <d v="2022-05-18T00:00:00"/>
    <n v="36"/>
    <n v="20"/>
    <n v="0"/>
    <x v="0"/>
    <n v="17672.463901564333"/>
    <d v="2025-05-18T00:00:00"/>
    <n v="0"/>
    <s v="Undersecured"/>
    <x v="7"/>
    <n v="751"/>
    <s v="Very Low Risk"/>
    <s v="High Risk Exposure"/>
    <s v="High"/>
  </r>
  <r>
    <s v="LN1070"/>
    <s v="C0414"/>
    <s v="B09"/>
    <x v="3"/>
    <n v="500000"/>
    <n v="0.1464"/>
    <d v="2023-12-05T00:00:00"/>
    <n v="36"/>
    <n v="10"/>
    <n v="660000"/>
    <x v="0"/>
    <n v="17244.647340754236"/>
    <d v="2026-12-05T00:00:00"/>
    <n v="1.32"/>
    <s v="Secured"/>
    <x v="8"/>
    <n v="708"/>
    <s v="Low Risk"/>
    <s v="Normal"/>
    <s v="Normal"/>
  </r>
  <r>
    <s v="LN1071"/>
    <s v="C0194"/>
    <s v="B01"/>
    <x v="3"/>
    <n v="500000"/>
    <n v="0.161"/>
    <d v="2020-02-03T00:00:00"/>
    <n v="72"/>
    <n v="0"/>
    <n v="500000"/>
    <x v="0"/>
    <n v="10873.467664305948"/>
    <d v="2026-02-03T00:00:00"/>
    <n v="1"/>
    <s v="Secured"/>
    <x v="1"/>
    <n v="526"/>
    <s v="High Risk"/>
    <s v="High Risk Exposure"/>
    <s v="High"/>
  </r>
  <r>
    <s v="LN1072"/>
    <s v="C0456"/>
    <s v="B07"/>
    <x v="3"/>
    <n v="6000000"/>
    <n v="0.1479"/>
    <d v="2025-03-25T00:00:00"/>
    <n v="12"/>
    <n v="90"/>
    <n v="8100000"/>
    <x v="2"/>
    <n v="540955.49600886286"/>
    <d v="2026-03-25T00:00:00"/>
    <n v="1.35"/>
    <s v="Secured"/>
    <x v="0"/>
    <n v="688"/>
    <s v="Low Risk"/>
    <s v="High Risk Exposure"/>
    <s v="High"/>
  </r>
  <r>
    <s v="LN1073"/>
    <s v="C0590"/>
    <s v="B12"/>
    <x v="3"/>
    <n v="6000000"/>
    <n v="0.1666"/>
    <d v="2021-11-02T00:00:00"/>
    <n v="24"/>
    <n v="90"/>
    <n v="3480000"/>
    <x v="2"/>
    <n v="295674.30209072662"/>
    <d v="2023-11-02T00:00:00"/>
    <n v="0.57999999999999996"/>
    <s v="Undersecured"/>
    <x v="12"/>
    <n v="369"/>
    <s v="High Risk"/>
    <s v="High Risk Exposure"/>
    <s v="High"/>
  </r>
  <r>
    <s v="LN1074"/>
    <s v="C0087"/>
    <s v="B09"/>
    <x v="0"/>
    <n v="6000000"/>
    <n v="0.23039999999999999"/>
    <d v="2023-01-14T00:00:00"/>
    <n v="12"/>
    <n v="0"/>
    <n v="5280000"/>
    <x v="0"/>
    <n v="564573.76054169284"/>
    <d v="2024-01-14T00:00:00"/>
    <n v="0.88"/>
    <s v="Undersecured"/>
    <x v="8"/>
    <n v="549"/>
    <s v="High Risk"/>
    <s v="High Risk Exposure"/>
    <s v="High"/>
  </r>
  <r>
    <s v="LN1075"/>
    <s v="C0319"/>
    <s v="B09"/>
    <x v="0"/>
    <n v="25000000"/>
    <n v="0.16569999999999999"/>
    <d v="2021-04-22T00:00:00"/>
    <n v="72"/>
    <n v="10"/>
    <n v="16500000"/>
    <x v="0"/>
    <n v="550171.93814264587"/>
    <d v="2027-04-22T00:00:00"/>
    <n v="0.66"/>
    <s v="Undersecured"/>
    <x v="8"/>
    <n v="502"/>
    <s v="High Risk"/>
    <s v="High Risk Exposure"/>
    <s v="High"/>
  </r>
  <r>
    <s v="LN1076"/>
    <s v="C0606"/>
    <s v="B02"/>
    <x v="1"/>
    <n v="500000"/>
    <n v="0.16719999999999999"/>
    <d v="2022-01-20T00:00:00"/>
    <n v="24"/>
    <n v="0"/>
    <n v="0"/>
    <x v="0"/>
    <n v="24653.915106179302"/>
    <d v="2024-01-20T00:00:00"/>
    <n v="0"/>
    <s v="Undersecured"/>
    <x v="11"/>
    <n v="597"/>
    <s v="Medium Risk"/>
    <s v="High Risk Exposure"/>
    <s v="High"/>
  </r>
  <r>
    <s v="LN1077"/>
    <s v="C0419"/>
    <s v="B12"/>
    <x v="2"/>
    <n v="25000000"/>
    <n v="0.12039999999999999"/>
    <d v="2025-09-15T00:00:00"/>
    <n v="12"/>
    <n v="0"/>
    <n v="26750000"/>
    <x v="0"/>
    <n v="2221687.5530238976"/>
    <d v="2026-09-15T00:00:00"/>
    <n v="1.07"/>
    <s v="Secured"/>
    <x v="12"/>
    <n v="775"/>
    <s v="Very Low Risk"/>
    <s v="Normal"/>
    <s v="Normal"/>
  </r>
  <r>
    <s v="LN1078"/>
    <s v="C0404"/>
    <s v="B06"/>
    <x v="2"/>
    <n v="80000000"/>
    <n v="9.2499999999999999E-2"/>
    <d v="2020-12-22T00:00:00"/>
    <n v="60"/>
    <n v="0"/>
    <n v="108000000"/>
    <x v="0"/>
    <n v="1670391.8635787333"/>
    <d v="2025-12-22T00:00:00"/>
    <n v="1.35"/>
    <s v="Secured"/>
    <x v="6"/>
    <n v="766"/>
    <s v="Very Low Risk"/>
    <s v="Normal"/>
    <s v="Normal"/>
  </r>
  <r>
    <s v="LN1079"/>
    <s v="C0178"/>
    <s v="B12"/>
    <x v="2"/>
    <n v="6000000"/>
    <n v="0.1087"/>
    <d v="2024-07-22T00:00:00"/>
    <n v="60"/>
    <n v="0"/>
    <n v="6600000"/>
    <x v="0"/>
    <n v="130065.88261941129"/>
    <d v="2029-07-22T00:00:00"/>
    <n v="1.1000000000000001"/>
    <s v="Secured"/>
    <x v="12"/>
    <n v="629"/>
    <s v="Medium Risk"/>
    <s v="Normal"/>
    <s v="Normal"/>
  </r>
  <r>
    <s v="LN1080"/>
    <s v="C0125"/>
    <s v="B09"/>
    <x v="0"/>
    <n v="3000000"/>
    <n v="0.15429999999999999"/>
    <d v="2021-06-21T00:00:00"/>
    <n v="12"/>
    <n v="0"/>
    <n v="1740000"/>
    <x v="0"/>
    <n v="271384.02449641895"/>
    <d v="2022-06-21T00:00:00"/>
    <n v="0.57999999999999996"/>
    <s v="Undersecured"/>
    <x v="8"/>
    <n v="810"/>
    <s v="Prime"/>
    <s v="High Risk Exposure"/>
    <s v="High"/>
  </r>
  <r>
    <s v="LN1081"/>
    <s v="C0134"/>
    <s v="B03"/>
    <x v="1"/>
    <n v="1000000"/>
    <n v="0.2356"/>
    <d v="2024-04-22T00:00:00"/>
    <n v="36"/>
    <n v="10"/>
    <n v="0"/>
    <x v="0"/>
    <n v="39002.200354179557"/>
    <d v="2027-04-22T00:00:00"/>
    <n v="0"/>
    <s v="Undersecured"/>
    <x v="7"/>
    <n v="447"/>
    <s v="High Risk"/>
    <s v="High Risk Exposure"/>
    <s v="High"/>
  </r>
  <r>
    <s v="LN1082"/>
    <s v="C0124"/>
    <s v="B08"/>
    <x v="0"/>
    <n v="25000000"/>
    <n v="0.22600000000000001"/>
    <d v="2024-12-13T00:00:00"/>
    <n v="60"/>
    <n v="90"/>
    <n v="25500000"/>
    <x v="2"/>
    <n v="699028.27906335134"/>
    <d v="2029-12-13T00:00:00"/>
    <n v="1.02"/>
    <s v="Secured"/>
    <x v="5"/>
    <n v="748"/>
    <s v="Very Low Risk"/>
    <s v="High Risk Exposure"/>
    <s v="High"/>
  </r>
  <r>
    <s v="LN1083"/>
    <s v="C0576"/>
    <s v="B15"/>
    <x v="1"/>
    <n v="500000"/>
    <n v="0.183"/>
    <d v="2023-08-16T00:00:00"/>
    <n v="60"/>
    <n v="5"/>
    <n v="0"/>
    <x v="0"/>
    <n v="12778.454404424139"/>
    <d v="2028-08-16T00:00:00"/>
    <n v="0"/>
    <s v="Undersecured"/>
    <x v="9"/>
    <n v="758"/>
    <s v="Very Low Risk"/>
    <s v="High Risk Exposure"/>
    <s v="High"/>
  </r>
  <r>
    <s v="LN1084"/>
    <s v="C0448"/>
    <s v="B09"/>
    <x v="3"/>
    <n v="6000000"/>
    <n v="0.15479999999999999"/>
    <d v="2022-04-12T00:00:00"/>
    <n v="24"/>
    <n v="90"/>
    <n v="8100000"/>
    <x v="2"/>
    <n v="292290.08257526706"/>
    <d v="2024-04-12T00:00:00"/>
    <n v="1.35"/>
    <s v="Secured"/>
    <x v="8"/>
    <n v="673"/>
    <s v="Low Risk"/>
    <s v="High Risk Exposure"/>
    <s v="High"/>
  </r>
  <r>
    <s v="LN1085"/>
    <s v="C0133"/>
    <s v="B06"/>
    <x v="2"/>
    <n v="80000000"/>
    <n v="0.10589999999999999"/>
    <d v="2021-10-02T00:00:00"/>
    <n v="12"/>
    <n v="20"/>
    <n v="55200000"/>
    <x v="0"/>
    <n v="7055242.2260023113"/>
    <d v="2022-10-02T00:00:00"/>
    <n v="0.69"/>
    <s v="Undersecured"/>
    <x v="6"/>
    <n v="325"/>
    <s v="High Risk"/>
    <s v="High Risk Exposure"/>
    <s v="High"/>
  </r>
  <r>
    <s v="LN1086"/>
    <s v="C0184"/>
    <s v="B14"/>
    <x v="1"/>
    <n v="250000"/>
    <n v="0.2024"/>
    <d v="2024-03-01T00:00:00"/>
    <n v="12"/>
    <n v="120"/>
    <n v="0"/>
    <x v="1"/>
    <n v="23187.352010239942"/>
    <d v="2025-03-01T00:00:00"/>
    <n v="0"/>
    <s v="Undersecured"/>
    <x v="13"/>
    <n v="707"/>
    <s v="Low Risk"/>
    <s v="High Risk Exposure"/>
    <s v="Critical"/>
  </r>
  <r>
    <s v="LN1087"/>
    <s v="C0589"/>
    <s v="B07"/>
    <x v="1"/>
    <n v="100000"/>
    <n v="0.21959999999999999"/>
    <d v="2024-01-15T00:00:00"/>
    <n v="60"/>
    <n v="0"/>
    <n v="0"/>
    <x v="0"/>
    <n v="2759.617414767411"/>
    <d v="2029-01-15T00:00:00"/>
    <n v="0"/>
    <s v="Undersecured"/>
    <x v="0"/>
    <n v="498"/>
    <s v="High Risk"/>
    <s v="High Risk Exposure"/>
    <s v="High"/>
  </r>
  <r>
    <s v="LN1088"/>
    <s v="C0231"/>
    <s v="B12"/>
    <x v="0"/>
    <n v="1000000"/>
    <n v="0.1492"/>
    <d v="2023-07-04T00:00:00"/>
    <n v="60"/>
    <n v="0"/>
    <n v="1170000"/>
    <x v="0"/>
    <n v="23747.957741655202"/>
    <d v="2028-07-04T00:00:00"/>
    <n v="1.17"/>
    <s v="Secured"/>
    <x v="12"/>
    <n v="535"/>
    <s v="High Risk"/>
    <s v="High Risk Exposure"/>
    <s v="High"/>
  </r>
  <r>
    <s v="LN1089"/>
    <s v="C0652"/>
    <s v="B12"/>
    <x v="1"/>
    <n v="250000"/>
    <n v="0.22869999999999999"/>
    <d v="2020-12-14T00:00:00"/>
    <n v="24"/>
    <n v="90"/>
    <n v="0"/>
    <x v="2"/>
    <n v="13077.196724549178"/>
    <d v="2022-12-14T00:00:00"/>
    <n v="0"/>
    <s v="Undersecured"/>
    <x v="12"/>
    <n v="383"/>
    <s v="High Risk"/>
    <s v="High Risk Exposure"/>
    <s v="High"/>
  </r>
  <r>
    <s v="LN1090"/>
    <s v="C0242"/>
    <s v="B09"/>
    <x v="1"/>
    <n v="250000"/>
    <n v="0.17169999999999999"/>
    <d v="2023-10-08T00:00:00"/>
    <n v="24"/>
    <n v="90"/>
    <n v="0"/>
    <x v="2"/>
    <n v="12380.996834153571"/>
    <d v="2025-10-08T00:00:00"/>
    <n v="0"/>
    <s v="Undersecured"/>
    <x v="8"/>
    <n v="463"/>
    <s v="High Risk"/>
    <s v="High Risk Exposure"/>
    <s v="High"/>
  </r>
  <r>
    <s v="LN1091"/>
    <s v="C0557"/>
    <s v="B12"/>
    <x v="3"/>
    <n v="6000000"/>
    <n v="0.1552"/>
    <d v="2022-03-26T00:00:00"/>
    <n v="60"/>
    <n v="0"/>
    <n v="6900000"/>
    <x v="0"/>
    <n v="144382.52970658307"/>
    <d v="2027-03-26T00:00:00"/>
    <n v="1.1499999999999999"/>
    <s v="Secured"/>
    <x v="12"/>
    <n v="376"/>
    <s v="High Risk"/>
    <s v="High Risk Exposure"/>
    <s v="High"/>
  </r>
  <r>
    <s v="LN1092"/>
    <s v="C0381"/>
    <s v="B08"/>
    <x v="1"/>
    <n v="100000"/>
    <n v="0.25190000000000001"/>
    <d v="2025-11-10T00:00:00"/>
    <n v="36"/>
    <n v="0"/>
    <n v="0"/>
    <x v="0"/>
    <n v="3986.0383478659164"/>
    <d v="2028-11-10T00:00:00"/>
    <n v="0"/>
    <s v="Undersecured"/>
    <x v="5"/>
    <n v="350"/>
    <s v="High Risk"/>
    <s v="High Risk Exposure"/>
    <s v="High"/>
  </r>
  <r>
    <s v="LN1093"/>
    <s v="C0691"/>
    <s v="B12"/>
    <x v="1"/>
    <n v="1000000"/>
    <n v="0.17069999999999999"/>
    <d v="2024-03-13T00:00:00"/>
    <n v="72"/>
    <n v="45"/>
    <n v="0"/>
    <x v="2"/>
    <n v="22285.208581888433"/>
    <d v="2030-03-13T00:00:00"/>
    <n v="0"/>
    <s v="Undersecured"/>
    <x v="12"/>
    <n v="735"/>
    <s v="Low Risk"/>
    <s v="High Risk Exposure"/>
    <s v="High"/>
  </r>
  <r>
    <s v="LN1094"/>
    <s v="C0629"/>
    <s v="B13"/>
    <x v="3"/>
    <n v="1000000"/>
    <n v="0.13189999999999999"/>
    <d v="2025-04-20T00:00:00"/>
    <n v="48"/>
    <n v="0"/>
    <n v="720000"/>
    <x v="0"/>
    <n v="26921.893687453859"/>
    <d v="2029-04-20T00:00:00"/>
    <n v="0.72"/>
    <s v="Undersecured"/>
    <x v="2"/>
    <n v="502"/>
    <s v="High Risk"/>
    <s v="High Risk Exposure"/>
    <s v="High"/>
  </r>
  <r>
    <s v="LN1095"/>
    <s v="C0679"/>
    <s v="B01"/>
    <x v="2"/>
    <n v="80000000"/>
    <n v="9.4799999999999995E-2"/>
    <d v="2024-01-05T00:00:00"/>
    <n v="36"/>
    <n v="20"/>
    <n v="72800000"/>
    <x v="0"/>
    <n v="2561888.1165171484"/>
    <d v="2027-01-05T00:00:00"/>
    <n v="0.91"/>
    <s v="Undersecured"/>
    <x v="1"/>
    <n v="514"/>
    <s v="High Risk"/>
    <s v="High Risk Exposure"/>
    <s v="High"/>
  </r>
  <r>
    <s v="LN1096"/>
    <s v="C0458"/>
    <s v="B05"/>
    <x v="0"/>
    <n v="1000000"/>
    <n v="0.1517"/>
    <d v="2022-08-15T00:00:00"/>
    <n v="60"/>
    <n v="0"/>
    <n v="520000"/>
    <x v="0"/>
    <n v="23879.258303828345"/>
    <d v="2027-08-15T00:00:00"/>
    <n v="0.52"/>
    <s v="Undersecured"/>
    <x v="4"/>
    <n v="698"/>
    <s v="Low Risk"/>
    <s v="High Risk Exposure"/>
    <s v="High"/>
  </r>
  <r>
    <s v="LN1097"/>
    <s v="C0578"/>
    <s v="B06"/>
    <x v="2"/>
    <n v="6000000"/>
    <n v="9.3200000000000005E-2"/>
    <d v="2022-04-08T00:00:00"/>
    <n v="60"/>
    <n v="45"/>
    <n v="7260000"/>
    <x v="2"/>
    <n v="125484.03380704313"/>
    <d v="2027-04-08T00:00:00"/>
    <n v="1.21"/>
    <s v="Secured"/>
    <x v="6"/>
    <n v="642"/>
    <s v="Medium Risk"/>
    <s v="High Risk Exposure"/>
    <s v="High"/>
  </r>
  <r>
    <s v="LN1098"/>
    <s v="C0131"/>
    <s v="B10"/>
    <x v="0"/>
    <n v="25000000"/>
    <n v="0.2157"/>
    <d v="2021-04-08T00:00:00"/>
    <n v="24"/>
    <n v="90"/>
    <n v="34250000"/>
    <x v="2"/>
    <n v="1291651.3283548569"/>
    <d v="2023-04-08T00:00:00"/>
    <n v="1.37"/>
    <s v="Secured"/>
    <x v="3"/>
    <n v="324"/>
    <s v="High Risk"/>
    <s v="High Risk Exposure"/>
    <s v="High"/>
  </r>
  <r>
    <s v="LN1099"/>
    <s v="C0641"/>
    <s v="B01"/>
    <x v="2"/>
    <n v="6000000"/>
    <n v="0.13089999999999999"/>
    <d v="2020-08-15T00:00:00"/>
    <n v="60"/>
    <n v="0"/>
    <n v="4440000"/>
    <x v="0"/>
    <n v="136795.02878416455"/>
    <d v="2025-08-15T00:00:00"/>
    <n v="0.74"/>
    <s v="Undersecured"/>
    <x v="1"/>
    <n v="790"/>
    <s v="Very Low Risk"/>
    <s v="High Risk Exposure"/>
    <s v="High"/>
  </r>
  <r>
    <s v="LN1100"/>
    <s v="C0211"/>
    <s v="B05"/>
    <x v="0"/>
    <n v="1000000"/>
    <n v="0.20549999999999999"/>
    <d v="2024-08-18T00:00:00"/>
    <n v="12"/>
    <n v="10"/>
    <n v="1140000"/>
    <x v="0"/>
    <n v="92897.937513020763"/>
    <d v="2025-08-18T00:00:00"/>
    <n v="1.1399999999999999"/>
    <s v="Secured"/>
    <x v="4"/>
    <n v="724"/>
    <s v="Low Risk"/>
    <s v="Normal"/>
    <s v="Normal"/>
  </r>
  <r>
    <s v="LN1101"/>
    <s v="C0186"/>
    <s v="B06"/>
    <x v="0"/>
    <n v="25000000"/>
    <n v="0.17699999999999999"/>
    <d v="2021-12-28T00:00:00"/>
    <n v="60"/>
    <n v="20"/>
    <n v="21250000"/>
    <x v="0"/>
    <n v="630762.76364111248"/>
    <d v="2026-12-28T00:00:00"/>
    <n v="0.85"/>
    <s v="Undersecured"/>
    <x v="6"/>
    <n v="808"/>
    <s v="Prime"/>
    <s v="High Risk Exposure"/>
    <s v="High"/>
  </r>
  <r>
    <s v="LN1102"/>
    <s v="C0602"/>
    <s v="B05"/>
    <x v="3"/>
    <n v="6000000"/>
    <n v="0.1275"/>
    <d v="2025-04-28T00:00:00"/>
    <n v="72"/>
    <n v="0"/>
    <n v="7140000"/>
    <x v="0"/>
    <n v="119654.40014776078"/>
    <d v="2031-04-28T00:00:00"/>
    <n v="1.19"/>
    <s v="Secured"/>
    <x v="4"/>
    <n v="839"/>
    <s v="Prime"/>
    <s v="Normal"/>
    <s v="Normal"/>
  </r>
  <r>
    <s v="LN1103"/>
    <s v="C0602"/>
    <s v="B11"/>
    <x v="1"/>
    <n v="250000"/>
    <n v="0.21329999999999999"/>
    <d v="2020-06-14T00:00:00"/>
    <n v="48"/>
    <n v="10"/>
    <n v="0"/>
    <x v="0"/>
    <n v="7785.866228907179"/>
    <d v="2024-06-14T00:00:00"/>
    <n v="0"/>
    <s v="Undersecured"/>
    <x v="10"/>
    <n v="839"/>
    <s v="Prime"/>
    <s v="High Risk Exposure"/>
    <s v="High"/>
  </r>
  <r>
    <s v="LN1104"/>
    <s v="C0339"/>
    <s v="B06"/>
    <x v="2"/>
    <n v="80000000"/>
    <n v="0.13830000000000001"/>
    <d v="2025-03-11T00:00:00"/>
    <n v="24"/>
    <n v="45"/>
    <n v="113600000"/>
    <x v="2"/>
    <n v="3834608.9604159389"/>
    <d v="2027-03-11T00:00:00"/>
    <n v="1.42"/>
    <s v="Secured"/>
    <x v="6"/>
    <n v="354"/>
    <s v="High Risk"/>
    <s v="High Risk Exposure"/>
    <s v="High"/>
  </r>
  <r>
    <s v="LN1105"/>
    <s v="C0599"/>
    <s v="B15"/>
    <x v="0"/>
    <n v="3000000"/>
    <n v="0.21390000000000001"/>
    <d v="2021-08-09T00:00:00"/>
    <n v="60"/>
    <n v="0"/>
    <n v="2430000"/>
    <x v="0"/>
    <n v="81819.61859063986"/>
    <d v="2026-08-09T00:00:00"/>
    <n v="0.81"/>
    <s v="Undersecured"/>
    <x v="9"/>
    <n v="835"/>
    <s v="Prime"/>
    <s v="High Risk Exposure"/>
    <s v="High"/>
  </r>
  <r>
    <s v="LN1106"/>
    <s v="C0677"/>
    <s v="B12"/>
    <x v="1"/>
    <n v="500000"/>
    <n v="0.19320000000000001"/>
    <d v="2023-09-05T00:00:00"/>
    <n v="24"/>
    <n v="10"/>
    <n v="0"/>
    <x v="0"/>
    <n v="25282.113186922325"/>
    <d v="2025-09-05T00:00:00"/>
    <n v="0"/>
    <s v="Undersecured"/>
    <x v="12"/>
    <n v="599"/>
    <s v="Medium Risk"/>
    <s v="High Risk Exposure"/>
    <s v="High"/>
  </r>
  <r>
    <s v="LN1107"/>
    <s v="C0521"/>
    <s v="B02"/>
    <x v="2"/>
    <n v="80000000"/>
    <n v="0.13170000000000001"/>
    <d v="2025-12-16T00:00:00"/>
    <n v="12"/>
    <n v="0"/>
    <n v="119200000"/>
    <x v="0"/>
    <n v="7151764.2643615063"/>
    <d v="2026-12-16T00:00:00"/>
    <n v="1.49"/>
    <s v="Secured"/>
    <x v="11"/>
    <n v="309"/>
    <s v="High Risk"/>
    <s v="High Risk Exposure"/>
    <s v="High"/>
  </r>
  <r>
    <s v="LN1108"/>
    <s v="C0243"/>
    <s v="B06"/>
    <x v="2"/>
    <n v="25000000"/>
    <n v="9.3399999999999997E-2"/>
    <d v="2020-01-08T00:00:00"/>
    <n v="48"/>
    <n v="90"/>
    <n v="21750000"/>
    <x v="2"/>
    <n v="626169.98026890412"/>
    <d v="2024-01-08T00:00:00"/>
    <n v="0.87"/>
    <s v="Undersecured"/>
    <x v="6"/>
    <n v="725"/>
    <s v="Low Risk"/>
    <s v="High Risk Exposure"/>
    <s v="High"/>
  </r>
  <r>
    <s v="LN1109"/>
    <s v="C0681"/>
    <s v="B15"/>
    <x v="1"/>
    <n v="250000"/>
    <n v="0.2717"/>
    <d v="2025-07-03T00:00:00"/>
    <n v="48"/>
    <n v="90"/>
    <n v="0"/>
    <x v="2"/>
    <n v="8594.7149488695413"/>
    <d v="2029-07-03T00:00:00"/>
    <n v="0"/>
    <s v="Undersecured"/>
    <x v="9"/>
    <n v="499"/>
    <s v="High Risk"/>
    <s v="High Risk Exposure"/>
    <s v="High"/>
  </r>
  <r>
    <s v="LN1110"/>
    <s v="C0338"/>
    <s v="B07"/>
    <x v="3"/>
    <n v="6000000"/>
    <n v="0.17430000000000001"/>
    <d v="2021-01-28T00:00:00"/>
    <n v="72"/>
    <n v="45"/>
    <n v="7140000"/>
    <x v="2"/>
    <n v="134920.48449231856"/>
    <d v="2027-01-28T00:00:00"/>
    <n v="1.19"/>
    <s v="Secured"/>
    <x v="0"/>
    <n v="334"/>
    <s v="High Risk"/>
    <s v="High Risk Exposure"/>
    <s v="High"/>
  </r>
  <r>
    <s v="LN1111"/>
    <s v="C0225"/>
    <s v="B14"/>
    <x v="0"/>
    <n v="1000000"/>
    <n v="0.14180000000000001"/>
    <d v="2025-10-26T00:00:00"/>
    <n v="24"/>
    <n v="0"/>
    <n v="1310000"/>
    <x v="0"/>
    <n v="48097.961549516578"/>
    <d v="2027-10-26T00:00:00"/>
    <n v="1.31"/>
    <s v="Secured"/>
    <x v="13"/>
    <n v="708"/>
    <s v="Low Risk"/>
    <s v="Normal"/>
    <s v="Normal"/>
  </r>
  <r>
    <s v="LN1112"/>
    <s v="C0062"/>
    <s v="B12"/>
    <x v="0"/>
    <n v="25000000"/>
    <n v="0.1895"/>
    <d v="2023-03-05T00:00:00"/>
    <n v="36"/>
    <n v="0"/>
    <n v="37500000"/>
    <x v="0"/>
    <n v="915768.62756564852"/>
    <d v="2026-03-05T00:00:00"/>
    <n v="1.5"/>
    <s v="Secured"/>
    <x v="12"/>
    <n v="502"/>
    <s v="High Risk"/>
    <s v="High Risk Exposure"/>
    <s v="High"/>
  </r>
  <r>
    <s v="LN1113"/>
    <s v="C0649"/>
    <s v="B05"/>
    <x v="3"/>
    <n v="3000000"/>
    <n v="0.1648"/>
    <d v="2020-10-11T00:00:00"/>
    <n v="72"/>
    <n v="0"/>
    <n v="1770000"/>
    <x v="0"/>
    <n v="65870.923023994124"/>
    <d v="2026-10-11T00:00:00"/>
    <n v="0.59"/>
    <s v="Undersecured"/>
    <x v="4"/>
    <n v="307"/>
    <s v="High Risk"/>
    <s v="High Risk Exposure"/>
    <s v="High"/>
  </r>
  <r>
    <s v="LN1114"/>
    <s v="C0267"/>
    <s v="B09"/>
    <x v="1"/>
    <n v="500000"/>
    <n v="0.23039999999999999"/>
    <d v="2024-04-16T00:00:00"/>
    <n v="24"/>
    <n v="45"/>
    <n v="0"/>
    <x v="2"/>
    <n v="26196.583523344536"/>
    <d v="2026-04-16T00:00:00"/>
    <n v="0"/>
    <s v="Undersecured"/>
    <x v="8"/>
    <n v="376"/>
    <s v="High Risk"/>
    <s v="High Risk Exposure"/>
    <s v="High"/>
  </r>
  <r>
    <s v="LN1115"/>
    <s v="C0111"/>
    <s v="B12"/>
    <x v="1"/>
    <n v="100000"/>
    <n v="0.2525"/>
    <d v="2022-01-27T00:00:00"/>
    <n v="36"/>
    <n v="120"/>
    <n v="0"/>
    <x v="1"/>
    <n v="3989.2167140141646"/>
    <d v="2025-01-27T00:00:00"/>
    <n v="0"/>
    <s v="Undersecured"/>
    <x v="12"/>
    <n v="377"/>
    <s v="High Risk"/>
    <s v="High Risk Exposure"/>
    <s v="Critical"/>
  </r>
  <r>
    <s v="LN1116"/>
    <s v="C0673"/>
    <s v="B11"/>
    <x v="2"/>
    <n v="25000000"/>
    <n v="0.105"/>
    <d v="2025-09-25T00:00:00"/>
    <n v="36"/>
    <n v="5"/>
    <n v="29750000"/>
    <x v="0"/>
    <n v="812561.08761717321"/>
    <d v="2028-09-25T00:00:00"/>
    <n v="1.19"/>
    <s v="Secured"/>
    <x v="10"/>
    <n v="585"/>
    <s v="Medium Risk"/>
    <s v="Normal"/>
    <s v="Normal"/>
  </r>
  <r>
    <s v="LN1117"/>
    <s v="C0391"/>
    <s v="B05"/>
    <x v="3"/>
    <n v="1000000"/>
    <n v="0.1545"/>
    <d v="2024-06-18T00:00:00"/>
    <n v="72"/>
    <n v="20"/>
    <n v="1080000"/>
    <x v="0"/>
    <n v="21390.156171568113"/>
    <d v="2030-06-18T00:00:00"/>
    <n v="1.08"/>
    <s v="Secured"/>
    <x v="4"/>
    <n v="333"/>
    <s v="High Risk"/>
    <s v="High Risk Exposure"/>
    <s v="High"/>
  </r>
  <r>
    <s v="LN1118"/>
    <s v="C0236"/>
    <s v="B01"/>
    <x v="2"/>
    <n v="6000000"/>
    <n v="9.5899999999999999E-2"/>
    <d v="2020-04-07T00:00:00"/>
    <n v="24"/>
    <n v="0"/>
    <n v="8640000"/>
    <x v="0"/>
    <n v="275735.52379597322"/>
    <d v="2022-04-07T00:00:00"/>
    <n v="1.44"/>
    <s v="Secured"/>
    <x v="1"/>
    <n v="325"/>
    <s v="High Risk"/>
    <s v="High Risk Exposure"/>
    <s v="High"/>
  </r>
  <r>
    <s v="LN1119"/>
    <s v="C0229"/>
    <s v="B07"/>
    <x v="2"/>
    <n v="80000000"/>
    <n v="0.13769999999999999"/>
    <d v="2025-03-20T00:00:00"/>
    <n v="24"/>
    <n v="0"/>
    <n v="55200000"/>
    <x v="0"/>
    <n v="3832343.9708252973"/>
    <d v="2027-03-20T00:00:00"/>
    <n v="0.69"/>
    <s v="Undersecured"/>
    <x v="0"/>
    <n v="551"/>
    <s v="High Risk"/>
    <s v="High Risk Exposure"/>
    <s v="High"/>
  </r>
  <r>
    <s v="LN1120"/>
    <s v="C0200"/>
    <s v="B09"/>
    <x v="3"/>
    <n v="1000000"/>
    <n v="0.18940000000000001"/>
    <d v="2023-11-21T00:00:00"/>
    <n v="12"/>
    <n v="5"/>
    <n v="610000"/>
    <x v="0"/>
    <n v="92127.94523036397"/>
    <d v="2024-11-21T00:00:00"/>
    <n v="0.61"/>
    <s v="Undersecured"/>
    <x v="8"/>
    <n v="635"/>
    <s v="Medium Risk"/>
    <s v="High Risk Exposure"/>
    <s v="High"/>
  </r>
  <r>
    <s v="LN1121"/>
    <s v="C0113"/>
    <s v="B09"/>
    <x v="1"/>
    <n v="500000"/>
    <n v="0.27700000000000002"/>
    <d v="2020-10-18T00:00:00"/>
    <n v="24"/>
    <n v="20"/>
    <n v="0"/>
    <x v="0"/>
    <n v="27367.871897901918"/>
    <d v="2022-10-18T00:00:00"/>
    <n v="0"/>
    <s v="Undersecured"/>
    <x v="8"/>
    <n v="825"/>
    <s v="Prime"/>
    <s v="High Risk Exposure"/>
    <s v="High"/>
  </r>
  <r>
    <s v="LN1122"/>
    <s v="C0650"/>
    <s v="B13"/>
    <x v="3"/>
    <n v="500000"/>
    <n v="0.1331"/>
    <d v="2025-06-07T00:00:00"/>
    <n v="48"/>
    <n v="120"/>
    <n v="285000"/>
    <x v="1"/>
    <n v="13490.806107752198"/>
    <d v="2029-06-07T00:00:00"/>
    <n v="0.56999999999999995"/>
    <s v="Undersecured"/>
    <x v="2"/>
    <n v="325"/>
    <s v="High Risk"/>
    <s v="High Risk Exposure"/>
    <s v="Critical"/>
  </r>
  <r>
    <s v="LN1123"/>
    <s v="C0323"/>
    <s v="B12"/>
    <x v="1"/>
    <n v="250000"/>
    <n v="0.2039"/>
    <d v="2024-03-23T00:00:00"/>
    <n v="36"/>
    <n v="20"/>
    <n v="0"/>
    <x v="0"/>
    <n v="9340.6491931742748"/>
    <d v="2027-03-23T00:00:00"/>
    <n v="0"/>
    <s v="Undersecured"/>
    <x v="12"/>
    <n v="580"/>
    <s v="Medium Risk"/>
    <s v="High Risk Exposure"/>
    <s v="High"/>
  </r>
  <r>
    <s v="LN1124"/>
    <s v="C0147"/>
    <s v="B01"/>
    <x v="0"/>
    <n v="25000000"/>
    <n v="0.20300000000000001"/>
    <d v="2024-02-27T00:00:00"/>
    <n v="36"/>
    <n v="120"/>
    <n v="25500000"/>
    <x v="1"/>
    <n v="932915.44322122145"/>
    <d v="2027-02-27T00:00:00"/>
    <n v="1.02"/>
    <s v="Secured"/>
    <x v="1"/>
    <n v="696"/>
    <s v="Low Risk"/>
    <s v="High Risk Exposure"/>
    <s v="Critical"/>
  </r>
  <r>
    <s v="LN1125"/>
    <s v="C0644"/>
    <s v="B01"/>
    <x v="0"/>
    <n v="3000000"/>
    <n v="0.19209999999999999"/>
    <d v="2020-03-20T00:00:00"/>
    <n v="72"/>
    <n v="0"/>
    <n v="3060000"/>
    <x v="0"/>
    <n v="70491.339614062919"/>
    <d v="2026-03-20T00:00:00"/>
    <n v="1.02"/>
    <s v="Secured"/>
    <x v="1"/>
    <n v="772"/>
    <s v="Very Low Risk"/>
    <s v="Normal"/>
    <s v="Normal"/>
  </r>
  <r>
    <s v="LN1126"/>
    <s v="C0020"/>
    <s v="B07"/>
    <x v="1"/>
    <n v="1000000"/>
    <n v="0.24809999999999999"/>
    <d v="2023-12-13T00:00:00"/>
    <n v="60"/>
    <n v="10"/>
    <n v="0"/>
    <x v="0"/>
    <n v="29240.037734743793"/>
    <d v="2028-12-13T00:00:00"/>
    <n v="0"/>
    <s v="Undersecured"/>
    <x v="0"/>
    <n v="389"/>
    <s v="High Risk"/>
    <s v="High Risk Exposure"/>
    <s v="High"/>
  </r>
  <r>
    <s v="LN1127"/>
    <s v="C0085"/>
    <s v="B09"/>
    <x v="2"/>
    <n v="6000000"/>
    <n v="0.1333"/>
    <d v="2024-09-06T00:00:00"/>
    <n v="36"/>
    <n v="120"/>
    <n v="3780000"/>
    <x v="1"/>
    <n v="203118.72139134083"/>
    <d v="2027-09-06T00:00:00"/>
    <n v="0.63"/>
    <s v="Undersecured"/>
    <x v="8"/>
    <n v="329"/>
    <s v="High Risk"/>
    <s v="High Risk Exposure"/>
    <s v="Critical"/>
  </r>
  <r>
    <s v="LN1128"/>
    <s v="C0131"/>
    <s v="B14"/>
    <x v="3"/>
    <n v="6000000"/>
    <n v="0.13780000000000001"/>
    <d v="2024-11-07T00:00:00"/>
    <n v="24"/>
    <n v="20"/>
    <n v="8340000"/>
    <x v="0"/>
    <n v="287454.10612365813"/>
    <d v="2026-11-07T00:00:00"/>
    <n v="1.39"/>
    <s v="Secured"/>
    <x v="13"/>
    <n v="324"/>
    <s v="High Risk"/>
    <s v="High Risk Exposure"/>
    <s v="High"/>
  </r>
  <r>
    <s v="LN1129"/>
    <s v="C0695"/>
    <s v="B01"/>
    <x v="1"/>
    <n v="100000"/>
    <n v="0.1961"/>
    <d v="2025-02-27T00:00:00"/>
    <n v="36"/>
    <n v="90"/>
    <n v="0"/>
    <x v="2"/>
    <n v="3696.5166282260429"/>
    <d v="2028-02-27T00:00:00"/>
    <n v="0"/>
    <s v="Undersecured"/>
    <x v="1"/>
    <n v="453"/>
    <s v="High Risk"/>
    <s v="High Risk Exposure"/>
    <s v="High"/>
  </r>
  <r>
    <s v="LN1130"/>
    <s v="C0102"/>
    <s v="B12"/>
    <x v="2"/>
    <n v="25000000"/>
    <n v="0.12570000000000001"/>
    <d v="2025-12-05T00:00:00"/>
    <n v="12"/>
    <n v="45"/>
    <n v="17500000"/>
    <x v="2"/>
    <n v="2227891.5032645953"/>
    <d v="2026-12-05T00:00:00"/>
    <n v="0.7"/>
    <s v="Undersecured"/>
    <x v="12"/>
    <n v="444"/>
    <s v="High Risk"/>
    <s v="High Risk Exposure"/>
    <s v="High"/>
  </r>
  <r>
    <s v="LN1131"/>
    <s v="C0354"/>
    <s v="B01"/>
    <x v="2"/>
    <n v="80000000"/>
    <n v="0.12939999999999999"/>
    <d v="2025-11-21T00:00:00"/>
    <n v="72"/>
    <n v="0"/>
    <n v="61600000"/>
    <x v="0"/>
    <n v="1603396.1520722867"/>
    <d v="2031-11-21T00:00:00"/>
    <n v="0.77"/>
    <s v="Undersecured"/>
    <x v="1"/>
    <n v="692"/>
    <s v="Low Risk"/>
    <s v="High Risk Exposure"/>
    <s v="High"/>
  </r>
  <r>
    <s v="LN1132"/>
    <s v="C0274"/>
    <s v="B12"/>
    <x v="2"/>
    <n v="6000000"/>
    <n v="0.13469999999999999"/>
    <d v="2023-10-02T00:00:00"/>
    <n v="72"/>
    <n v="0"/>
    <n v="5460000"/>
    <x v="0"/>
    <n v="121938.09899251758"/>
    <d v="2029-10-02T00:00:00"/>
    <n v="0.91"/>
    <s v="Undersecured"/>
    <x v="12"/>
    <n v="547"/>
    <s v="High Risk"/>
    <s v="High Risk Exposure"/>
    <s v="High"/>
  </r>
  <r>
    <s v="LN1133"/>
    <s v="C0060"/>
    <s v="B12"/>
    <x v="3"/>
    <n v="6000000"/>
    <n v="0.19919999999999999"/>
    <d v="2023-04-16T00:00:00"/>
    <n v="24"/>
    <n v="0"/>
    <n v="5940000"/>
    <x v="0"/>
    <n v="305140.37829636718"/>
    <d v="2025-04-16T00:00:00"/>
    <n v="0.99"/>
    <s v="Undersecured"/>
    <x v="12"/>
    <n v="748"/>
    <s v="Very Low Risk"/>
    <s v="High Risk Exposure"/>
    <s v="High"/>
  </r>
  <r>
    <s v="LN1134"/>
    <s v="C0142"/>
    <s v="B15"/>
    <x v="3"/>
    <n v="3000000"/>
    <n v="0.13389999999999999"/>
    <d v="2021-08-13T00:00:00"/>
    <n v="36"/>
    <n v="20"/>
    <n v="2550000"/>
    <x v="0"/>
    <n v="101646.32125883026"/>
    <d v="2024-08-13T00:00:00"/>
    <n v="0.85"/>
    <s v="Undersecured"/>
    <x v="9"/>
    <n v="633"/>
    <s v="Medium Risk"/>
    <s v="High Risk Exposure"/>
    <s v="High"/>
  </r>
  <r>
    <s v="LN1135"/>
    <s v="C0329"/>
    <s v="B05"/>
    <x v="2"/>
    <n v="80000000"/>
    <n v="0.121"/>
    <d v="2023-05-03T00:00:00"/>
    <n v="60"/>
    <n v="120"/>
    <n v="79200000"/>
    <x v="1"/>
    <n v="1783601.1170027468"/>
    <d v="2028-05-03T00:00:00"/>
    <n v="0.99"/>
    <s v="Undersecured"/>
    <x v="4"/>
    <n v="322"/>
    <s v="High Risk"/>
    <s v="High Risk Exposure"/>
    <s v="Critical"/>
  </r>
  <r>
    <s v="LN1136"/>
    <s v="C0616"/>
    <s v="B02"/>
    <x v="1"/>
    <n v="250000"/>
    <n v="0.24"/>
    <d v="2025-12-27T00:00:00"/>
    <n v="24"/>
    <n v="45"/>
    <n v="0"/>
    <x v="2"/>
    <n v="13217.774313312471"/>
    <d v="2027-12-27T00:00:00"/>
    <n v="0"/>
    <s v="Undersecured"/>
    <x v="11"/>
    <n v="529"/>
    <s v="High Risk"/>
    <s v="High Risk Exposure"/>
    <s v="High"/>
  </r>
  <r>
    <s v="LN1137"/>
    <s v="C0494"/>
    <s v="B06"/>
    <x v="2"/>
    <n v="6000000"/>
    <n v="0.12859999999999999"/>
    <d v="2023-09-15T00:00:00"/>
    <n v="12"/>
    <n v="20"/>
    <n v="5880000"/>
    <x v="0"/>
    <n v="535509.63550740457"/>
    <d v="2024-09-15T00:00:00"/>
    <n v="0.98"/>
    <s v="Undersecured"/>
    <x v="6"/>
    <n v="474"/>
    <s v="High Risk"/>
    <s v="High Risk Exposure"/>
    <s v="High"/>
  </r>
  <r>
    <s v="LN1138"/>
    <s v="C0384"/>
    <s v="B08"/>
    <x v="2"/>
    <n v="80000000"/>
    <n v="0.12559999999999999"/>
    <d v="2025-12-09T00:00:00"/>
    <n v="12"/>
    <n v="45"/>
    <n v="56000000"/>
    <x v="2"/>
    <n v="7128877.9502508156"/>
    <d v="2026-12-09T00:00:00"/>
    <n v="0.7"/>
    <s v="Undersecured"/>
    <x v="5"/>
    <n v="361"/>
    <s v="High Risk"/>
    <s v="High Risk Exposure"/>
    <s v="High"/>
  </r>
  <r>
    <s v="LN1139"/>
    <s v="C0692"/>
    <s v="B08"/>
    <x v="1"/>
    <n v="100000"/>
    <n v="0.2109"/>
    <d v="2020-03-25T00:00:00"/>
    <n v="72"/>
    <n v="5"/>
    <n v="0"/>
    <x v="0"/>
    <n v="2458.8824806813782"/>
    <d v="2026-03-25T00:00:00"/>
    <n v="0"/>
    <s v="Undersecured"/>
    <x v="5"/>
    <n v="350"/>
    <s v="High Risk"/>
    <s v="High Risk Exposure"/>
    <s v="High"/>
  </r>
  <r>
    <s v="LN1140"/>
    <s v="C0412"/>
    <s v="B11"/>
    <x v="1"/>
    <n v="1000000"/>
    <n v="0.26800000000000002"/>
    <d v="2021-08-26T00:00:00"/>
    <n v="72"/>
    <n v="120"/>
    <n v="0"/>
    <x v="1"/>
    <n v="28052.124319588143"/>
    <d v="2027-08-26T00:00:00"/>
    <n v="0"/>
    <s v="Undersecured"/>
    <x v="10"/>
    <n v="513"/>
    <s v="High Risk"/>
    <s v="High Risk Exposure"/>
    <s v="Critical"/>
  </r>
  <r>
    <s v="LN1141"/>
    <s v="C0058"/>
    <s v="B08"/>
    <x v="3"/>
    <n v="1000000"/>
    <n v="0.1328"/>
    <d v="2023-04-14T00:00:00"/>
    <n v="36"/>
    <n v="5"/>
    <n v="1350000"/>
    <x v="0"/>
    <n v="33828.9756046857"/>
    <d v="2026-04-14T00:00:00"/>
    <n v="1.35"/>
    <s v="Secured"/>
    <x v="5"/>
    <n v="777"/>
    <s v="Very Low Risk"/>
    <s v="Normal"/>
    <s v="Normal"/>
  </r>
  <r>
    <s v="LN1142"/>
    <s v="C0150"/>
    <s v="B12"/>
    <x v="2"/>
    <n v="80000000"/>
    <n v="0.13669999999999999"/>
    <d v="2020-06-25T00:00:00"/>
    <n v="60"/>
    <n v="90"/>
    <n v="104000000"/>
    <x v="2"/>
    <n v="1847801.6708490378"/>
    <d v="2025-06-25T00:00:00"/>
    <n v="1.3"/>
    <s v="Secured"/>
    <x v="12"/>
    <n v="610"/>
    <s v="Medium Risk"/>
    <s v="High Risk Exposure"/>
    <s v="High"/>
  </r>
  <r>
    <s v="LN1143"/>
    <s v="C0102"/>
    <s v="B01"/>
    <x v="0"/>
    <n v="1000000"/>
    <n v="0.1527"/>
    <d v="2022-12-01T00:00:00"/>
    <n v="60"/>
    <n v="45"/>
    <n v="1140000"/>
    <x v="2"/>
    <n v="23931.891252982114"/>
    <d v="2027-12-01T00:00:00"/>
    <n v="1.1399999999999999"/>
    <s v="Secured"/>
    <x v="1"/>
    <n v="444"/>
    <s v="High Risk"/>
    <s v="High Risk Exposure"/>
    <s v="High"/>
  </r>
  <r>
    <s v="LN1144"/>
    <s v="C0613"/>
    <s v="B06"/>
    <x v="0"/>
    <n v="25000000"/>
    <n v="0.19359999999999999"/>
    <d v="2020-07-15T00:00:00"/>
    <n v="36"/>
    <n v="90"/>
    <n v="15250000"/>
    <x v="2"/>
    <n v="920957.2501971547"/>
    <d v="2023-07-15T00:00:00"/>
    <n v="0.61"/>
    <s v="Undersecured"/>
    <x v="6"/>
    <n v="764"/>
    <s v="Very Low Risk"/>
    <s v="High Risk Exposure"/>
    <s v="High"/>
  </r>
  <r>
    <s v="LN1145"/>
    <s v="C0647"/>
    <s v="B02"/>
    <x v="2"/>
    <n v="25000000"/>
    <n v="0.1051"/>
    <d v="2025-04-12T00:00:00"/>
    <n v="36"/>
    <n v="0"/>
    <n v="28250000"/>
    <x v="0"/>
    <n v="812678.97531586967"/>
    <d v="2028-04-12T00:00:00"/>
    <n v="1.1299999999999999"/>
    <s v="Secured"/>
    <x v="11"/>
    <n v="305"/>
    <s v="High Risk"/>
    <s v="High Risk Exposure"/>
    <s v="High"/>
  </r>
  <r>
    <s v="LN1146"/>
    <s v="C0323"/>
    <s v="B05"/>
    <x v="1"/>
    <n v="250000"/>
    <n v="0.20930000000000001"/>
    <d v="2022-06-05T00:00:00"/>
    <n v="12"/>
    <n v="5"/>
    <n v="0"/>
    <x v="0"/>
    <n v="23270.045358552896"/>
    <d v="2023-06-05T00:00:00"/>
    <n v="0"/>
    <s v="Undersecured"/>
    <x v="4"/>
    <n v="580"/>
    <s v="Medium Risk"/>
    <s v="High Risk Exposure"/>
    <s v="High"/>
  </r>
  <r>
    <s v="LN1147"/>
    <s v="C0536"/>
    <s v="B03"/>
    <x v="0"/>
    <n v="25000000"/>
    <n v="0.21229999999999999"/>
    <d v="2021-06-03T00:00:00"/>
    <n v="24"/>
    <n v="10"/>
    <n v="33750000"/>
    <x v="0"/>
    <n v="1287467.2987551813"/>
    <d v="2023-06-03T00:00:00"/>
    <n v="1.35"/>
    <s v="Secured"/>
    <x v="7"/>
    <n v="614"/>
    <s v="Medium Risk"/>
    <s v="Normal"/>
    <s v="Normal"/>
  </r>
  <r>
    <s v="LN1148"/>
    <s v="C0311"/>
    <s v="B15"/>
    <x v="3"/>
    <n v="3000000"/>
    <n v="0.1593"/>
    <d v="2025-03-16T00:00:00"/>
    <n v="48"/>
    <n v="45"/>
    <n v="3960000"/>
    <x v="2"/>
    <n v="84913.328842162562"/>
    <d v="2029-03-16T00:00:00"/>
    <n v="1.32"/>
    <s v="Secured"/>
    <x v="9"/>
    <n v="370"/>
    <s v="High Risk"/>
    <s v="High Risk Exposure"/>
    <s v="High"/>
  </r>
  <r>
    <s v="LN1149"/>
    <s v="C0544"/>
    <s v="B13"/>
    <x v="0"/>
    <n v="1000000"/>
    <n v="0.21099999999999999"/>
    <d v="2020-01-18T00:00:00"/>
    <n v="36"/>
    <n v="45"/>
    <n v="810000"/>
    <x v="2"/>
    <n v="37726.430651066548"/>
    <d v="2023-01-18T00:00:00"/>
    <n v="0.81"/>
    <s v="Undersecured"/>
    <x v="2"/>
    <n v="590"/>
    <s v="Medium Risk"/>
    <s v="High Risk Exposure"/>
    <s v="High"/>
  </r>
  <r>
    <s v="LN1150"/>
    <s v="C0588"/>
    <s v="B14"/>
    <x v="1"/>
    <n v="1000000"/>
    <n v="0.2525"/>
    <d v="2020-03-06T00:00:00"/>
    <n v="24"/>
    <n v="90"/>
    <n v="0"/>
    <x v="2"/>
    <n v="53497.036321193904"/>
    <d v="2022-03-06T00:00:00"/>
    <n v="0"/>
    <s v="Undersecured"/>
    <x v="13"/>
    <n v="571"/>
    <s v="High Risk"/>
    <s v="High Risk Exposure"/>
    <s v="High"/>
  </r>
  <r>
    <s v="LN1151"/>
    <s v="C0351"/>
    <s v="B07"/>
    <x v="2"/>
    <n v="6000000"/>
    <n v="0.10730000000000001"/>
    <d v="2023-03-24T00:00:00"/>
    <n v="24"/>
    <n v="0"/>
    <n v="7260000"/>
    <x v="0"/>
    <n v="278895.50091840664"/>
    <d v="2025-03-24T00:00:00"/>
    <n v="1.21"/>
    <s v="Secured"/>
    <x v="0"/>
    <n v="797"/>
    <s v="Very Low Risk"/>
    <s v="Normal"/>
    <s v="Normal"/>
  </r>
  <r>
    <s v="LN1152"/>
    <s v="C0445"/>
    <s v="B11"/>
    <x v="1"/>
    <n v="500000"/>
    <n v="0.2762"/>
    <d v="2024-10-17T00:00:00"/>
    <n v="72"/>
    <n v="0"/>
    <n v="0"/>
    <x v="0"/>
    <n v="14283.424730071558"/>
    <d v="2030-10-17T00:00:00"/>
    <n v="0"/>
    <s v="Undersecured"/>
    <x v="10"/>
    <n v="468"/>
    <s v="High Risk"/>
    <s v="High Risk Exposure"/>
    <s v="High"/>
  </r>
  <r>
    <s v="LN1153"/>
    <s v="C0505"/>
    <s v="B05"/>
    <x v="3"/>
    <n v="500000"/>
    <n v="0.17180000000000001"/>
    <d v="2020-01-16T00:00:00"/>
    <n v="60"/>
    <n v="10"/>
    <n v="665000"/>
    <x v="0"/>
    <n v="12474.731714423966"/>
    <d v="2025-01-16T00:00:00"/>
    <n v="1.33"/>
    <s v="Secured"/>
    <x v="4"/>
    <n v="543"/>
    <s v="High Risk"/>
    <s v="High Risk Exposure"/>
    <s v="High"/>
  </r>
  <r>
    <s v="LN1154"/>
    <s v="C0244"/>
    <s v="B15"/>
    <x v="1"/>
    <n v="100000"/>
    <n v="0.25030000000000002"/>
    <d v="2020-03-17T00:00:00"/>
    <n v="72"/>
    <n v="5"/>
    <n v="0"/>
    <x v="0"/>
    <n v="2695.5588671801688"/>
    <d v="2026-03-17T00:00:00"/>
    <n v="0"/>
    <s v="Undersecured"/>
    <x v="9"/>
    <n v="671"/>
    <s v="Low Risk"/>
    <s v="High Risk Exposure"/>
    <s v="High"/>
  </r>
  <r>
    <s v="LN1155"/>
    <s v="C0537"/>
    <s v="B08"/>
    <x v="1"/>
    <n v="250000"/>
    <n v="0.17660000000000001"/>
    <d v="2020-04-13T00:00:00"/>
    <n v="24"/>
    <n v="0"/>
    <n v="0"/>
    <x v="0"/>
    <n v="12439.994084324378"/>
    <d v="2022-04-13T00:00:00"/>
    <n v="0"/>
    <s v="Undersecured"/>
    <x v="5"/>
    <n v="595"/>
    <s v="Medium Risk"/>
    <s v="High Risk Exposure"/>
    <s v="High"/>
  </r>
  <r>
    <s v="LN1156"/>
    <s v="C0002"/>
    <s v="B02"/>
    <x v="0"/>
    <n v="6000000"/>
    <n v="0.23649999999999999"/>
    <d v="2022-11-16T00:00:00"/>
    <n v="24"/>
    <n v="45"/>
    <n v="5640000"/>
    <x v="2"/>
    <n v="316179.42324878724"/>
    <d v="2024-11-16T00:00:00"/>
    <n v="0.94"/>
    <s v="Undersecured"/>
    <x v="11"/>
    <n v="316"/>
    <s v="High Risk"/>
    <s v="High Risk Exposure"/>
    <s v="High"/>
  </r>
  <r>
    <s v="LN1157"/>
    <s v="C0338"/>
    <s v="B07"/>
    <x v="0"/>
    <n v="3000000"/>
    <n v="0.2223"/>
    <d v="2020-07-26T00:00:00"/>
    <n v="60"/>
    <n v="45"/>
    <n v="3600000"/>
    <x v="2"/>
    <n v="83249.523803485354"/>
    <d v="2025-07-26T00:00:00"/>
    <n v="1.2"/>
    <s v="Secured"/>
    <x v="0"/>
    <n v="334"/>
    <s v="High Risk"/>
    <s v="High Risk Exposure"/>
    <s v="High"/>
  </r>
  <r>
    <s v="LN1158"/>
    <s v="C0500"/>
    <s v="B03"/>
    <x v="3"/>
    <n v="1000000"/>
    <n v="0.14199999999999999"/>
    <d v="2025-05-14T00:00:00"/>
    <n v="48"/>
    <n v="0"/>
    <n v="860000"/>
    <x v="0"/>
    <n v="27426.908508192206"/>
    <d v="2029-05-14T00:00:00"/>
    <n v="0.86"/>
    <s v="Undersecured"/>
    <x v="7"/>
    <n v="428"/>
    <s v="High Risk"/>
    <s v="High Risk Exposure"/>
    <s v="High"/>
  </r>
  <r>
    <s v="LN1159"/>
    <s v="C0353"/>
    <s v="B01"/>
    <x v="3"/>
    <n v="3000000"/>
    <n v="0.1326"/>
    <d v="2025-05-25T00:00:00"/>
    <n v="36"/>
    <n v="120"/>
    <n v="1650000"/>
    <x v="1"/>
    <n v="101457.96172747173"/>
    <d v="2028-05-25T00:00:00"/>
    <n v="0.55000000000000004"/>
    <s v="Undersecured"/>
    <x v="1"/>
    <n v="418"/>
    <s v="High Risk"/>
    <s v="High Risk Exposure"/>
    <s v="Critical"/>
  </r>
  <r>
    <s v="LN1160"/>
    <s v="C0639"/>
    <s v="B04"/>
    <x v="0"/>
    <n v="25000000"/>
    <n v="0.21990000000000001"/>
    <d v="2023-05-25T00:00:00"/>
    <n v="12"/>
    <n v="90"/>
    <n v="34000000"/>
    <x v="2"/>
    <n v="2339739.1741832034"/>
    <d v="2024-05-25T00:00:00"/>
    <n v="1.36"/>
    <s v="Secured"/>
    <x v="14"/>
    <n v="567"/>
    <s v="High Risk"/>
    <s v="High Risk Exposure"/>
    <s v="High"/>
  </r>
  <r>
    <s v="LN1161"/>
    <s v="C0158"/>
    <s v="B14"/>
    <x v="1"/>
    <n v="500000"/>
    <n v="0.23699999999999999"/>
    <d v="2024-06-25T00:00:00"/>
    <n v="48"/>
    <n v="45"/>
    <n v="0"/>
    <x v="2"/>
    <n v="16218.103460786622"/>
    <d v="2028-06-25T00:00:00"/>
    <n v="0"/>
    <s v="Undersecured"/>
    <x v="13"/>
    <n v="614"/>
    <s v="Medium Risk"/>
    <s v="High Risk Exposure"/>
    <s v="High"/>
  </r>
  <r>
    <s v="LN1162"/>
    <s v="C0623"/>
    <s v="B06"/>
    <x v="0"/>
    <n v="3000000"/>
    <n v="0.16489999999999999"/>
    <d v="2023-05-23T00:00:00"/>
    <n v="48"/>
    <n v="5"/>
    <n v="3090000"/>
    <x v="0"/>
    <n v="85775.587826112911"/>
    <d v="2027-05-23T00:00:00"/>
    <n v="1.03"/>
    <s v="Secured"/>
    <x v="6"/>
    <n v="726"/>
    <s v="Low Risk"/>
    <s v="Normal"/>
    <s v="Normal"/>
  </r>
  <r>
    <s v="LN1163"/>
    <s v="C0190"/>
    <s v="B04"/>
    <x v="3"/>
    <n v="1000000"/>
    <n v="0.13650000000000001"/>
    <d v="2020-07-25T00:00:00"/>
    <n v="24"/>
    <n v="0"/>
    <n v="1290000"/>
    <x v="0"/>
    <n v="47847.704116962923"/>
    <d v="2022-07-25T00:00:00"/>
    <n v="1.29"/>
    <s v="Secured"/>
    <x v="14"/>
    <n v="359"/>
    <s v="High Risk"/>
    <s v="High Risk Exposure"/>
    <s v="High"/>
  </r>
  <r>
    <s v="LN1164"/>
    <s v="C0217"/>
    <s v="B15"/>
    <x v="0"/>
    <n v="1000000"/>
    <n v="0.215"/>
    <d v="2023-01-11T00:00:00"/>
    <n v="24"/>
    <n v="10"/>
    <n v="500000"/>
    <x v="0"/>
    <n v="51631.571357683133"/>
    <d v="2025-01-11T00:00:00"/>
    <n v="0.5"/>
    <s v="Undersecured"/>
    <x v="9"/>
    <n v="841"/>
    <s v="Prime"/>
    <s v="High Risk Exposure"/>
    <s v="High"/>
  </r>
  <r>
    <s v="LN1165"/>
    <s v="C0498"/>
    <s v="B04"/>
    <x v="2"/>
    <n v="6000000"/>
    <n v="0.1104"/>
    <d v="2024-04-04T00:00:00"/>
    <n v="60"/>
    <n v="10"/>
    <n v="5640000"/>
    <x v="0"/>
    <n v="130574.26045624742"/>
    <d v="2029-04-04T00:00:00"/>
    <n v="0.94"/>
    <s v="Undersecured"/>
    <x v="14"/>
    <n v="309"/>
    <s v="High Risk"/>
    <s v="High Risk Exposure"/>
    <s v="High"/>
  </r>
  <r>
    <s v="LN1166"/>
    <s v="C0079"/>
    <s v="B10"/>
    <x v="1"/>
    <n v="1000000"/>
    <n v="0.22489999999999999"/>
    <d v="2021-01-19T00:00:00"/>
    <n v="36"/>
    <n v="10"/>
    <n v="0"/>
    <x v="0"/>
    <n v="38444.41078106645"/>
    <d v="2024-01-19T00:00:00"/>
    <n v="0"/>
    <s v="Undersecured"/>
    <x v="3"/>
    <n v="589"/>
    <s v="Medium Risk"/>
    <s v="High Risk Exposure"/>
    <s v="High"/>
  </r>
  <r>
    <s v="LN1167"/>
    <s v="C0239"/>
    <s v="B14"/>
    <x v="2"/>
    <n v="80000000"/>
    <n v="0.13289999999999999"/>
    <d v="2023-01-25T00:00:00"/>
    <n v="60"/>
    <n v="0"/>
    <n v="78400000"/>
    <x v="0"/>
    <n v="1832144.1792918183"/>
    <d v="2028-01-25T00:00:00"/>
    <n v="0.98"/>
    <s v="Undersecured"/>
    <x v="13"/>
    <n v="555"/>
    <s v="High Risk"/>
    <s v="High Risk Exposure"/>
    <s v="High"/>
  </r>
  <r>
    <s v="LN1168"/>
    <s v="C0248"/>
    <s v="B07"/>
    <x v="3"/>
    <n v="500000"/>
    <n v="0.19009999999999999"/>
    <d v="2021-09-12T00:00:00"/>
    <n v="12"/>
    <n v="90"/>
    <n v="410000"/>
    <x v="2"/>
    <n v="46080.675430457428"/>
    <d v="2022-09-12T00:00:00"/>
    <n v="0.82"/>
    <s v="Undersecured"/>
    <x v="0"/>
    <n v="313"/>
    <s v="High Risk"/>
    <s v="High Risk Exposure"/>
    <s v="High"/>
  </r>
  <r>
    <s v="LN1169"/>
    <s v="C0418"/>
    <s v="B04"/>
    <x v="2"/>
    <n v="80000000"/>
    <n v="0.1207"/>
    <d v="2023-06-08T00:00:00"/>
    <n v="72"/>
    <n v="20"/>
    <n v="72800000"/>
    <x v="0"/>
    <n v="1566929.0723282096"/>
    <d v="2029-06-08T00:00:00"/>
    <n v="0.91"/>
    <s v="Undersecured"/>
    <x v="14"/>
    <n v="441"/>
    <s v="High Risk"/>
    <s v="High Risk Exposure"/>
    <s v="High"/>
  </r>
  <r>
    <s v="LN1170"/>
    <s v="C0029"/>
    <s v="B12"/>
    <x v="1"/>
    <n v="1000000"/>
    <n v="0.19239999999999999"/>
    <d v="2023-01-24T00:00:00"/>
    <n v="24"/>
    <n v="20"/>
    <n v="0"/>
    <x v="0"/>
    <n v="50525.298460400365"/>
    <d v="2025-01-24T00:00:00"/>
    <n v="0"/>
    <s v="Undersecured"/>
    <x v="12"/>
    <n v="376"/>
    <s v="High Risk"/>
    <s v="High Risk Exposure"/>
    <s v="High"/>
  </r>
  <r>
    <s v="LN1171"/>
    <s v="C0413"/>
    <s v="B09"/>
    <x v="0"/>
    <n v="6000000"/>
    <n v="0.2147"/>
    <d v="2025-09-08T00:00:00"/>
    <n v="12"/>
    <n v="0"/>
    <n v="6300000"/>
    <x v="0"/>
    <n v="560036.9520605345"/>
    <d v="2026-09-08T00:00:00"/>
    <n v="1.05"/>
    <s v="Secured"/>
    <x v="8"/>
    <n v="455"/>
    <s v="High Risk"/>
    <s v="High Risk Exposure"/>
    <s v="High"/>
  </r>
  <r>
    <s v="LN1172"/>
    <s v="C0084"/>
    <s v="B04"/>
    <x v="1"/>
    <n v="100000"/>
    <n v="0.1633"/>
    <d v="2021-03-03T00:00:00"/>
    <n v="36"/>
    <n v="0"/>
    <n v="0"/>
    <x v="0"/>
    <n v="3532.0171921588985"/>
    <d v="2024-03-03T00:00:00"/>
    <n v="0"/>
    <s v="Undersecured"/>
    <x v="14"/>
    <n v="767"/>
    <s v="Very Low Risk"/>
    <s v="High Risk Exposure"/>
    <s v="High"/>
  </r>
  <r>
    <s v="LN1173"/>
    <s v="C0629"/>
    <s v="B03"/>
    <x v="2"/>
    <n v="25000000"/>
    <n v="0.1234"/>
    <d v="2023-12-13T00:00:00"/>
    <n v="36"/>
    <n v="0"/>
    <n v="32250000"/>
    <x v="0"/>
    <n v="834423.36222416093"/>
    <d v="2026-12-13T00:00:00"/>
    <n v="1.29"/>
    <s v="Secured"/>
    <x v="7"/>
    <n v="502"/>
    <s v="High Risk"/>
    <s v="High Risk Exposure"/>
    <s v="High"/>
  </r>
  <r>
    <s v="LN1174"/>
    <s v="C0474"/>
    <s v="B12"/>
    <x v="0"/>
    <n v="3000000"/>
    <n v="0.22509999999999999"/>
    <d v="2021-05-13T00:00:00"/>
    <n v="24"/>
    <n v="0"/>
    <n v="1890000"/>
    <x v="0"/>
    <n v="156391.0545394081"/>
    <d v="2023-05-13T00:00:00"/>
    <n v="0.63"/>
    <s v="Undersecured"/>
    <x v="12"/>
    <n v="485"/>
    <s v="High Risk"/>
    <s v="High Risk Exposure"/>
    <s v="High"/>
  </r>
  <r>
    <s v="LN1175"/>
    <s v="C0648"/>
    <s v="B11"/>
    <x v="2"/>
    <n v="6000000"/>
    <n v="0.11609999999999999"/>
    <d v="2021-09-06T00:00:00"/>
    <n v="36"/>
    <n v="0"/>
    <n v="7980000"/>
    <x v="0"/>
    <n v="198170.07736630767"/>
    <d v="2024-09-06T00:00:00"/>
    <n v="1.33"/>
    <s v="Secured"/>
    <x v="10"/>
    <n v="794"/>
    <s v="Very Low Risk"/>
    <s v="Normal"/>
    <s v="Normal"/>
  </r>
  <r>
    <s v="LN1176"/>
    <s v="C0205"/>
    <s v="B02"/>
    <x v="1"/>
    <n v="1000000"/>
    <n v="0.23499999999999999"/>
    <d v="2023-12-02T00:00:00"/>
    <n v="24"/>
    <n v="0"/>
    <n v="0"/>
    <x v="0"/>
    <n v="52621.872158845632"/>
    <d v="2025-12-02T00:00:00"/>
    <n v="0"/>
    <s v="Undersecured"/>
    <x v="11"/>
    <n v="771"/>
    <s v="Very Low Risk"/>
    <s v="High Risk Exposure"/>
    <s v="High"/>
  </r>
  <r>
    <s v="LN1177"/>
    <s v="C0295"/>
    <s v="B12"/>
    <x v="0"/>
    <n v="6000000"/>
    <n v="0.19620000000000001"/>
    <d v="2021-05-26T00:00:00"/>
    <n v="72"/>
    <n v="10"/>
    <n v="5040000"/>
    <x v="0"/>
    <n v="142398.41197934633"/>
    <d v="2027-05-26T00:00:00"/>
    <n v="0.84"/>
    <s v="Undersecured"/>
    <x v="12"/>
    <n v="747"/>
    <s v="Very Low Risk"/>
    <s v="High Risk Exposure"/>
    <s v="High"/>
  </r>
  <r>
    <s v="LN1178"/>
    <s v="C0466"/>
    <s v="B03"/>
    <x v="2"/>
    <n v="80000000"/>
    <n v="0.13750000000000001"/>
    <d v="2023-06-24T00:00:00"/>
    <n v="60"/>
    <n v="20"/>
    <n v="48800000"/>
    <x v="0"/>
    <n v="1851107.5880466925"/>
    <d v="2028-06-24T00:00:00"/>
    <n v="0.61"/>
    <s v="Undersecured"/>
    <x v="7"/>
    <n v="368"/>
    <s v="High Risk"/>
    <s v="High Risk Exposure"/>
    <s v="High"/>
  </r>
  <r>
    <s v="LN1179"/>
    <s v="C0653"/>
    <s v="B09"/>
    <x v="2"/>
    <n v="80000000"/>
    <n v="9.4299999999999995E-2"/>
    <d v="2020-04-05T00:00:00"/>
    <n v="24"/>
    <n v="0"/>
    <n v="40800000"/>
    <x v="0"/>
    <n v="3670582.9423336633"/>
    <d v="2022-04-05T00:00:00"/>
    <n v="0.51"/>
    <s v="Undersecured"/>
    <x v="8"/>
    <n v="755"/>
    <s v="Very Low Risk"/>
    <s v="High Risk Exposure"/>
    <s v="High"/>
  </r>
  <r>
    <s v="LN1180"/>
    <s v="C0349"/>
    <s v="B07"/>
    <x v="1"/>
    <n v="500000"/>
    <n v="0.24279999999999999"/>
    <d v="2022-04-10T00:00:00"/>
    <n v="72"/>
    <n v="0"/>
    <n v="0"/>
    <x v="0"/>
    <n v="13248.532425319074"/>
    <d v="2028-04-10T00:00:00"/>
    <n v="0"/>
    <s v="Undersecured"/>
    <x v="0"/>
    <n v="789"/>
    <s v="Very Low Risk"/>
    <s v="High Risk Exposure"/>
    <s v="High"/>
  </r>
  <r>
    <s v="LN1181"/>
    <s v="C0103"/>
    <s v="B07"/>
    <x v="0"/>
    <n v="25000000"/>
    <n v="0.20549999999999999"/>
    <d v="2020-08-26T00:00:00"/>
    <n v="48"/>
    <n v="0"/>
    <n v="21250000"/>
    <x v="0"/>
    <n v="768104.200057699"/>
    <d v="2024-08-26T00:00:00"/>
    <n v="0.85"/>
    <s v="Undersecured"/>
    <x v="0"/>
    <n v="641"/>
    <s v="Medium Risk"/>
    <s v="High Risk Exposure"/>
    <s v="High"/>
  </r>
  <r>
    <s v="LN1182"/>
    <s v="C0293"/>
    <s v="B07"/>
    <x v="0"/>
    <n v="1000000"/>
    <n v="0.18559999999999999"/>
    <d v="2022-04-22T00:00:00"/>
    <n v="72"/>
    <n v="120"/>
    <n v="1410000"/>
    <x v="1"/>
    <n v="23125.503421866852"/>
    <d v="2028-04-22T00:00:00"/>
    <n v="1.41"/>
    <s v="Secured"/>
    <x v="0"/>
    <n v="679"/>
    <s v="Low Risk"/>
    <s v="High Risk Exposure"/>
    <s v="Critical"/>
  </r>
  <r>
    <s v="LN1183"/>
    <s v="C0616"/>
    <s v="B06"/>
    <x v="0"/>
    <n v="1000000"/>
    <n v="0.22239999999999999"/>
    <d v="2025-02-27T00:00:00"/>
    <n v="24"/>
    <n v="0"/>
    <n v="1180000"/>
    <x v="0"/>
    <n v="51996.749802949031"/>
    <d v="2027-02-27T00:00:00"/>
    <n v="1.18"/>
    <s v="Secured"/>
    <x v="6"/>
    <n v="529"/>
    <s v="High Risk"/>
    <s v="High Risk Exposure"/>
    <s v="High"/>
  </r>
  <r>
    <s v="LN1184"/>
    <s v="C0288"/>
    <s v="B08"/>
    <x v="3"/>
    <n v="6000000"/>
    <n v="0.1389"/>
    <d v="2025-01-09T00:00:00"/>
    <n v="60"/>
    <n v="10"/>
    <n v="7980000"/>
    <x v="0"/>
    <n v="139267.57259403897"/>
    <d v="2030-01-09T00:00:00"/>
    <n v="1.33"/>
    <s v="Secured"/>
    <x v="5"/>
    <n v="423"/>
    <s v="High Risk"/>
    <s v="High Risk Exposure"/>
    <s v="High"/>
  </r>
  <r>
    <s v="LN1185"/>
    <s v="C0686"/>
    <s v="B09"/>
    <x v="1"/>
    <n v="100000"/>
    <n v="0.25140000000000001"/>
    <d v="2023-05-10T00:00:00"/>
    <n v="72"/>
    <n v="0"/>
    <n v="0"/>
    <x v="0"/>
    <n v="2702.3147728943504"/>
    <d v="2029-05-10T00:00:00"/>
    <n v="0"/>
    <s v="Undersecured"/>
    <x v="8"/>
    <n v="419"/>
    <s v="High Risk"/>
    <s v="High Risk Exposure"/>
    <s v="High"/>
  </r>
  <r>
    <s v="LN1186"/>
    <s v="C0126"/>
    <s v="B04"/>
    <x v="0"/>
    <n v="1000000"/>
    <n v="0.22020000000000001"/>
    <d v="2020-09-14T00:00:00"/>
    <n v="12"/>
    <n v="10"/>
    <n v="1030000"/>
    <x v="0"/>
    <n v="93604.005392343475"/>
    <d v="2021-09-14T00:00:00"/>
    <n v="1.03"/>
    <s v="Secured"/>
    <x v="14"/>
    <n v="649"/>
    <s v="Medium Risk"/>
    <s v="Normal"/>
    <s v="Normal"/>
  </r>
  <r>
    <s v="LN1187"/>
    <s v="C0504"/>
    <s v="B06"/>
    <x v="1"/>
    <n v="100000"/>
    <n v="0.20699999999999999"/>
    <d v="2025-11-16T00:00:00"/>
    <n v="24"/>
    <n v="120"/>
    <n v="0"/>
    <x v="1"/>
    <n v="5123.8417305326057"/>
    <d v="2027-11-16T00:00:00"/>
    <n v="0"/>
    <s v="Undersecured"/>
    <x v="6"/>
    <n v="834"/>
    <s v="Prime"/>
    <s v="High Risk Exposure"/>
    <s v="Critical"/>
  </r>
  <r>
    <s v="LN1188"/>
    <s v="C0400"/>
    <s v="B05"/>
    <x v="0"/>
    <n v="6000000"/>
    <n v="0.15140000000000001"/>
    <d v="2025-07-28T00:00:00"/>
    <n v="24"/>
    <n v="0"/>
    <n v="4560000"/>
    <x v="0"/>
    <n v="291319.14324389625"/>
    <d v="2027-07-28T00:00:00"/>
    <n v="0.76"/>
    <s v="Undersecured"/>
    <x v="4"/>
    <n v="441"/>
    <s v="High Risk"/>
    <s v="High Risk Exposure"/>
    <s v="High"/>
  </r>
  <r>
    <s v="LN1189"/>
    <s v="C0336"/>
    <s v="B13"/>
    <x v="1"/>
    <n v="250000"/>
    <n v="0.23449999999999999"/>
    <d v="2023-09-22T00:00:00"/>
    <n v="72"/>
    <n v="45"/>
    <n v="0"/>
    <x v="2"/>
    <n v="6498.4891997514642"/>
    <d v="2029-09-22T00:00:00"/>
    <n v="0"/>
    <s v="Undersecured"/>
    <x v="2"/>
    <n v="655"/>
    <s v="Medium Risk"/>
    <s v="High Risk Exposure"/>
    <s v="High"/>
  </r>
  <r>
    <s v="LN1190"/>
    <s v="C0509"/>
    <s v="B02"/>
    <x v="0"/>
    <n v="25000000"/>
    <n v="0.14960000000000001"/>
    <d v="2023-08-06T00:00:00"/>
    <n v="12"/>
    <n v="90"/>
    <n v="16000000"/>
    <x v="2"/>
    <n v="2255985.9651771323"/>
    <d v="2024-08-06T00:00:00"/>
    <n v="0.64"/>
    <s v="Undersecured"/>
    <x v="11"/>
    <n v="662"/>
    <s v="Medium Risk"/>
    <s v="High Risk Exposure"/>
    <s v="High"/>
  </r>
  <r>
    <s v="LN1191"/>
    <s v="C0060"/>
    <s v="B03"/>
    <x v="0"/>
    <n v="3000000"/>
    <n v="0.22650000000000001"/>
    <d v="2021-09-24T00:00:00"/>
    <n v="24"/>
    <n v="20"/>
    <n v="3120000"/>
    <x v="0"/>
    <n v="156599.10707584524"/>
    <d v="2023-09-24T00:00:00"/>
    <n v="1.04"/>
    <s v="Secured"/>
    <x v="7"/>
    <n v="748"/>
    <s v="Very Low Risk"/>
    <s v="Normal"/>
    <s v="Normal"/>
  </r>
  <r>
    <s v="LN1192"/>
    <s v="C0276"/>
    <s v="B15"/>
    <x v="0"/>
    <n v="1000000"/>
    <n v="0.18579999999999999"/>
    <d v="2025-11-28T00:00:00"/>
    <n v="72"/>
    <n v="120"/>
    <n v="1050000"/>
    <x v="1"/>
    <n v="23136.892249859771"/>
    <d v="2031-11-28T00:00:00"/>
    <n v="1.05"/>
    <s v="Secured"/>
    <x v="9"/>
    <n v="486"/>
    <s v="High Risk"/>
    <s v="High Risk Exposure"/>
    <s v="Critical"/>
  </r>
  <r>
    <s v="LN1193"/>
    <s v="C0380"/>
    <s v="B11"/>
    <x v="1"/>
    <n v="250000"/>
    <n v="0.26100000000000001"/>
    <d v="2021-12-15T00:00:00"/>
    <n v="12"/>
    <n v="0"/>
    <n v="0"/>
    <x v="0"/>
    <n v="23894.70139611623"/>
    <d v="2022-12-15T00:00:00"/>
    <n v="0"/>
    <s v="Undersecured"/>
    <x v="10"/>
    <n v="692"/>
    <s v="Low Risk"/>
    <s v="High Risk Exposure"/>
    <s v="High"/>
  </r>
  <r>
    <s v="LN1194"/>
    <s v="C0480"/>
    <s v="B08"/>
    <x v="3"/>
    <n v="3000000"/>
    <n v="0.1419"/>
    <d v="2021-10-17T00:00:00"/>
    <n v="24"/>
    <n v="20"/>
    <n v="2730000"/>
    <x v="0"/>
    <n v="144308.07206657421"/>
    <d v="2023-10-17T00:00:00"/>
    <n v="0.91"/>
    <s v="Undersecured"/>
    <x v="5"/>
    <n v="493"/>
    <s v="High Risk"/>
    <s v="High Risk Exposure"/>
    <s v="High"/>
  </r>
  <r>
    <s v="LN1195"/>
    <s v="C0464"/>
    <s v="B07"/>
    <x v="2"/>
    <n v="6000000"/>
    <n v="0.1153"/>
    <d v="2025-09-09T00:00:00"/>
    <n v="24"/>
    <n v="90"/>
    <n v="8400000"/>
    <x v="2"/>
    <n v="281125.71330254618"/>
    <d v="2027-09-09T00:00:00"/>
    <n v="1.4"/>
    <s v="Secured"/>
    <x v="0"/>
    <n v="310"/>
    <s v="High Risk"/>
    <s v="High Risk Exposure"/>
    <s v="High"/>
  </r>
  <r>
    <s v="LN1196"/>
    <s v="C0306"/>
    <s v="B05"/>
    <x v="1"/>
    <n v="500000"/>
    <n v="0.19980000000000001"/>
    <d v="2025-04-17T00:00:00"/>
    <n v="48"/>
    <n v="45"/>
    <n v="0"/>
    <x v="2"/>
    <n v="15209.853734316386"/>
    <d v="2029-04-17T00:00:00"/>
    <n v="0"/>
    <s v="Undersecured"/>
    <x v="4"/>
    <n v="457"/>
    <s v="High Risk"/>
    <s v="High Risk Exposure"/>
    <s v="High"/>
  </r>
  <r>
    <s v="LN1197"/>
    <s v="C0210"/>
    <s v="B11"/>
    <x v="1"/>
    <n v="1000000"/>
    <n v="0.16520000000000001"/>
    <d v="2024-05-09T00:00:00"/>
    <n v="24"/>
    <n v="20"/>
    <n v="0"/>
    <x v="0"/>
    <n v="49211.934948427726"/>
    <d v="2026-05-09T00:00:00"/>
    <n v="0"/>
    <s v="Undersecured"/>
    <x v="10"/>
    <n v="305"/>
    <s v="High Risk"/>
    <s v="High Risk Exposure"/>
    <s v="High"/>
  </r>
  <r>
    <s v="LN1198"/>
    <s v="C0675"/>
    <s v="B13"/>
    <x v="0"/>
    <n v="25000000"/>
    <n v="0.2109"/>
    <d v="2023-11-03T00:00:00"/>
    <n v="48"/>
    <n v="0"/>
    <n v="13500000"/>
    <x v="0"/>
    <n v="775353.07985310804"/>
    <d v="2027-11-03T00:00:00"/>
    <n v="0.54"/>
    <s v="Undersecured"/>
    <x v="2"/>
    <n v="563"/>
    <s v="High Risk"/>
    <s v="High Risk Exposure"/>
    <s v="High"/>
  </r>
  <r>
    <s v="LN1199"/>
    <s v="C0603"/>
    <s v="B11"/>
    <x v="3"/>
    <n v="1000000"/>
    <n v="0.14860000000000001"/>
    <d v="2023-08-06T00:00:00"/>
    <n v="48"/>
    <n v="20"/>
    <n v="720000"/>
    <x v="0"/>
    <n v="27759.832809759198"/>
    <d v="2027-08-06T00:00:00"/>
    <n v="0.72"/>
    <s v="Undersecured"/>
    <x v="10"/>
    <n v="802"/>
    <s v="Prime"/>
    <s v="High Risk Exposure"/>
    <s v="High"/>
  </r>
  <r>
    <s v="LN1200"/>
    <s v="C0005"/>
    <s v="B02"/>
    <x v="2"/>
    <n v="80000000"/>
    <n v="0.11"/>
    <d v="2024-08-26T00:00:00"/>
    <n v="60"/>
    <n v="10"/>
    <n v="70400000"/>
    <x v="0"/>
    <n v="1739393.8458114646"/>
    <d v="2029-08-26T00:00:00"/>
    <n v="0.88"/>
    <s v="Undersecured"/>
    <x v="11"/>
    <n v="576"/>
    <s v="High Risk"/>
    <s v="High Risk Exposure"/>
    <s v="High"/>
  </r>
  <r>
    <s v="LN1201"/>
    <s v="C0126"/>
    <s v="B05"/>
    <x v="1"/>
    <n v="1000000"/>
    <n v="0.20760000000000001"/>
    <d v="2020-01-20T00:00:00"/>
    <n v="12"/>
    <n v="0"/>
    <n v="0"/>
    <x v="0"/>
    <n v="92998.627365471562"/>
    <d v="2021-01-20T00:00:00"/>
    <n v="0"/>
    <s v="Undersecured"/>
    <x v="4"/>
    <n v="649"/>
    <s v="Medium Risk"/>
    <s v="High Risk Exposure"/>
    <s v="High"/>
  </r>
  <r>
    <s v="LN1202"/>
    <s v="C0169"/>
    <s v="B02"/>
    <x v="2"/>
    <n v="25000000"/>
    <n v="0.13400000000000001"/>
    <d v="2025-12-18T00:00:00"/>
    <n v="36"/>
    <n v="0"/>
    <n v="14250000"/>
    <x v="0"/>
    <n v="847173.49098156404"/>
    <d v="2028-12-18T00:00:00"/>
    <n v="0.56999999999999995"/>
    <s v="Undersecured"/>
    <x v="11"/>
    <n v="737"/>
    <s v="Low Risk"/>
    <s v="High Risk Exposure"/>
    <s v="High"/>
  </r>
  <r>
    <s v="LN1203"/>
    <s v="C0620"/>
    <s v="B15"/>
    <x v="0"/>
    <n v="6000000"/>
    <n v="0.15709999999999999"/>
    <d v="2021-03-09T00:00:00"/>
    <n v="48"/>
    <n v="20"/>
    <n v="5400000"/>
    <x v="0"/>
    <n v="169151.85967700277"/>
    <d v="2025-03-09T00:00:00"/>
    <n v="0.9"/>
    <s v="Undersecured"/>
    <x v="9"/>
    <n v="653"/>
    <s v="Medium Risk"/>
    <s v="High Risk Exposure"/>
    <s v="High"/>
  </r>
  <r>
    <s v="LN1204"/>
    <s v="C0032"/>
    <s v="B05"/>
    <x v="2"/>
    <n v="80000000"/>
    <n v="0.10639999999999999"/>
    <d v="2025-05-06T00:00:00"/>
    <n v="48"/>
    <n v="0"/>
    <n v="96000000"/>
    <x v="0"/>
    <n v="2053683.5322380075"/>
    <d v="2029-05-06T00:00:00"/>
    <n v="1.2"/>
    <s v="Secured"/>
    <x v="4"/>
    <n v="459"/>
    <s v="High Risk"/>
    <s v="High Risk Exposure"/>
    <s v="High"/>
  </r>
  <r>
    <s v="LN1205"/>
    <s v="C0172"/>
    <s v="B09"/>
    <x v="1"/>
    <n v="500000"/>
    <n v="0.1764"/>
    <d v="2022-10-23T00:00:00"/>
    <n v="12"/>
    <n v="0"/>
    <n v="0"/>
    <x v="0"/>
    <n v="45754.375605892252"/>
    <d v="2023-10-23T00:00:00"/>
    <n v="0"/>
    <s v="Undersecured"/>
    <x v="8"/>
    <n v="446"/>
    <s v="High Risk"/>
    <s v="High Risk Exposure"/>
    <s v="High"/>
  </r>
  <r>
    <s v="LN1206"/>
    <s v="C0457"/>
    <s v="B06"/>
    <x v="2"/>
    <n v="6000000"/>
    <n v="0.12859999999999999"/>
    <d v="2025-09-27T00:00:00"/>
    <n v="48"/>
    <n v="45"/>
    <n v="4380000"/>
    <x v="2"/>
    <n v="160548.37507092656"/>
    <d v="2029-09-27T00:00:00"/>
    <n v="0.73"/>
    <s v="Undersecured"/>
    <x v="6"/>
    <n v="306"/>
    <s v="High Risk"/>
    <s v="High Risk Exposure"/>
    <s v="High"/>
  </r>
  <r>
    <s v="LN1207"/>
    <s v="C0535"/>
    <s v="B07"/>
    <x v="2"/>
    <n v="80000000"/>
    <n v="9.4899999999999998E-2"/>
    <d v="2025-10-19T00:00:00"/>
    <n v="12"/>
    <n v="0"/>
    <n v="81600000"/>
    <x v="0"/>
    <n v="7014309.4189342186"/>
    <d v="2026-10-19T00:00:00"/>
    <n v="1.02"/>
    <s v="Secured"/>
    <x v="0"/>
    <n v="717"/>
    <s v="Low Risk"/>
    <s v="Normal"/>
    <s v="Normal"/>
  </r>
  <r>
    <s v="LN1208"/>
    <s v="C0296"/>
    <s v="B11"/>
    <x v="2"/>
    <n v="25000000"/>
    <n v="9.2399999999999996E-2"/>
    <d v="2022-11-02T00:00:00"/>
    <n v="72"/>
    <n v="0"/>
    <n v="23500000"/>
    <x v="0"/>
    <n v="453622.04132255266"/>
    <d v="2028-11-02T00:00:00"/>
    <n v="0.94"/>
    <s v="Undersecured"/>
    <x v="10"/>
    <n v="525"/>
    <s v="High Risk"/>
    <s v="High Risk Exposure"/>
    <s v="High"/>
  </r>
  <r>
    <s v="LN1209"/>
    <s v="C0127"/>
    <s v="B05"/>
    <x v="2"/>
    <n v="80000000"/>
    <n v="9.9299999999999999E-2"/>
    <d v="2024-05-19T00:00:00"/>
    <n v="48"/>
    <n v="0"/>
    <n v="88000000"/>
    <x v="0"/>
    <n v="2026318.3661610147"/>
    <d v="2028-05-19T00:00:00"/>
    <n v="1.1000000000000001"/>
    <s v="Secured"/>
    <x v="4"/>
    <n v="822"/>
    <s v="Prime"/>
    <s v="Normal"/>
    <s v="Normal"/>
  </r>
  <r>
    <s v="LN1210"/>
    <s v="C0465"/>
    <s v="B15"/>
    <x v="0"/>
    <n v="1000000"/>
    <n v="0.21920000000000001"/>
    <d v="2020-11-03T00:00:00"/>
    <n v="24"/>
    <n v="90"/>
    <n v="760000"/>
    <x v="2"/>
    <n v="51838.656814681883"/>
    <d v="2022-11-03T00:00:00"/>
    <n v="0.76"/>
    <s v="Undersecured"/>
    <x v="9"/>
    <n v="358"/>
    <s v="High Risk"/>
    <s v="High Risk Exposure"/>
    <s v="High"/>
  </r>
  <r>
    <s v="LN1211"/>
    <s v="C0341"/>
    <s v="B02"/>
    <x v="1"/>
    <n v="100000"/>
    <n v="0.2157"/>
    <d v="2022-09-13T00:00:00"/>
    <n v="36"/>
    <n v="5"/>
    <n v="0"/>
    <x v="0"/>
    <n v="3796.8360319583826"/>
    <d v="2025-09-13T00:00:00"/>
    <n v="0"/>
    <s v="Undersecured"/>
    <x v="11"/>
    <n v="623"/>
    <s v="Medium Risk"/>
    <s v="High Risk Exposure"/>
    <s v="High"/>
  </r>
  <r>
    <s v="LN1212"/>
    <s v="C0232"/>
    <s v="B12"/>
    <x v="3"/>
    <n v="6000000"/>
    <n v="0.16689999999999999"/>
    <d v="2020-09-27T00:00:00"/>
    <n v="24"/>
    <n v="0"/>
    <n v="5100000"/>
    <x v="0"/>
    <n v="295760.63442901487"/>
    <d v="2022-09-27T00:00:00"/>
    <n v="0.85"/>
    <s v="Undersecured"/>
    <x v="12"/>
    <n v="733"/>
    <s v="Low Risk"/>
    <s v="High Risk Exposure"/>
    <s v="High"/>
  </r>
  <r>
    <s v="LN1213"/>
    <s v="C0517"/>
    <s v="B14"/>
    <x v="1"/>
    <n v="500000"/>
    <n v="0.19869999999999999"/>
    <d v="2024-04-10T00:00:00"/>
    <n v="24"/>
    <n v="90"/>
    <n v="0"/>
    <x v="2"/>
    <n v="25416.158896329558"/>
    <d v="2026-04-10T00:00:00"/>
    <n v="0"/>
    <s v="Undersecured"/>
    <x v="13"/>
    <n v="430"/>
    <s v="High Risk"/>
    <s v="High Risk Exposure"/>
    <s v="High"/>
  </r>
  <r>
    <s v="LN1214"/>
    <s v="C0283"/>
    <s v="B12"/>
    <x v="1"/>
    <n v="500000"/>
    <n v="0.1802"/>
    <d v="2024-04-17T00:00:00"/>
    <n v="12"/>
    <n v="10"/>
    <n v="0"/>
    <x v="0"/>
    <n v="45844.755721843401"/>
    <d v="2025-04-17T00:00:00"/>
    <n v="0"/>
    <s v="Undersecured"/>
    <x v="12"/>
    <n v="487"/>
    <s v="High Risk"/>
    <s v="High Risk Exposure"/>
    <s v="High"/>
  </r>
  <r>
    <s v="LN1215"/>
    <s v="C0103"/>
    <s v="B15"/>
    <x v="1"/>
    <n v="250000"/>
    <n v="0.2586"/>
    <d v="2022-12-24T00:00:00"/>
    <n v="48"/>
    <n v="0"/>
    <n v="0"/>
    <x v="0"/>
    <n v="8409.6473374681827"/>
    <d v="2026-12-24T00:00:00"/>
    <n v="0"/>
    <s v="Undersecured"/>
    <x v="9"/>
    <n v="641"/>
    <s v="Medium Risk"/>
    <s v="High Risk Exposure"/>
    <s v="High"/>
  </r>
  <r>
    <s v="LN1216"/>
    <s v="C0368"/>
    <s v="B13"/>
    <x v="0"/>
    <n v="6000000"/>
    <n v="0.1862"/>
    <d v="2025-05-14T00:00:00"/>
    <n v="24"/>
    <n v="0"/>
    <n v="7440000"/>
    <x v="0"/>
    <n v="301345.11884345987"/>
    <d v="2027-05-14T00:00:00"/>
    <n v="1.24"/>
    <s v="Secured"/>
    <x v="2"/>
    <n v="799"/>
    <s v="Very Low Risk"/>
    <s v="Normal"/>
    <s v="Normal"/>
  </r>
  <r>
    <s v="LN1217"/>
    <s v="C0402"/>
    <s v="B12"/>
    <x v="0"/>
    <n v="6000000"/>
    <n v="0.2346"/>
    <d v="2022-11-27T00:00:00"/>
    <n v="72"/>
    <n v="10"/>
    <n v="4500000"/>
    <x v="0"/>
    <n v="155999.94630618667"/>
    <d v="2028-11-27T00:00:00"/>
    <n v="0.75"/>
    <s v="Undersecured"/>
    <x v="12"/>
    <n v="316"/>
    <s v="High Risk"/>
    <s v="High Risk Exposure"/>
    <s v="High"/>
  </r>
  <r>
    <s v="LN1218"/>
    <s v="C0654"/>
    <s v="B04"/>
    <x v="0"/>
    <n v="6000000"/>
    <n v="0.19320000000000001"/>
    <d v="2025-07-07T00:00:00"/>
    <n v="72"/>
    <n v="120"/>
    <n v="8580000"/>
    <x v="1"/>
    <n v="141361.80390177868"/>
    <d v="2031-07-07T00:00:00"/>
    <n v="1.43"/>
    <s v="Secured"/>
    <x v="14"/>
    <n v="511"/>
    <s v="High Risk"/>
    <s v="High Risk Exposure"/>
    <s v="Critical"/>
  </r>
  <r>
    <s v="LN1219"/>
    <s v="C0287"/>
    <s v="B09"/>
    <x v="1"/>
    <n v="1000000"/>
    <n v="0.1653"/>
    <d v="2024-03-21T00:00:00"/>
    <n v="36"/>
    <n v="5"/>
    <n v="0"/>
    <x v="0"/>
    <n v="35419.255197050843"/>
    <d v="2027-03-21T00:00:00"/>
    <n v="0"/>
    <s v="Undersecured"/>
    <x v="8"/>
    <n v="657"/>
    <s v="Medium Risk"/>
    <s v="High Risk Exposure"/>
    <s v="High"/>
  </r>
  <r>
    <s v="LN1220"/>
    <s v="C0263"/>
    <s v="B14"/>
    <x v="0"/>
    <n v="25000000"/>
    <n v="0.17699999999999999"/>
    <d v="2024-12-01T00:00:00"/>
    <n v="12"/>
    <n v="120"/>
    <n v="31250000"/>
    <x v="1"/>
    <n v="2288431.9847386833"/>
    <d v="2025-12-01T00:00:00"/>
    <n v="1.25"/>
    <s v="Secured"/>
    <x v="13"/>
    <n v="795"/>
    <s v="Very Low Risk"/>
    <s v="High Risk Exposure"/>
    <s v="Critical"/>
  </r>
  <r>
    <s v="LN1221"/>
    <s v="C0084"/>
    <s v="B15"/>
    <x v="2"/>
    <n v="25000000"/>
    <n v="9.3100000000000002E-2"/>
    <d v="2022-08-27T00:00:00"/>
    <n v="24"/>
    <n v="5"/>
    <n v="22000000"/>
    <x v="0"/>
    <n v="1145677.6816903767"/>
    <d v="2024-08-27T00:00:00"/>
    <n v="0.88"/>
    <s v="Undersecured"/>
    <x v="9"/>
    <n v="767"/>
    <s v="Very Low Risk"/>
    <s v="High Risk Exposure"/>
    <s v="High"/>
  </r>
  <r>
    <s v="LN1222"/>
    <s v="C0283"/>
    <s v="B12"/>
    <x v="1"/>
    <n v="100000"/>
    <n v="0.2273"/>
    <d v="2023-04-08T00:00:00"/>
    <n v="48"/>
    <n v="0"/>
    <n v="0"/>
    <x v="0"/>
    <n v="3190.3723708866978"/>
    <d v="2027-04-08T00:00:00"/>
    <n v="0"/>
    <s v="Undersecured"/>
    <x v="12"/>
    <n v="487"/>
    <s v="High Risk"/>
    <s v="High Risk Exposure"/>
    <s v="High"/>
  </r>
  <r>
    <s v="LN1223"/>
    <s v="C0422"/>
    <s v="B05"/>
    <x v="3"/>
    <n v="500000"/>
    <n v="0.1759"/>
    <d v="2024-10-25T00:00:00"/>
    <n v="36"/>
    <n v="45"/>
    <n v="650000"/>
    <x v="2"/>
    <n v="17973.526066977593"/>
    <d v="2027-10-25T00:00:00"/>
    <n v="1.3"/>
    <s v="Secured"/>
    <x v="4"/>
    <n v="653"/>
    <s v="Medium Risk"/>
    <s v="High Risk Exposure"/>
    <s v="High"/>
  </r>
  <r>
    <s v="LN1224"/>
    <s v="C0553"/>
    <s v="B15"/>
    <x v="1"/>
    <n v="100000"/>
    <n v="0.24990000000000001"/>
    <d v="2024-04-04T00:00:00"/>
    <n v="60"/>
    <n v="20"/>
    <n v="0"/>
    <x v="0"/>
    <n v="2934.5461023323678"/>
    <d v="2029-04-04T00:00:00"/>
    <n v="0"/>
    <s v="Undersecured"/>
    <x v="9"/>
    <n v="634"/>
    <s v="Medium Risk"/>
    <s v="High Risk Exposure"/>
    <s v="High"/>
  </r>
  <r>
    <s v="LN1225"/>
    <s v="C0066"/>
    <s v="B10"/>
    <x v="3"/>
    <n v="500000"/>
    <n v="0.18440000000000001"/>
    <d v="2025-02-13T00:00:00"/>
    <n v="24"/>
    <n v="45"/>
    <n v="570000"/>
    <x v="2"/>
    <n v="25068.47962086519"/>
    <d v="2027-02-13T00:00:00"/>
    <n v="1.1399999999999999"/>
    <s v="Secured"/>
    <x v="3"/>
    <n v="506"/>
    <s v="High Risk"/>
    <s v="High Risk Exposure"/>
    <s v="High"/>
  </r>
  <r>
    <s v="LN1226"/>
    <s v="C0331"/>
    <s v="B11"/>
    <x v="1"/>
    <n v="1000000"/>
    <n v="0.16009999999999999"/>
    <d v="2021-06-07T00:00:00"/>
    <n v="60"/>
    <n v="5"/>
    <n v="0"/>
    <x v="0"/>
    <n v="24323.370760029662"/>
    <d v="2026-06-07T00:00:00"/>
    <n v="0"/>
    <s v="Undersecured"/>
    <x v="10"/>
    <n v="769"/>
    <s v="Very Low Risk"/>
    <s v="High Risk Exposure"/>
    <s v="High"/>
  </r>
  <r>
    <s v="LN1227"/>
    <s v="C0398"/>
    <s v="B12"/>
    <x v="2"/>
    <n v="6000000"/>
    <n v="0.12280000000000001"/>
    <d v="2023-08-20T00:00:00"/>
    <n v="48"/>
    <n v="5"/>
    <n v="4140000"/>
    <x v="0"/>
    <n v="158829.13484598065"/>
    <d v="2027-08-20T00:00:00"/>
    <n v="0.69"/>
    <s v="Undersecured"/>
    <x v="12"/>
    <n v="687"/>
    <s v="Low Risk"/>
    <s v="High Risk Exposure"/>
    <s v="High"/>
  </r>
  <r>
    <s v="LN1228"/>
    <s v="C0108"/>
    <s v="B01"/>
    <x v="1"/>
    <n v="1000000"/>
    <n v="0.17100000000000001"/>
    <d v="2024-02-07T00:00:00"/>
    <n v="36"/>
    <n v="10"/>
    <n v="0"/>
    <x v="0"/>
    <n v="35702.515795809013"/>
    <d v="2027-02-07T00:00:00"/>
    <n v="0"/>
    <s v="Undersecured"/>
    <x v="1"/>
    <n v="833"/>
    <s v="Prime"/>
    <s v="High Risk Exposure"/>
    <s v="High"/>
  </r>
  <r>
    <s v="LN1229"/>
    <s v="C0672"/>
    <s v="B14"/>
    <x v="2"/>
    <n v="6000000"/>
    <n v="0.12130000000000001"/>
    <d v="2024-11-23T00:00:00"/>
    <n v="48"/>
    <n v="0"/>
    <n v="5400000"/>
    <x v="0"/>
    <n v="158386.256723122"/>
    <d v="2028-11-23T00:00:00"/>
    <n v="0.9"/>
    <s v="Undersecured"/>
    <x v="13"/>
    <n v="656"/>
    <s v="Medium Risk"/>
    <s v="High Risk Exposure"/>
    <s v="High"/>
  </r>
  <r>
    <s v="LN1230"/>
    <s v="C0233"/>
    <s v="B15"/>
    <x v="1"/>
    <n v="500000"/>
    <n v="0.27300000000000002"/>
    <d v="2020-07-26T00:00:00"/>
    <n v="36"/>
    <n v="10"/>
    <n v="0"/>
    <x v="0"/>
    <n v="20493.165598422514"/>
    <d v="2023-07-26T00:00:00"/>
    <n v="0"/>
    <s v="Undersecured"/>
    <x v="9"/>
    <n v="805"/>
    <s v="Prime"/>
    <s v="High Risk Exposure"/>
    <s v="High"/>
  </r>
  <r>
    <s v="LN1231"/>
    <s v="C0607"/>
    <s v="B10"/>
    <x v="1"/>
    <n v="500000"/>
    <n v="0.24560000000000001"/>
    <d v="2023-07-14T00:00:00"/>
    <n v="48"/>
    <n v="0"/>
    <n v="0"/>
    <x v="0"/>
    <n v="16456.097470480614"/>
    <d v="2027-07-14T00:00:00"/>
    <n v="0"/>
    <s v="Undersecured"/>
    <x v="3"/>
    <n v="504"/>
    <s v="High Risk"/>
    <s v="High Risk Exposure"/>
    <s v="High"/>
  </r>
  <r>
    <s v="LN1232"/>
    <s v="C0112"/>
    <s v="B01"/>
    <x v="1"/>
    <n v="1000000"/>
    <n v="0.16339999999999999"/>
    <d v="2021-11-19T00:00:00"/>
    <n v="72"/>
    <n v="0"/>
    <n v="0"/>
    <x v="0"/>
    <n v="21879.466636239144"/>
    <d v="2027-11-19T00:00:00"/>
    <n v="0"/>
    <s v="Undersecured"/>
    <x v="1"/>
    <n v="527"/>
    <s v="High Risk"/>
    <s v="High Risk Exposure"/>
    <s v="High"/>
  </r>
  <r>
    <s v="LN1233"/>
    <s v="C0152"/>
    <s v="B01"/>
    <x v="0"/>
    <n v="3000000"/>
    <n v="0.17749999999999999"/>
    <d v="2020-05-13T00:00:00"/>
    <n v="12"/>
    <n v="20"/>
    <n v="2010000"/>
    <x v="0"/>
    <n v="274683.16971043294"/>
    <d v="2021-05-13T00:00:00"/>
    <n v="0.67"/>
    <s v="Undersecured"/>
    <x v="1"/>
    <n v="831"/>
    <s v="Prime"/>
    <s v="High Risk Exposure"/>
    <s v="High"/>
  </r>
  <r>
    <s v="LN1234"/>
    <s v="C0186"/>
    <s v="B08"/>
    <x v="1"/>
    <n v="500000"/>
    <n v="0.20080000000000001"/>
    <d v="2021-12-16T00:00:00"/>
    <n v="36"/>
    <n v="90"/>
    <n v="0"/>
    <x v="2"/>
    <n v="18602.179021725569"/>
    <d v="2024-12-16T00:00:00"/>
    <n v="0"/>
    <s v="Undersecured"/>
    <x v="5"/>
    <n v="808"/>
    <s v="Prime"/>
    <s v="High Risk Exposure"/>
    <s v="High"/>
  </r>
  <r>
    <s v="LN1235"/>
    <s v="C0345"/>
    <s v="B14"/>
    <x v="0"/>
    <n v="1000000"/>
    <n v="0.20330000000000001"/>
    <d v="2024-09-04T00:00:00"/>
    <n v="48"/>
    <n v="0"/>
    <n v="1140000"/>
    <x v="0"/>
    <n v="30606.461426043497"/>
    <d v="2028-09-04T00:00:00"/>
    <n v="1.1399999999999999"/>
    <s v="Secured"/>
    <x v="13"/>
    <n v="349"/>
    <s v="High Risk"/>
    <s v="High Risk Exposure"/>
    <s v="High"/>
  </r>
  <r>
    <s v="LN1236"/>
    <s v="C0078"/>
    <s v="B15"/>
    <x v="0"/>
    <n v="3000000"/>
    <n v="0.2341"/>
    <d v="2025-07-06T00:00:00"/>
    <n v="36"/>
    <n v="120"/>
    <n v="2370000"/>
    <x v="1"/>
    <n v="116771.21772565643"/>
    <d v="2028-07-06T00:00:00"/>
    <n v="0.79"/>
    <s v="Undersecured"/>
    <x v="9"/>
    <n v="474"/>
    <s v="High Risk"/>
    <s v="High Risk Exposure"/>
    <s v="Critical"/>
  </r>
  <r>
    <s v="LN1237"/>
    <s v="C0397"/>
    <s v="B02"/>
    <x v="2"/>
    <n v="80000000"/>
    <n v="9.1300000000000006E-2"/>
    <d v="2020-05-23T00:00:00"/>
    <n v="72"/>
    <n v="0"/>
    <n v="105600000"/>
    <x v="0"/>
    <n v="1447209.9935613053"/>
    <d v="2026-05-23T00:00:00"/>
    <n v="1.32"/>
    <s v="Secured"/>
    <x v="11"/>
    <n v="333"/>
    <s v="High Risk"/>
    <s v="High Risk Exposure"/>
    <s v="High"/>
  </r>
  <r>
    <s v="LN1238"/>
    <s v="C0608"/>
    <s v="B12"/>
    <x v="2"/>
    <n v="6000000"/>
    <n v="0.1099"/>
    <d v="2020-09-10T00:00:00"/>
    <n v="72"/>
    <n v="20"/>
    <n v="8280000"/>
    <x v="0"/>
    <n v="114173.74501686804"/>
    <d v="2026-09-10T00:00:00"/>
    <n v="1.38"/>
    <s v="Secured"/>
    <x v="12"/>
    <n v="315"/>
    <s v="High Risk"/>
    <s v="High Risk Exposure"/>
    <s v="High"/>
  </r>
  <r>
    <s v="LN1239"/>
    <s v="C0039"/>
    <s v="B11"/>
    <x v="0"/>
    <n v="1000000"/>
    <n v="0.19289999999999999"/>
    <d v="2024-09-04T00:00:00"/>
    <n v="12"/>
    <n v="0"/>
    <n v="1260000"/>
    <x v="0"/>
    <n v="92295.039150060053"/>
    <d v="2025-09-04T00:00:00"/>
    <n v="1.26"/>
    <s v="Secured"/>
    <x v="10"/>
    <n v="681"/>
    <s v="Low Risk"/>
    <s v="Normal"/>
    <s v="Normal"/>
  </r>
  <r>
    <s v="LN1240"/>
    <s v="C0071"/>
    <s v="B04"/>
    <x v="2"/>
    <n v="25000000"/>
    <n v="0.10979999999999999"/>
    <d v="2020-08-12T00:00:00"/>
    <n v="24"/>
    <n v="120"/>
    <n v="21750000"/>
    <x v="1"/>
    <n v="1164963.8315751764"/>
    <d v="2022-08-12T00:00:00"/>
    <n v="0.87"/>
    <s v="Undersecured"/>
    <x v="14"/>
    <n v="330"/>
    <s v="High Risk"/>
    <s v="High Risk Exposure"/>
    <s v="Critical"/>
  </r>
  <r>
    <s v="LN1241"/>
    <s v="C0184"/>
    <s v="B14"/>
    <x v="1"/>
    <n v="1000000"/>
    <n v="0.18129999999999999"/>
    <d v="2020-03-07T00:00:00"/>
    <n v="72"/>
    <n v="0"/>
    <n v="0"/>
    <x v="0"/>
    <n v="22881.343116948152"/>
    <d v="2026-03-07T00:00:00"/>
    <n v="0"/>
    <s v="Undersecured"/>
    <x v="13"/>
    <n v="707"/>
    <s v="Low Risk"/>
    <s v="High Risk Exposure"/>
    <s v="High"/>
  </r>
  <r>
    <s v="LN1242"/>
    <s v="C0604"/>
    <s v="B10"/>
    <x v="3"/>
    <n v="6000000"/>
    <n v="0.13600000000000001"/>
    <d v="2024-12-15T00:00:00"/>
    <n v="12"/>
    <n v="5"/>
    <n v="6360000"/>
    <x v="0"/>
    <n v="537594.11038302432"/>
    <d v="2025-12-15T00:00:00"/>
    <n v="1.06"/>
    <s v="Secured"/>
    <x v="3"/>
    <n v="554"/>
    <s v="High Risk"/>
    <s v="High Risk Exposure"/>
    <s v="High"/>
  </r>
  <r>
    <s v="LN1243"/>
    <s v="C0153"/>
    <s v="B02"/>
    <x v="3"/>
    <n v="1000000"/>
    <n v="0.13719999999999999"/>
    <d v="2023-10-18T00:00:00"/>
    <n v="60"/>
    <n v="10"/>
    <n v="1330000"/>
    <x v="0"/>
    <n v="23123.343476308157"/>
    <d v="2028-10-18T00:00:00"/>
    <n v="1.33"/>
    <s v="Secured"/>
    <x v="11"/>
    <n v="320"/>
    <s v="High Risk"/>
    <s v="High Risk Exposure"/>
    <s v="High"/>
  </r>
  <r>
    <s v="LN1244"/>
    <s v="C0144"/>
    <s v="B12"/>
    <x v="3"/>
    <n v="6000000"/>
    <n v="0.12670000000000001"/>
    <d v="2020-04-08T00:00:00"/>
    <n v="60"/>
    <n v="20"/>
    <n v="6000000"/>
    <x v="0"/>
    <n v="135506.99927497021"/>
    <d v="2025-04-08T00:00:00"/>
    <n v="1"/>
    <s v="Secured"/>
    <x v="12"/>
    <n v="634"/>
    <s v="Medium Risk"/>
    <s v="Normal"/>
    <s v="Normal"/>
  </r>
  <r>
    <s v="LN1245"/>
    <s v="C0502"/>
    <s v="B04"/>
    <x v="3"/>
    <n v="1000000"/>
    <n v="0.17649999999999999"/>
    <d v="2024-05-14T00:00:00"/>
    <n v="12"/>
    <n v="90"/>
    <n v="1500000"/>
    <x v="2"/>
    <n v="91513.505571776288"/>
    <d v="2025-05-14T00:00:00"/>
    <n v="1.5"/>
    <s v="Secured"/>
    <x v="14"/>
    <n v="671"/>
    <s v="Low Risk"/>
    <s v="High Risk Exposure"/>
    <s v="High"/>
  </r>
  <r>
    <s v="LN1246"/>
    <s v="C0330"/>
    <s v="B08"/>
    <x v="3"/>
    <n v="500000"/>
    <n v="0.16739999999999999"/>
    <d v="2023-01-21T00:00:00"/>
    <n v="72"/>
    <n v="10"/>
    <n v="480000"/>
    <x v="0"/>
    <n v="11050.651406453735"/>
    <d v="2029-01-21T00:00:00"/>
    <n v="0.96"/>
    <s v="Undersecured"/>
    <x v="5"/>
    <n v="780"/>
    <s v="Very Low Risk"/>
    <s v="High Risk Exposure"/>
    <s v="High"/>
  </r>
  <r>
    <s v="LN1247"/>
    <s v="C0579"/>
    <s v="B09"/>
    <x v="0"/>
    <n v="3000000"/>
    <n v="0.21879999999999999"/>
    <d v="2024-04-12T00:00:00"/>
    <n v="72"/>
    <n v="10"/>
    <n v="1800000"/>
    <x v="0"/>
    <n v="75164.843249601356"/>
    <d v="2030-04-12T00:00:00"/>
    <n v="0.6"/>
    <s v="Undersecured"/>
    <x v="8"/>
    <n v="850"/>
    <s v="Prime"/>
    <s v="High Risk Exposure"/>
    <s v="High"/>
  </r>
  <r>
    <s v="LN1248"/>
    <s v="C0174"/>
    <s v="B12"/>
    <x v="0"/>
    <n v="6000000"/>
    <n v="0.21379999999999999"/>
    <d v="2023-03-25T00:00:00"/>
    <n v="48"/>
    <n v="0"/>
    <n v="5100000"/>
    <x v="0"/>
    <n v="187022.68588332442"/>
    <d v="2027-03-25T00:00:00"/>
    <n v="0.85"/>
    <s v="Undersecured"/>
    <x v="12"/>
    <n v="451"/>
    <s v="High Risk"/>
    <s v="High Risk Exposure"/>
    <s v="High"/>
  </r>
  <r>
    <s v="LN1249"/>
    <s v="C0632"/>
    <s v="B03"/>
    <x v="3"/>
    <n v="6000000"/>
    <n v="0.1245"/>
    <d v="2021-05-05T00:00:00"/>
    <n v="60"/>
    <n v="0"/>
    <n v="6600000"/>
    <x v="0"/>
    <n v="134835.09047562824"/>
    <d v="2026-05-05T00:00:00"/>
    <n v="1.1000000000000001"/>
    <s v="Secured"/>
    <x v="7"/>
    <n v="580"/>
    <s v="Medium Risk"/>
    <s v="Normal"/>
    <s v="Normal"/>
  </r>
  <r>
    <s v="LN1250"/>
    <s v="C0516"/>
    <s v="B14"/>
    <x v="2"/>
    <n v="6000000"/>
    <n v="0.1128"/>
    <d v="2022-02-24T00:00:00"/>
    <n v="48"/>
    <n v="0"/>
    <n v="3660000"/>
    <x v="0"/>
    <n v="155890.25776895616"/>
    <d v="2026-02-24T00:00:00"/>
    <n v="0.61"/>
    <s v="Undersecured"/>
    <x v="13"/>
    <n v="631"/>
    <s v="Medium Risk"/>
    <s v="High Risk Exposure"/>
    <s v="High"/>
  </r>
  <r>
    <s v="LN1251"/>
    <s v="C0307"/>
    <s v="B14"/>
    <x v="2"/>
    <n v="25000000"/>
    <n v="0.1163"/>
    <d v="2020-03-16T00:00:00"/>
    <n v="24"/>
    <n v="0"/>
    <n v="14500000"/>
    <x v="0"/>
    <n v="1172521.7682406905"/>
    <d v="2022-03-16T00:00:00"/>
    <n v="0.57999999999999996"/>
    <s v="Undersecured"/>
    <x v="13"/>
    <n v="322"/>
    <s v="High Risk"/>
    <s v="High Risk Exposure"/>
    <s v="High"/>
  </r>
  <r>
    <s v="LN1252"/>
    <s v="C0085"/>
    <s v="B04"/>
    <x v="0"/>
    <n v="6000000"/>
    <n v="0.21879999999999999"/>
    <d v="2025-11-18T00:00:00"/>
    <n v="36"/>
    <n v="5"/>
    <n v="5520000"/>
    <x v="0"/>
    <n v="228770.40895849548"/>
    <d v="2028-11-18T00:00:00"/>
    <n v="0.92"/>
    <s v="Undersecured"/>
    <x v="14"/>
    <n v="329"/>
    <s v="High Risk"/>
    <s v="High Risk Exposure"/>
    <s v="High"/>
  </r>
  <r>
    <s v="LN1253"/>
    <s v="C0173"/>
    <s v="B11"/>
    <x v="0"/>
    <n v="3000000"/>
    <n v="0.219"/>
    <d v="2020-09-26T00:00:00"/>
    <n v="48"/>
    <n v="0"/>
    <n v="1830000"/>
    <x v="0"/>
    <n v="94355.440206179512"/>
    <d v="2024-09-26T00:00:00"/>
    <n v="0.61"/>
    <s v="Undersecured"/>
    <x v="10"/>
    <n v="848"/>
    <s v="Prime"/>
    <s v="High Risk Exposure"/>
    <s v="High"/>
  </r>
  <r>
    <s v="LN1254"/>
    <s v="C0688"/>
    <s v="B03"/>
    <x v="0"/>
    <n v="25000000"/>
    <n v="0.19089999999999999"/>
    <d v="2022-12-09T00:00:00"/>
    <n v="36"/>
    <n v="0"/>
    <n v="35500000"/>
    <x v="0"/>
    <n v="917538.49237045646"/>
    <d v="2025-12-09T00:00:00"/>
    <n v="1.42"/>
    <s v="Secured"/>
    <x v="7"/>
    <n v="686"/>
    <s v="Low Risk"/>
    <s v="Normal"/>
    <s v="Normal"/>
  </r>
  <r>
    <s v="LN1255"/>
    <s v="C0200"/>
    <s v="B01"/>
    <x v="2"/>
    <n v="25000000"/>
    <n v="0.1096"/>
    <d v="2023-05-25T00:00:00"/>
    <n v="36"/>
    <n v="120"/>
    <n v="28000000"/>
    <x v="1"/>
    <n v="817994.4457173578"/>
    <d v="2026-05-25T00:00:00"/>
    <n v="1.1200000000000001"/>
    <s v="Secured"/>
    <x v="1"/>
    <n v="635"/>
    <s v="Medium Risk"/>
    <s v="High Risk Exposure"/>
    <s v="Critical"/>
  </r>
  <r>
    <s v="LN1256"/>
    <s v="C0459"/>
    <s v="B03"/>
    <x v="1"/>
    <n v="500000"/>
    <n v="0.25900000000000001"/>
    <d v="2021-07-20T00:00:00"/>
    <n v="48"/>
    <n v="20"/>
    <n v="0"/>
    <x v="0"/>
    <n v="16830.535190396542"/>
    <d v="2025-07-20T00:00:00"/>
    <n v="0"/>
    <s v="Undersecured"/>
    <x v="7"/>
    <n v="502"/>
    <s v="High Risk"/>
    <s v="High Risk Exposure"/>
    <s v="High"/>
  </r>
  <r>
    <s v="LN1257"/>
    <s v="C0582"/>
    <s v="B09"/>
    <x v="2"/>
    <n v="80000000"/>
    <n v="0.11310000000000001"/>
    <d v="2020-08-02T00:00:00"/>
    <n v="24"/>
    <n v="5"/>
    <n v="77600000"/>
    <x v="0"/>
    <n v="3740151.5101884054"/>
    <d v="2022-08-02T00:00:00"/>
    <n v="0.97"/>
    <s v="Undersecured"/>
    <x v="8"/>
    <n v="639"/>
    <s v="Medium Risk"/>
    <s v="High Risk Exposure"/>
    <s v="High"/>
  </r>
  <r>
    <s v="LN1258"/>
    <s v="C0527"/>
    <s v="B06"/>
    <x v="1"/>
    <n v="250000"/>
    <n v="0.27229999999999999"/>
    <d v="2024-04-07T00:00:00"/>
    <n v="48"/>
    <n v="45"/>
    <n v="0"/>
    <x v="2"/>
    <n v="8603.240738516326"/>
    <d v="2028-04-07T00:00:00"/>
    <n v="0"/>
    <s v="Undersecured"/>
    <x v="6"/>
    <n v="340"/>
    <s v="High Risk"/>
    <s v="High Risk Exposure"/>
    <s v="High"/>
  </r>
  <r>
    <s v="LN1259"/>
    <s v="C0041"/>
    <s v="B08"/>
    <x v="1"/>
    <n v="250000"/>
    <n v="0.26350000000000001"/>
    <d v="2022-09-21T00:00:00"/>
    <n v="60"/>
    <n v="10"/>
    <n v="0"/>
    <x v="0"/>
    <n v="7537.005947907096"/>
    <d v="2027-09-21T00:00:00"/>
    <n v="0"/>
    <s v="Undersecured"/>
    <x v="5"/>
    <n v="838"/>
    <s v="Prime"/>
    <s v="High Risk Exposure"/>
    <s v="High"/>
  </r>
  <r>
    <s v="LN1260"/>
    <s v="C0143"/>
    <s v="B03"/>
    <x v="0"/>
    <n v="25000000"/>
    <n v="0.1792"/>
    <d v="2022-09-21T00:00:00"/>
    <n v="72"/>
    <n v="0"/>
    <n v="27250000"/>
    <x v="0"/>
    <n v="569064.73425839958"/>
    <d v="2028-09-21T00:00:00"/>
    <n v="1.0900000000000001"/>
    <s v="Secured"/>
    <x v="7"/>
    <n v="762"/>
    <s v="Very Low Risk"/>
    <s v="Normal"/>
    <s v="Normal"/>
  </r>
  <r>
    <s v="LN1261"/>
    <s v="C0404"/>
    <s v="B03"/>
    <x v="2"/>
    <n v="25000000"/>
    <n v="0.1055"/>
    <d v="2020-08-03T00:00:00"/>
    <n v="24"/>
    <n v="10"/>
    <n v="19750000"/>
    <x v="0"/>
    <n v="1159979.7662555501"/>
    <d v="2022-08-03T00:00:00"/>
    <n v="0.79"/>
    <s v="Undersecured"/>
    <x v="7"/>
    <n v="766"/>
    <s v="Very Low Risk"/>
    <s v="High Risk Exposure"/>
    <s v="High"/>
  </r>
  <r>
    <s v="LN1262"/>
    <s v="C0683"/>
    <s v="B06"/>
    <x v="2"/>
    <n v="80000000"/>
    <n v="0.1386"/>
    <d v="2024-12-14T00:00:00"/>
    <n v="72"/>
    <n v="90"/>
    <n v="119200000"/>
    <x v="2"/>
    <n v="1642467.9088176948"/>
    <d v="2030-12-14T00:00:00"/>
    <n v="1.49"/>
    <s v="Secured"/>
    <x v="6"/>
    <n v="640"/>
    <s v="Medium Risk"/>
    <s v="High Risk Exposure"/>
    <s v="High"/>
  </r>
  <r>
    <s v="LN1263"/>
    <s v="C0358"/>
    <s v="B13"/>
    <x v="0"/>
    <n v="3000000"/>
    <n v="0.24"/>
    <d v="2025-04-19T00:00:00"/>
    <n v="72"/>
    <n v="0"/>
    <n v="2820000"/>
    <x v="0"/>
    <n v="78980.49212668142"/>
    <d v="2031-04-19T00:00:00"/>
    <n v="0.94"/>
    <s v="Undersecured"/>
    <x v="2"/>
    <n v="835"/>
    <s v="Prime"/>
    <s v="High Risk Exposure"/>
    <s v="High"/>
  </r>
  <r>
    <s v="LN1264"/>
    <s v="C0196"/>
    <s v="B03"/>
    <x v="3"/>
    <n v="6000000"/>
    <n v="0.1358"/>
    <d v="2023-08-28T00:00:00"/>
    <n v="36"/>
    <n v="20"/>
    <n v="5760000"/>
    <x v="0"/>
    <n v="203843.96693765477"/>
    <d v="2026-08-28T00:00:00"/>
    <n v="0.96"/>
    <s v="Undersecured"/>
    <x v="7"/>
    <n v="674"/>
    <s v="Low Risk"/>
    <s v="High Risk Exposure"/>
    <s v="High"/>
  </r>
  <r>
    <s v="LN1265"/>
    <s v="C0235"/>
    <s v="B04"/>
    <x v="2"/>
    <n v="25000000"/>
    <n v="0.1164"/>
    <d v="2022-03-01T00:00:00"/>
    <n v="48"/>
    <n v="120"/>
    <n v="25750000"/>
    <x v="1"/>
    <n v="653935.63444744237"/>
    <d v="2026-03-01T00:00:00"/>
    <n v="1.03"/>
    <s v="Secured"/>
    <x v="14"/>
    <n v="325"/>
    <s v="High Risk"/>
    <s v="High Risk Exposure"/>
    <s v="Critical"/>
  </r>
  <r>
    <s v="LN1266"/>
    <s v="C0156"/>
    <s v="B08"/>
    <x v="1"/>
    <n v="100000"/>
    <n v="0.16300000000000001"/>
    <d v="2022-10-19T00:00:00"/>
    <n v="48"/>
    <n v="90"/>
    <n v="0"/>
    <x v="2"/>
    <n v="2849.416169733955"/>
    <d v="2026-10-19T00:00:00"/>
    <n v="0"/>
    <s v="Undersecured"/>
    <x v="5"/>
    <n v="768"/>
    <s v="Very Low Risk"/>
    <s v="High Risk Exposure"/>
    <s v="High"/>
  </r>
  <r>
    <s v="LN1267"/>
    <s v="C0389"/>
    <s v="B08"/>
    <x v="2"/>
    <n v="80000000"/>
    <n v="0.1183"/>
    <d v="2023-06-03T00:00:00"/>
    <n v="12"/>
    <n v="0"/>
    <n v="70400000"/>
    <x v="0"/>
    <n v="7101542.4615246626"/>
    <d v="2024-06-03T00:00:00"/>
    <n v="0.88"/>
    <s v="Undersecured"/>
    <x v="5"/>
    <n v="751"/>
    <s v="Very Low Risk"/>
    <s v="High Risk Exposure"/>
    <s v="High"/>
  </r>
  <r>
    <s v="LN1268"/>
    <s v="C0449"/>
    <s v="B09"/>
    <x v="3"/>
    <n v="3000000"/>
    <n v="0.18329999999999999"/>
    <d v="2024-01-26T00:00:00"/>
    <n v="36"/>
    <n v="0"/>
    <n v="1530000"/>
    <x v="0"/>
    <n v="108954.46524072734"/>
    <d v="2027-01-26T00:00:00"/>
    <n v="0.51"/>
    <s v="Undersecured"/>
    <x v="8"/>
    <n v="793"/>
    <s v="Very Low Risk"/>
    <s v="High Risk Exposure"/>
    <s v="High"/>
  </r>
  <r>
    <s v="LN1269"/>
    <s v="C0565"/>
    <s v="B12"/>
    <x v="0"/>
    <n v="25000000"/>
    <n v="0.1419"/>
    <d v="2023-05-21T00:00:00"/>
    <n v="60"/>
    <n v="0"/>
    <n v="22250000"/>
    <x v="0"/>
    <n v="584171.78051921551"/>
    <d v="2028-05-21T00:00:00"/>
    <n v="0.89"/>
    <s v="Undersecured"/>
    <x v="12"/>
    <n v="598"/>
    <s v="Medium Risk"/>
    <s v="High Risk Exposure"/>
    <s v="High"/>
  </r>
  <r>
    <s v="LN1270"/>
    <s v="C0021"/>
    <s v="B04"/>
    <x v="0"/>
    <n v="25000000"/>
    <n v="0.16220000000000001"/>
    <d v="2025-01-09T00:00:00"/>
    <n v="48"/>
    <n v="10"/>
    <n v="23500000"/>
    <x v="0"/>
    <n v="711327.02066354256"/>
    <d v="2029-01-09T00:00:00"/>
    <n v="0.94"/>
    <s v="Undersecured"/>
    <x v="14"/>
    <n v="834"/>
    <s v="Prime"/>
    <s v="High Risk Exposure"/>
    <s v="High"/>
  </r>
  <r>
    <s v="LN1271"/>
    <s v="C0071"/>
    <s v="B12"/>
    <x v="1"/>
    <n v="1000000"/>
    <n v="0.17469999999999999"/>
    <d v="2024-03-25T00:00:00"/>
    <n v="48"/>
    <n v="90"/>
    <n v="0"/>
    <x v="2"/>
    <n v="29098.777176642794"/>
    <d v="2028-03-25T00:00:00"/>
    <n v="0"/>
    <s v="Undersecured"/>
    <x v="12"/>
    <n v="330"/>
    <s v="High Risk"/>
    <s v="High Risk Exposure"/>
    <s v="High"/>
  </r>
  <r>
    <s v="LN1272"/>
    <s v="C0153"/>
    <s v="B14"/>
    <x v="2"/>
    <n v="6000000"/>
    <n v="0.13730000000000001"/>
    <d v="2022-03-09T00:00:00"/>
    <n v="60"/>
    <n v="5"/>
    <n v="8220000"/>
    <x v="0"/>
    <n v="138771.05969709004"/>
    <d v="2027-03-09T00:00:00"/>
    <n v="1.37"/>
    <s v="Secured"/>
    <x v="13"/>
    <n v="320"/>
    <s v="High Risk"/>
    <s v="High Risk Exposure"/>
    <s v="High"/>
  </r>
  <r>
    <s v="LN1273"/>
    <s v="C0425"/>
    <s v="B03"/>
    <x v="2"/>
    <n v="25000000"/>
    <n v="0.1249"/>
    <d v="2020-07-18T00:00:00"/>
    <n v="12"/>
    <n v="45"/>
    <n v="16750000"/>
    <x v="2"/>
    <n v="2226954.4476805655"/>
    <d v="2021-07-18T00:00:00"/>
    <n v="0.67"/>
    <s v="Undersecured"/>
    <x v="7"/>
    <n v="667"/>
    <s v="Medium Risk"/>
    <s v="High Risk Exposure"/>
    <s v="High"/>
  </r>
  <r>
    <s v="LN1274"/>
    <s v="C0035"/>
    <s v="B05"/>
    <x v="3"/>
    <n v="500000"/>
    <n v="0.1303"/>
    <d v="2024-11-07T00:00:00"/>
    <n v="12"/>
    <n v="45"/>
    <n v="430000"/>
    <x v="2"/>
    <n v="44665.675632766615"/>
    <d v="2025-11-07T00:00:00"/>
    <n v="0.86"/>
    <s v="Undersecured"/>
    <x v="4"/>
    <n v="696"/>
    <s v="Low Risk"/>
    <s v="High Risk Exposure"/>
    <s v="High"/>
  </r>
  <r>
    <s v="LN1275"/>
    <s v="C0202"/>
    <s v="B11"/>
    <x v="3"/>
    <n v="500000"/>
    <n v="0.1671"/>
    <d v="2023-02-16T00:00:00"/>
    <n v="24"/>
    <n v="90"/>
    <n v="450000"/>
    <x v="2"/>
    <n v="24651.516448386294"/>
    <d v="2025-02-16T00:00:00"/>
    <n v="0.9"/>
    <s v="Undersecured"/>
    <x v="10"/>
    <n v="336"/>
    <s v="High Risk"/>
    <s v="High Risk Exposure"/>
    <s v="High"/>
  </r>
  <r>
    <s v="LN1276"/>
    <s v="C0657"/>
    <s v="B13"/>
    <x v="3"/>
    <n v="500000"/>
    <n v="0.16520000000000001"/>
    <d v="2024-03-24T00:00:00"/>
    <n v="72"/>
    <n v="0"/>
    <n v="340000"/>
    <x v="0"/>
    <n v="10989.573059741258"/>
    <d v="2030-03-24T00:00:00"/>
    <n v="0.68"/>
    <s v="Undersecured"/>
    <x v="2"/>
    <n v="702"/>
    <s v="Low Risk"/>
    <s v="High Risk Exposure"/>
    <s v="High"/>
  </r>
  <r>
    <s v="LN1277"/>
    <s v="C0089"/>
    <s v="B05"/>
    <x v="2"/>
    <n v="6000000"/>
    <n v="0.1226"/>
    <d v="2020-05-25T00:00:00"/>
    <n v="36"/>
    <n v="0"/>
    <n v="7500000"/>
    <x v="0"/>
    <n v="200031.76663462946"/>
    <d v="2023-05-25T00:00:00"/>
    <n v="1.25"/>
    <s v="Secured"/>
    <x v="4"/>
    <n v="415"/>
    <s v="High Risk"/>
    <s v="High Risk Exposure"/>
    <s v="High"/>
  </r>
  <r>
    <s v="LN1278"/>
    <s v="C0652"/>
    <s v="B04"/>
    <x v="1"/>
    <n v="250000"/>
    <n v="0.19489999999999999"/>
    <d v="2022-01-18T00:00:00"/>
    <n v="72"/>
    <n v="120"/>
    <n v="0"/>
    <x v="1"/>
    <n v="5914.5309557405926"/>
    <d v="2028-01-18T00:00:00"/>
    <n v="0"/>
    <s v="Undersecured"/>
    <x v="14"/>
    <n v="383"/>
    <s v="High Risk"/>
    <s v="High Risk Exposure"/>
    <s v="Critical"/>
  </r>
  <r>
    <s v="LN1279"/>
    <s v="C0479"/>
    <s v="B11"/>
    <x v="0"/>
    <n v="1000000"/>
    <n v="0.23449999999999999"/>
    <d v="2024-09-08T00:00:00"/>
    <n v="72"/>
    <n v="0"/>
    <n v="660000"/>
    <x v="0"/>
    <n v="25993.956799005857"/>
    <d v="2030-09-08T00:00:00"/>
    <n v="0.66"/>
    <s v="Undersecured"/>
    <x v="10"/>
    <n v="430"/>
    <s v="High Risk"/>
    <s v="High Risk Exposure"/>
    <s v="High"/>
  </r>
  <r>
    <s v="LN1280"/>
    <s v="C0247"/>
    <s v="B15"/>
    <x v="1"/>
    <n v="500000"/>
    <n v="0.22589999999999999"/>
    <d v="2024-07-17T00:00:00"/>
    <n v="48"/>
    <n v="10"/>
    <n v="0"/>
    <x v="0"/>
    <n v="15913.628318407633"/>
    <d v="2028-07-17T00:00:00"/>
    <n v="0"/>
    <s v="Undersecured"/>
    <x v="9"/>
    <n v="348"/>
    <s v="High Risk"/>
    <s v="High Risk Exposure"/>
    <s v="High"/>
  </r>
  <r>
    <s v="LN1281"/>
    <s v="C0405"/>
    <s v="B07"/>
    <x v="3"/>
    <n v="500000"/>
    <n v="0.1973"/>
    <d v="2020-12-26T00:00:00"/>
    <n v="48"/>
    <n v="45"/>
    <n v="690000"/>
    <x v="2"/>
    <n v="15143.346695437162"/>
    <d v="2024-12-26T00:00:00"/>
    <n v="1.38"/>
    <s v="Secured"/>
    <x v="0"/>
    <n v="501"/>
    <s v="High Risk"/>
    <s v="High Risk Exposure"/>
    <s v="High"/>
  </r>
  <r>
    <s v="LN1282"/>
    <s v="C0311"/>
    <s v="B09"/>
    <x v="2"/>
    <n v="80000000"/>
    <n v="9.2799999999999994E-2"/>
    <d v="2021-09-04T00:00:00"/>
    <n v="12"/>
    <n v="120"/>
    <n v="93600000"/>
    <x v="1"/>
    <n v="7006509.9531331323"/>
    <d v="2022-09-04T00:00:00"/>
    <n v="1.17"/>
    <s v="Secured"/>
    <x v="8"/>
    <n v="370"/>
    <s v="High Risk"/>
    <s v="High Risk Exposure"/>
    <s v="Critical"/>
  </r>
  <r>
    <s v="LN1283"/>
    <s v="C0676"/>
    <s v="B03"/>
    <x v="0"/>
    <n v="6000000"/>
    <n v="0.23769999999999999"/>
    <d v="2020-11-04T00:00:00"/>
    <n v="12"/>
    <n v="90"/>
    <n v="6420000"/>
    <x v="2"/>
    <n v="566689.9520030939"/>
    <d v="2021-11-04T00:00:00"/>
    <n v="1.07"/>
    <s v="Secured"/>
    <x v="7"/>
    <n v="741"/>
    <s v="Very Low Risk"/>
    <s v="High Risk Exposure"/>
    <s v="High"/>
  </r>
  <r>
    <s v="LN1284"/>
    <s v="C0089"/>
    <s v="B07"/>
    <x v="3"/>
    <n v="1000000"/>
    <n v="0.15740000000000001"/>
    <d v="2023-12-26T00:00:00"/>
    <n v="48"/>
    <n v="45"/>
    <n v="1120000"/>
    <x v="2"/>
    <n v="28207.298009259059"/>
    <d v="2027-12-26T00:00:00"/>
    <n v="1.1200000000000001"/>
    <s v="Secured"/>
    <x v="0"/>
    <n v="415"/>
    <s v="High Risk"/>
    <s v="High Risk Exposure"/>
    <s v="High"/>
  </r>
  <r>
    <s v="LN1285"/>
    <s v="C0576"/>
    <s v="B15"/>
    <x v="2"/>
    <n v="80000000"/>
    <n v="0.1203"/>
    <d v="2024-05-04T00:00:00"/>
    <n v="60"/>
    <n v="10"/>
    <n v="83200000"/>
    <x v="0"/>
    <n v="1780768.8511440572"/>
    <d v="2029-05-04T00:00:00"/>
    <n v="1.04"/>
    <s v="Secured"/>
    <x v="9"/>
    <n v="758"/>
    <s v="Very Low Risk"/>
    <s v="Normal"/>
    <s v="Normal"/>
  </r>
  <r>
    <s v="LN1286"/>
    <s v="C0237"/>
    <s v="B04"/>
    <x v="3"/>
    <n v="3000000"/>
    <n v="0.17480000000000001"/>
    <d v="2023-11-16T00:00:00"/>
    <n v="60"/>
    <n v="90"/>
    <n v="2460000"/>
    <x v="2"/>
    <n v="75334.193710579653"/>
    <d v="2028-11-16T00:00:00"/>
    <n v="0.82"/>
    <s v="Undersecured"/>
    <x v="14"/>
    <n v="821"/>
    <s v="Prime"/>
    <s v="High Risk Exposure"/>
    <s v="High"/>
  </r>
  <r>
    <s v="LN1287"/>
    <s v="C0033"/>
    <s v="B07"/>
    <x v="2"/>
    <n v="80000000"/>
    <n v="9.06E-2"/>
    <d v="2025-05-23T00:00:00"/>
    <n v="12"/>
    <n v="0"/>
    <n v="114400000"/>
    <x v="0"/>
    <n v="6998344.2389214253"/>
    <d v="2026-05-23T00:00:00"/>
    <n v="1.43"/>
    <s v="Secured"/>
    <x v="0"/>
    <n v="521"/>
    <s v="High Risk"/>
    <s v="High Risk Exposure"/>
    <s v="High"/>
  </r>
  <r>
    <s v="LN1288"/>
    <s v="C0406"/>
    <s v="B01"/>
    <x v="1"/>
    <n v="100000"/>
    <n v="0.17860000000000001"/>
    <d v="2020-06-17T00:00:00"/>
    <n v="24"/>
    <n v="120"/>
    <n v="0"/>
    <x v="1"/>
    <n v="4985.6483327940023"/>
    <d v="2022-06-17T00:00:00"/>
    <n v="0"/>
    <s v="Undersecured"/>
    <x v="1"/>
    <n v="314"/>
    <s v="High Risk"/>
    <s v="High Risk Exposure"/>
    <s v="Critical"/>
  </r>
  <r>
    <s v="LN1289"/>
    <s v="C0105"/>
    <s v="B06"/>
    <x v="0"/>
    <n v="25000000"/>
    <n v="0.22900000000000001"/>
    <d v="2023-04-17T00:00:00"/>
    <n v="72"/>
    <n v="45"/>
    <n v="28500000"/>
    <x v="2"/>
    <n v="641577.65232337499"/>
    <d v="2029-04-17T00:00:00"/>
    <n v="1.1399999999999999"/>
    <s v="Secured"/>
    <x v="6"/>
    <n v="347"/>
    <s v="High Risk"/>
    <s v="High Risk Exposure"/>
    <s v="High"/>
  </r>
  <r>
    <s v="LN1290"/>
    <s v="C0203"/>
    <s v="B01"/>
    <x v="3"/>
    <n v="6000000"/>
    <n v="0.16439999999999999"/>
    <d v="2023-02-08T00:00:00"/>
    <n v="72"/>
    <n v="20"/>
    <n v="6960000"/>
    <x v="0"/>
    <n v="131608.88660123467"/>
    <d v="2029-02-08T00:00:00"/>
    <n v="1.1599999999999999"/>
    <s v="Secured"/>
    <x v="1"/>
    <n v="625"/>
    <s v="Medium Risk"/>
    <s v="Normal"/>
    <s v="Normal"/>
  </r>
  <r>
    <s v="LN1291"/>
    <s v="C0566"/>
    <s v="B12"/>
    <x v="0"/>
    <n v="3000000"/>
    <n v="0.1578"/>
    <d v="2025-03-05T00:00:00"/>
    <n v="36"/>
    <n v="120"/>
    <n v="4350000"/>
    <x v="1"/>
    <n v="105145.54541707537"/>
    <d v="2028-03-05T00:00:00"/>
    <n v="1.45"/>
    <s v="Secured"/>
    <x v="12"/>
    <n v="517"/>
    <s v="High Risk"/>
    <s v="High Risk Exposure"/>
    <s v="Critical"/>
  </r>
  <r>
    <s v="LN1292"/>
    <s v="C0194"/>
    <s v="B04"/>
    <x v="1"/>
    <n v="250000"/>
    <n v="0.1673"/>
    <d v="2024-12-24T00:00:00"/>
    <n v="24"/>
    <n v="45"/>
    <n v="0"/>
    <x v="2"/>
    <n v="12328.156949142382"/>
    <d v="2026-12-24T00:00:00"/>
    <n v="0"/>
    <s v="Undersecured"/>
    <x v="14"/>
    <n v="526"/>
    <s v="High Risk"/>
    <s v="High Risk Exposure"/>
    <s v="High"/>
  </r>
  <r>
    <s v="LN1293"/>
    <s v="C0034"/>
    <s v="B02"/>
    <x v="0"/>
    <n v="25000000"/>
    <n v="0.2147"/>
    <d v="2025-05-06T00:00:00"/>
    <n v="60"/>
    <n v="45"/>
    <n v="30000000"/>
    <x v="2"/>
    <n v="682960.41891968623"/>
    <d v="2030-05-06T00:00:00"/>
    <n v="1.2"/>
    <s v="Secured"/>
    <x v="11"/>
    <n v="588"/>
    <s v="Medium Risk"/>
    <s v="High Risk Exposure"/>
    <s v="High"/>
  </r>
  <r>
    <s v="LN1294"/>
    <s v="C0242"/>
    <s v="B01"/>
    <x v="3"/>
    <n v="3000000"/>
    <n v="0.15540000000000001"/>
    <d v="2022-02-21T00:00:00"/>
    <n v="12"/>
    <n v="0"/>
    <n v="4380000"/>
    <x v="0"/>
    <n v="271539.9578629192"/>
    <d v="2023-02-21T00:00:00"/>
    <n v="1.46"/>
    <s v="Secured"/>
    <x v="1"/>
    <n v="463"/>
    <s v="High Risk"/>
    <s v="High Risk Exposure"/>
    <s v="High"/>
  </r>
  <r>
    <s v="LN1295"/>
    <s v="C0638"/>
    <s v="B09"/>
    <x v="1"/>
    <n v="1000000"/>
    <n v="0.20250000000000001"/>
    <d v="2020-01-24T00:00:00"/>
    <n v="72"/>
    <n v="10"/>
    <n v="0"/>
    <x v="0"/>
    <n v="24097.960217212796"/>
    <d v="2026-01-24T00:00:00"/>
    <n v="0"/>
    <s v="Undersecured"/>
    <x v="8"/>
    <n v="746"/>
    <s v="Very Low Risk"/>
    <s v="High Risk Exposure"/>
    <s v="High"/>
  </r>
  <r>
    <s v="LN1296"/>
    <s v="C0296"/>
    <s v="B07"/>
    <x v="3"/>
    <n v="3000000"/>
    <n v="0.1229"/>
    <d v="2020-03-02T00:00:00"/>
    <n v="36"/>
    <n v="10"/>
    <n v="2220000"/>
    <x v="0"/>
    <n v="100058.96927107086"/>
    <d v="2023-03-02T00:00:00"/>
    <n v="0.74"/>
    <s v="Undersecured"/>
    <x v="0"/>
    <n v="525"/>
    <s v="High Risk"/>
    <s v="High Risk Exposure"/>
    <s v="High"/>
  </r>
  <r>
    <s v="LN1297"/>
    <s v="C0639"/>
    <s v="B13"/>
    <x v="2"/>
    <n v="80000000"/>
    <n v="0.1361"/>
    <d v="2021-11-18T00:00:00"/>
    <n v="12"/>
    <n v="0"/>
    <n v="102400000"/>
    <x v="0"/>
    <n v="7168297.4590759501"/>
    <d v="2022-11-18T00:00:00"/>
    <n v="1.28"/>
    <s v="Secured"/>
    <x v="2"/>
    <n v="567"/>
    <s v="High Risk"/>
    <s v="High Risk Exposure"/>
    <s v="High"/>
  </r>
  <r>
    <s v="LN1298"/>
    <s v="C0173"/>
    <s v="B04"/>
    <x v="0"/>
    <n v="1000000"/>
    <n v="0.2399"/>
    <d v="2025-11-03T00:00:00"/>
    <n v="24"/>
    <n v="5"/>
    <n v="1070000"/>
    <x v="0"/>
    <n v="52866.106300004001"/>
    <d v="2027-11-03T00:00:00"/>
    <n v="1.07"/>
    <s v="Secured"/>
    <x v="14"/>
    <n v="848"/>
    <s v="Prime"/>
    <s v="Normal"/>
    <s v="Normal"/>
  </r>
  <r>
    <s v="LN1299"/>
    <s v="C0007"/>
    <s v="B02"/>
    <x v="2"/>
    <n v="6000000"/>
    <n v="0.12239999999999999"/>
    <d v="2024-03-17T00:00:00"/>
    <n v="24"/>
    <n v="0"/>
    <n v="6060000"/>
    <x v="0"/>
    <n v="283113.77282821416"/>
    <d v="2026-03-17T00:00:00"/>
    <n v="1.01"/>
    <s v="Secured"/>
    <x v="11"/>
    <n v="366"/>
    <s v="High Risk"/>
    <s v="High Risk Exposure"/>
    <s v="High"/>
  </r>
  <r>
    <s v="LN1300"/>
    <s v="C0514"/>
    <s v="B11"/>
    <x v="0"/>
    <n v="1000000"/>
    <n v="0.183"/>
    <d v="2020-11-25T00:00:00"/>
    <n v="72"/>
    <n v="0"/>
    <n v="730000"/>
    <x v="0"/>
    <n v="22977.711620676931"/>
    <d v="2026-11-25T00:00:00"/>
    <n v="0.73"/>
    <s v="Undersecured"/>
    <x v="10"/>
    <n v="681"/>
    <s v="Low Risk"/>
    <s v="High Risk Exposure"/>
    <s v="High"/>
  </r>
  <r>
    <s v="LN1301"/>
    <s v="C0609"/>
    <s v="B15"/>
    <x v="0"/>
    <n v="6000000"/>
    <n v="0.19089999999999999"/>
    <d v="2020-07-06T00:00:00"/>
    <n v="48"/>
    <n v="10"/>
    <n v="4500000"/>
    <x v="0"/>
    <n v="179685.78502745731"/>
    <d v="2024-07-06T00:00:00"/>
    <n v="0.75"/>
    <s v="Undersecured"/>
    <x v="9"/>
    <n v="775"/>
    <s v="Very Low Risk"/>
    <s v="High Risk Exposure"/>
    <s v="High"/>
  </r>
  <r>
    <s v="LN1302"/>
    <s v="C0424"/>
    <s v="B07"/>
    <x v="1"/>
    <n v="100000"/>
    <n v="0.20749999999999999"/>
    <d v="2025-01-26T00:00:00"/>
    <n v="12"/>
    <n v="45"/>
    <n v="0"/>
    <x v="2"/>
    <n v="9299.3831271892104"/>
    <d v="2026-01-26T00:00:00"/>
    <n v="0"/>
    <s v="Undersecured"/>
    <x v="0"/>
    <n v="668"/>
    <s v="Medium Risk"/>
    <s v="High Risk Exposure"/>
    <s v="High"/>
  </r>
  <r>
    <s v="LN1303"/>
    <s v="C0249"/>
    <s v="B12"/>
    <x v="1"/>
    <n v="500000"/>
    <n v="0.2039"/>
    <d v="2020-01-14T00:00:00"/>
    <n v="60"/>
    <n v="10"/>
    <n v="0"/>
    <x v="0"/>
    <n v="13355.676144132432"/>
    <d v="2025-01-14T00:00:00"/>
    <n v="0"/>
    <s v="Undersecured"/>
    <x v="12"/>
    <n v="424"/>
    <s v="High Risk"/>
    <s v="High Risk Exposure"/>
    <s v="High"/>
  </r>
  <r>
    <s v="LN1304"/>
    <s v="C0586"/>
    <s v="B14"/>
    <x v="0"/>
    <n v="3000000"/>
    <n v="0.19539999999999999"/>
    <d v="2024-10-10T00:00:00"/>
    <n v="48"/>
    <n v="0"/>
    <n v="4320000"/>
    <x v="0"/>
    <n v="90557.44735970872"/>
    <d v="2028-10-10T00:00:00"/>
    <n v="1.44"/>
    <s v="Secured"/>
    <x v="13"/>
    <n v="416"/>
    <s v="High Risk"/>
    <s v="High Risk Exposure"/>
    <s v="High"/>
  </r>
  <r>
    <s v="LN1305"/>
    <s v="C0219"/>
    <s v="B12"/>
    <x v="3"/>
    <n v="3000000"/>
    <n v="0.17530000000000001"/>
    <d v="2024-06-25T00:00:00"/>
    <n v="12"/>
    <n v="120"/>
    <n v="3120000"/>
    <x v="1"/>
    <n v="274369.38639312581"/>
    <d v="2025-06-25T00:00:00"/>
    <n v="1.04"/>
    <s v="Secured"/>
    <x v="12"/>
    <n v="402"/>
    <s v="High Risk"/>
    <s v="High Risk Exposure"/>
    <s v="Critical"/>
  </r>
  <r>
    <s v="LN1306"/>
    <s v="C0083"/>
    <s v="B07"/>
    <x v="3"/>
    <n v="500000"/>
    <n v="0.14230000000000001"/>
    <d v="2023-01-23T00:00:00"/>
    <n v="36"/>
    <n v="0"/>
    <n v="250000"/>
    <x v="0"/>
    <n v="17144.722476402116"/>
    <d v="2026-01-23T00:00:00"/>
    <n v="0.5"/>
    <s v="Undersecured"/>
    <x v="0"/>
    <n v="316"/>
    <s v="High Risk"/>
    <s v="High Risk Exposure"/>
    <s v="High"/>
  </r>
  <r>
    <s v="LN1307"/>
    <s v="C0672"/>
    <s v="B07"/>
    <x v="0"/>
    <n v="1000000"/>
    <n v="0.1968"/>
    <d v="2024-01-14T00:00:00"/>
    <n v="24"/>
    <n v="0"/>
    <n v="620000"/>
    <x v="0"/>
    <n v="50739.613227468479"/>
    <d v="2026-01-14T00:00:00"/>
    <n v="0.62"/>
    <s v="Undersecured"/>
    <x v="0"/>
    <n v="656"/>
    <s v="Medium Risk"/>
    <s v="High Risk Exposure"/>
    <s v="High"/>
  </r>
  <r>
    <s v="LN1308"/>
    <s v="C0505"/>
    <s v="B07"/>
    <x v="0"/>
    <n v="3000000"/>
    <n v="0.1694"/>
    <d v="2023-08-27T00:00:00"/>
    <n v="36"/>
    <n v="0"/>
    <n v="2550000"/>
    <x v="0"/>
    <n v="106868.62091208957"/>
    <d v="2026-08-27T00:00:00"/>
    <n v="0.85"/>
    <s v="Undersecured"/>
    <x v="0"/>
    <n v="543"/>
    <s v="High Risk"/>
    <s v="High Risk Exposure"/>
    <s v="High"/>
  </r>
  <r>
    <s v="LN1309"/>
    <s v="C0657"/>
    <s v="B09"/>
    <x v="0"/>
    <n v="6000000"/>
    <n v="0.1837"/>
    <d v="2024-11-18T00:00:00"/>
    <n v="12"/>
    <n v="0"/>
    <n v="6300000"/>
    <x v="0"/>
    <n v="551137.03732312645"/>
    <d v="2025-11-18T00:00:00"/>
    <n v="1.05"/>
    <s v="Secured"/>
    <x v="8"/>
    <n v="702"/>
    <s v="Low Risk"/>
    <s v="Normal"/>
    <s v="Normal"/>
  </r>
  <r>
    <s v="LN1310"/>
    <s v="C0686"/>
    <s v="B12"/>
    <x v="2"/>
    <n v="25000000"/>
    <n v="0.1036"/>
    <d v="2023-03-12T00:00:00"/>
    <n v="72"/>
    <n v="0"/>
    <n v="28000000"/>
    <x v="0"/>
    <n v="467697.33308149967"/>
    <d v="2029-03-12T00:00:00"/>
    <n v="1.1200000000000001"/>
    <s v="Secured"/>
    <x v="12"/>
    <n v="419"/>
    <s v="High Risk"/>
    <s v="High Risk Exposure"/>
    <s v="High"/>
  </r>
  <r>
    <s v="LN1311"/>
    <s v="C0403"/>
    <s v="B07"/>
    <x v="0"/>
    <n v="6000000"/>
    <n v="0.2034"/>
    <d v="2024-04-27T00:00:00"/>
    <n v="36"/>
    <n v="120"/>
    <n v="6540000"/>
    <x v="1"/>
    <n v="224022.29367086251"/>
    <d v="2027-04-27T00:00:00"/>
    <n v="1.0900000000000001"/>
    <s v="Secured"/>
    <x v="0"/>
    <n v="787"/>
    <s v="Very Low Risk"/>
    <s v="High Risk Exposure"/>
    <s v="Critical"/>
  </r>
  <r>
    <s v="LN1312"/>
    <s v="C0629"/>
    <s v="B13"/>
    <x v="2"/>
    <n v="6000000"/>
    <n v="9.2600000000000002E-2"/>
    <d v="2020-05-18T00:00:00"/>
    <n v="24"/>
    <n v="45"/>
    <n v="5100000"/>
    <x v="2"/>
    <n v="274824.7644790932"/>
    <d v="2022-05-18T00:00:00"/>
    <n v="0.85"/>
    <s v="Undersecured"/>
    <x v="2"/>
    <n v="502"/>
    <s v="High Risk"/>
    <s v="High Risk Exposure"/>
    <s v="High"/>
  </r>
  <r>
    <s v="LN1313"/>
    <s v="C0100"/>
    <s v="B12"/>
    <x v="2"/>
    <n v="80000000"/>
    <n v="0.1129"/>
    <d v="2021-10-06T00:00:00"/>
    <n v="12"/>
    <n v="0"/>
    <n v="48800000"/>
    <x v="0"/>
    <n v="7081358.9167601019"/>
    <d v="2022-10-06T00:00:00"/>
    <n v="0.61"/>
    <s v="Undersecured"/>
    <x v="12"/>
    <n v="554"/>
    <s v="High Risk"/>
    <s v="High Risk Exposure"/>
    <s v="High"/>
  </r>
  <r>
    <s v="LN1314"/>
    <s v="C0220"/>
    <s v="B05"/>
    <x v="0"/>
    <n v="1000000"/>
    <n v="0.14610000000000001"/>
    <d v="2022-12-17T00:00:00"/>
    <n v="48"/>
    <n v="120"/>
    <n v="1460000"/>
    <x v="1"/>
    <n v="27633.454800353284"/>
    <d v="2026-12-17T00:00:00"/>
    <n v="1.46"/>
    <s v="Secured"/>
    <x v="4"/>
    <n v="457"/>
    <s v="High Risk"/>
    <s v="High Risk Exposure"/>
    <s v="Critical"/>
  </r>
  <r>
    <s v="LN1315"/>
    <s v="C0339"/>
    <s v="B12"/>
    <x v="2"/>
    <n v="25000000"/>
    <n v="0.12230000000000001"/>
    <d v="2022-03-17T00:00:00"/>
    <n v="36"/>
    <n v="90"/>
    <n v="30000000"/>
    <x v="2"/>
    <n v="833106.73573107761"/>
    <d v="2025-03-17T00:00:00"/>
    <n v="1.2"/>
    <s v="Secured"/>
    <x v="12"/>
    <n v="354"/>
    <s v="High Risk"/>
    <s v="High Risk Exposure"/>
    <s v="High"/>
  </r>
  <r>
    <s v="LN1316"/>
    <s v="C0552"/>
    <s v="B07"/>
    <x v="0"/>
    <n v="3000000"/>
    <n v="0.19170000000000001"/>
    <d v="2020-12-05T00:00:00"/>
    <n v="72"/>
    <n v="20"/>
    <n v="3870000"/>
    <x v="0"/>
    <n v="70422.472182474565"/>
    <d v="2026-12-05T00:00:00"/>
    <n v="1.29"/>
    <s v="Secured"/>
    <x v="0"/>
    <n v="415"/>
    <s v="High Risk"/>
    <s v="High Risk Exposure"/>
    <s v="High"/>
  </r>
  <r>
    <s v="LN1317"/>
    <s v="C0652"/>
    <s v="B08"/>
    <x v="2"/>
    <n v="6000000"/>
    <n v="0.1085"/>
    <d v="2024-04-26T00:00:00"/>
    <n v="12"/>
    <n v="90"/>
    <n v="7200000"/>
    <x v="2"/>
    <n v="529870.23691144946"/>
    <d v="2025-04-26T00:00:00"/>
    <n v="1.2"/>
    <s v="Secured"/>
    <x v="5"/>
    <n v="383"/>
    <s v="High Risk"/>
    <s v="High Risk Exposure"/>
    <s v="High"/>
  </r>
  <r>
    <s v="LN1318"/>
    <s v="C0097"/>
    <s v="B06"/>
    <x v="3"/>
    <n v="500000"/>
    <n v="0.1343"/>
    <d v="2022-05-26T00:00:00"/>
    <n v="12"/>
    <n v="0"/>
    <n v="705000"/>
    <x v="0"/>
    <n v="44759.570903979242"/>
    <d v="2023-05-26T00:00:00"/>
    <n v="1.41"/>
    <s v="Secured"/>
    <x v="6"/>
    <n v="595"/>
    <s v="Medium Risk"/>
    <s v="Normal"/>
    <s v="Normal"/>
  </r>
  <r>
    <s v="LN1319"/>
    <s v="C0124"/>
    <s v="B07"/>
    <x v="0"/>
    <n v="1000000"/>
    <n v="0.21310000000000001"/>
    <d v="2020-03-25T00:00:00"/>
    <n v="24"/>
    <n v="5"/>
    <n v="1210000"/>
    <x v="0"/>
    <n v="51538.043465637325"/>
    <d v="2022-03-25T00:00:00"/>
    <n v="1.21"/>
    <s v="Secured"/>
    <x v="0"/>
    <n v="748"/>
    <s v="Very Low Risk"/>
    <s v="Normal"/>
    <s v="Normal"/>
  </r>
  <r>
    <s v="LN1320"/>
    <s v="C0094"/>
    <s v="B11"/>
    <x v="2"/>
    <n v="6000000"/>
    <n v="0.13089999999999999"/>
    <d v="2025-02-26T00:00:00"/>
    <n v="36"/>
    <n v="10"/>
    <n v="8700000"/>
    <x v="0"/>
    <n v="202423.90774287825"/>
    <d v="2028-02-26T00:00:00"/>
    <n v="1.45"/>
    <s v="Secured"/>
    <x v="10"/>
    <n v="711"/>
    <s v="Low Risk"/>
    <s v="Normal"/>
    <s v="Normal"/>
  </r>
  <r>
    <s v="LN1321"/>
    <s v="C0592"/>
    <s v="B15"/>
    <x v="3"/>
    <n v="500000"/>
    <n v="0.14710000000000001"/>
    <d v="2023-05-13T00:00:00"/>
    <n v="60"/>
    <n v="90"/>
    <n v="430000"/>
    <x v="2"/>
    <n v="11818.988442043999"/>
    <d v="2028-05-13T00:00:00"/>
    <n v="0.86"/>
    <s v="Undersecured"/>
    <x v="9"/>
    <n v="334"/>
    <s v="High Risk"/>
    <s v="High Risk Exposure"/>
    <s v="High"/>
  </r>
  <r>
    <s v="LN1322"/>
    <s v="C0196"/>
    <s v="B15"/>
    <x v="0"/>
    <n v="25000000"/>
    <n v="0.22770000000000001"/>
    <d v="2020-03-22T00:00:00"/>
    <n v="24"/>
    <n v="45"/>
    <n v="29750000"/>
    <x v="2"/>
    <n v="1306479.6791548398"/>
    <d v="2022-03-22T00:00:00"/>
    <n v="1.19"/>
    <s v="Secured"/>
    <x v="9"/>
    <n v="674"/>
    <s v="Low Risk"/>
    <s v="High Risk Exposure"/>
    <s v="High"/>
  </r>
  <r>
    <s v="LN1323"/>
    <s v="C0397"/>
    <s v="B12"/>
    <x v="0"/>
    <n v="1000000"/>
    <n v="0.2099"/>
    <d v="2022-12-16T00:00:00"/>
    <n v="12"/>
    <n v="0"/>
    <n v="1210000"/>
    <x v="0"/>
    <n v="93108.97445709788"/>
    <d v="2023-12-16T00:00:00"/>
    <n v="1.21"/>
    <s v="Secured"/>
    <x v="12"/>
    <n v="333"/>
    <s v="High Risk"/>
    <s v="High Risk Exposure"/>
    <s v="High"/>
  </r>
  <r>
    <s v="LN1324"/>
    <s v="C0581"/>
    <s v="B15"/>
    <x v="2"/>
    <n v="25000000"/>
    <n v="0.1173"/>
    <d v="2022-09-04T00:00:00"/>
    <n v="48"/>
    <n v="0"/>
    <n v="36500000"/>
    <x v="0"/>
    <n v="655036.57120554778"/>
    <d v="2026-09-04T00:00:00"/>
    <n v="1.46"/>
    <s v="Secured"/>
    <x v="9"/>
    <n v="474"/>
    <s v="High Risk"/>
    <s v="High Risk Exposure"/>
    <s v="High"/>
  </r>
  <r>
    <s v="LN1325"/>
    <s v="C0290"/>
    <s v="B07"/>
    <x v="1"/>
    <n v="250000"/>
    <n v="0.26929999999999998"/>
    <d v="2025-07-05T00:00:00"/>
    <n v="48"/>
    <n v="10"/>
    <n v="0"/>
    <x v="0"/>
    <n v="8560.6549253668854"/>
    <d v="2029-07-05T00:00:00"/>
    <n v="0"/>
    <s v="Undersecured"/>
    <x v="0"/>
    <n v="478"/>
    <s v="High Risk"/>
    <s v="High Risk Exposure"/>
    <s v="High"/>
  </r>
  <r>
    <s v="LN1326"/>
    <s v="C0128"/>
    <s v="B05"/>
    <x v="1"/>
    <n v="100000"/>
    <n v="0.19470000000000001"/>
    <d v="2024-09-21T00:00:00"/>
    <n v="60"/>
    <n v="0"/>
    <n v="0"/>
    <x v="0"/>
    <n v="2619.9848077017073"/>
    <d v="2029-09-21T00:00:00"/>
    <n v="0"/>
    <s v="Undersecured"/>
    <x v="4"/>
    <n v="308"/>
    <s v="High Risk"/>
    <s v="High Risk Exposure"/>
    <s v="High"/>
  </r>
  <r>
    <s v="LN1327"/>
    <s v="C0094"/>
    <s v="B07"/>
    <x v="3"/>
    <n v="1000000"/>
    <n v="0.1678"/>
    <d v="2022-05-06T00:00:00"/>
    <n v="72"/>
    <n v="0"/>
    <n v="1240000"/>
    <x v="0"/>
    <n v="22123.551601464507"/>
    <d v="2028-05-06T00:00:00"/>
    <n v="1.24"/>
    <s v="Secured"/>
    <x v="0"/>
    <n v="711"/>
    <s v="Low Risk"/>
    <s v="Normal"/>
    <s v="Normal"/>
  </r>
  <r>
    <s v="LN1328"/>
    <s v="C0192"/>
    <s v="B11"/>
    <x v="0"/>
    <n v="3000000"/>
    <n v="0.1643"/>
    <d v="2021-12-21T00:00:00"/>
    <n v="24"/>
    <n v="20"/>
    <n v="4470000"/>
    <x v="0"/>
    <n v="147506.45144913372"/>
    <d v="2023-12-21T00:00:00"/>
    <n v="1.49"/>
    <s v="Secured"/>
    <x v="10"/>
    <n v="760"/>
    <s v="Very Low Risk"/>
    <s v="Normal"/>
    <s v="Normal"/>
  </r>
  <r>
    <s v="LN1329"/>
    <s v="C0613"/>
    <s v="B01"/>
    <x v="3"/>
    <n v="6000000"/>
    <n v="0.1366"/>
    <d v="2025-08-02T00:00:00"/>
    <n v="48"/>
    <n v="0"/>
    <n v="9000000"/>
    <x v="0"/>
    <n v="162937.36763604448"/>
    <d v="2029-08-02T00:00:00"/>
    <n v="1.5"/>
    <s v="Secured"/>
    <x v="1"/>
    <n v="764"/>
    <s v="Very Low Risk"/>
    <s v="Normal"/>
    <s v="Normal"/>
  </r>
  <r>
    <s v="LN1330"/>
    <s v="C0233"/>
    <s v="B12"/>
    <x v="3"/>
    <n v="1000000"/>
    <n v="0.12089999999999999"/>
    <d v="2021-03-03T00:00:00"/>
    <n v="60"/>
    <n v="0"/>
    <n v="1400000"/>
    <x v="0"/>
    <n v="22289.954365670135"/>
    <d v="2026-03-03T00:00:00"/>
    <n v="1.4"/>
    <s v="Secured"/>
    <x v="12"/>
    <n v="805"/>
    <s v="Prime"/>
    <s v="Normal"/>
    <s v="Normal"/>
  </r>
  <r>
    <s v="LN1331"/>
    <s v="C0498"/>
    <s v="B12"/>
    <x v="1"/>
    <n v="1000000"/>
    <n v="0.28000000000000003"/>
    <d v="2023-04-05T00:00:00"/>
    <n v="72"/>
    <n v="90"/>
    <n v="0"/>
    <x v="2"/>
    <n v="28806.797592711831"/>
    <d v="2029-04-05T00:00:00"/>
    <n v="0"/>
    <s v="Undersecured"/>
    <x v="12"/>
    <n v="309"/>
    <s v="High Risk"/>
    <s v="High Risk Exposure"/>
    <s v="High"/>
  </r>
  <r>
    <s v="LN1332"/>
    <s v="C0261"/>
    <s v="B09"/>
    <x v="2"/>
    <n v="25000000"/>
    <n v="0.1232"/>
    <d v="2025-07-23T00:00:00"/>
    <n v="72"/>
    <n v="0"/>
    <n v="24250000"/>
    <x v="0"/>
    <n v="492924.99102974171"/>
    <d v="2031-07-23T00:00:00"/>
    <n v="0.97"/>
    <s v="Undersecured"/>
    <x v="8"/>
    <n v="844"/>
    <s v="Prime"/>
    <s v="High Risk Exposure"/>
    <s v="High"/>
  </r>
  <r>
    <s v="LN1333"/>
    <s v="C0022"/>
    <s v="B10"/>
    <x v="1"/>
    <n v="1000000"/>
    <n v="0.2651"/>
    <d v="2022-09-12T00:00:00"/>
    <n v="12"/>
    <n v="45"/>
    <n v="0"/>
    <x v="2"/>
    <n v="95778.477256924991"/>
    <d v="2023-09-12T00:00:00"/>
    <n v="0"/>
    <s v="Undersecured"/>
    <x v="3"/>
    <n v="601"/>
    <s v="Medium Risk"/>
    <s v="High Risk Exposure"/>
    <s v="High"/>
  </r>
  <r>
    <s v="LN1334"/>
    <s v="C0389"/>
    <s v="B04"/>
    <x v="0"/>
    <n v="25000000"/>
    <n v="0.2147"/>
    <d v="2020-09-14T00:00:00"/>
    <n v="72"/>
    <n v="5"/>
    <n v="17250000"/>
    <x v="0"/>
    <n v="620312.44173353841"/>
    <d v="2026-09-14T00:00:00"/>
    <n v="0.69"/>
    <s v="Undersecured"/>
    <x v="14"/>
    <n v="751"/>
    <s v="Very Low Risk"/>
    <s v="High Risk Exposure"/>
    <s v="High"/>
  </r>
  <r>
    <s v="LN1335"/>
    <s v="C0377"/>
    <s v="B04"/>
    <x v="0"/>
    <n v="1000000"/>
    <n v="0.2092"/>
    <d v="2025-11-15T00:00:00"/>
    <n v="60"/>
    <n v="120"/>
    <n v="1050000"/>
    <x v="1"/>
    <n v="27008.37721132343"/>
    <d v="2030-11-15T00:00:00"/>
    <n v="1.05"/>
    <s v="Secured"/>
    <x v="14"/>
    <n v="436"/>
    <s v="High Risk"/>
    <s v="High Risk Exposure"/>
    <s v="Critical"/>
  </r>
  <r>
    <s v="LN1336"/>
    <s v="C0299"/>
    <s v="B03"/>
    <x v="1"/>
    <n v="500000"/>
    <n v="0.22040000000000001"/>
    <d v="2023-05-14T00:00:00"/>
    <n v="12"/>
    <n v="0"/>
    <n v="0"/>
    <x v="0"/>
    <n v="46806.815838454881"/>
    <d v="2024-05-14T00:00:00"/>
    <n v="0"/>
    <s v="Undersecured"/>
    <x v="7"/>
    <n v="550"/>
    <s v="High Risk"/>
    <s v="High Risk Exposure"/>
    <s v="High"/>
  </r>
  <r>
    <s v="LN1337"/>
    <s v="C0682"/>
    <s v="B08"/>
    <x v="0"/>
    <n v="1000000"/>
    <n v="0.18029999999999999"/>
    <d v="2024-02-21T00:00:00"/>
    <n v="12"/>
    <n v="0"/>
    <n v="1270000"/>
    <x v="0"/>
    <n v="91694.27091408438"/>
    <d v="2025-02-21T00:00:00"/>
    <n v="1.27"/>
    <s v="Secured"/>
    <x v="5"/>
    <n v="737"/>
    <s v="Low Risk"/>
    <s v="Normal"/>
    <s v="Normal"/>
  </r>
  <r>
    <s v="LN1338"/>
    <s v="C0678"/>
    <s v="B08"/>
    <x v="1"/>
    <n v="250000"/>
    <n v="0.20599999999999999"/>
    <d v="2021-09-14T00:00:00"/>
    <n v="60"/>
    <n v="0"/>
    <n v="0"/>
    <x v="0"/>
    <n v="6707.2091037636146"/>
    <d v="2026-09-14T00:00:00"/>
    <n v="0"/>
    <s v="Undersecured"/>
    <x v="5"/>
    <n v="456"/>
    <s v="High Risk"/>
    <s v="High Risk Exposure"/>
    <s v="High"/>
  </r>
  <r>
    <s v="LN1339"/>
    <s v="C0297"/>
    <s v="B11"/>
    <x v="2"/>
    <n v="6000000"/>
    <n v="0.1012"/>
    <d v="2022-10-13T00:00:00"/>
    <n v="72"/>
    <n v="120"/>
    <n v="8580000"/>
    <x v="1"/>
    <n v="111518.45256291701"/>
    <d v="2028-10-13T00:00:00"/>
    <n v="1.43"/>
    <s v="Secured"/>
    <x v="10"/>
    <n v="500"/>
    <s v="High Risk"/>
    <s v="High Risk Exposure"/>
    <s v="Critical"/>
  </r>
  <r>
    <s v="LN1340"/>
    <s v="C0676"/>
    <s v="B15"/>
    <x v="0"/>
    <n v="1000000"/>
    <n v="0.16389999999999999"/>
    <d v="2022-08-04T00:00:00"/>
    <n v="48"/>
    <n v="5"/>
    <n v="970000"/>
    <x v="0"/>
    <n v="28540.417603547376"/>
    <d v="2026-08-04T00:00:00"/>
    <n v="0.97"/>
    <s v="Undersecured"/>
    <x v="9"/>
    <n v="741"/>
    <s v="Very Low Risk"/>
    <s v="High Risk Exposure"/>
    <s v="High"/>
  </r>
  <r>
    <s v="LN1341"/>
    <s v="C0655"/>
    <s v="B01"/>
    <x v="0"/>
    <n v="1000000"/>
    <n v="0.21299999999999999"/>
    <d v="2020-11-11T00:00:00"/>
    <n v="72"/>
    <n v="10"/>
    <n v="930000"/>
    <x v="0"/>
    <n v="24712.309799828359"/>
    <d v="2026-11-11T00:00:00"/>
    <n v="0.93"/>
    <s v="Undersecured"/>
    <x v="1"/>
    <n v="317"/>
    <s v="High Risk"/>
    <s v="High Risk Exposure"/>
    <s v="High"/>
  </r>
  <r>
    <s v="LN1342"/>
    <s v="C0237"/>
    <s v="B08"/>
    <x v="2"/>
    <n v="25000000"/>
    <n v="0.12540000000000001"/>
    <d v="2025-09-22T00:00:00"/>
    <n v="36"/>
    <n v="20"/>
    <n v="29000000"/>
    <x v="0"/>
    <n v="836820.36303839798"/>
    <d v="2028-09-22T00:00:00"/>
    <n v="1.1599999999999999"/>
    <s v="Secured"/>
    <x v="5"/>
    <n v="821"/>
    <s v="Prime"/>
    <s v="Normal"/>
    <s v="Normal"/>
  </r>
  <r>
    <s v="LN1343"/>
    <s v="C0504"/>
    <s v="B07"/>
    <x v="3"/>
    <n v="1000000"/>
    <n v="0.14729999999999999"/>
    <d v="2022-12-19T00:00:00"/>
    <n v="12"/>
    <n v="10"/>
    <n v="980000"/>
    <x v="0"/>
    <n v="90130.956561576662"/>
    <d v="2023-12-19T00:00:00"/>
    <n v="0.98"/>
    <s v="Undersecured"/>
    <x v="0"/>
    <n v="834"/>
    <s v="Prime"/>
    <s v="High Risk Exposure"/>
    <s v="High"/>
  </r>
  <r>
    <s v="LN1344"/>
    <s v="C0013"/>
    <s v="B07"/>
    <x v="2"/>
    <n v="25000000"/>
    <n v="0.1232"/>
    <d v="2020-05-11T00:00:00"/>
    <n v="24"/>
    <n v="0"/>
    <n v="26000000"/>
    <x v="0"/>
    <n v="1180576.2271744283"/>
    <d v="2022-05-11T00:00:00"/>
    <n v="1.04"/>
    <s v="Secured"/>
    <x v="0"/>
    <n v="659"/>
    <s v="Medium Risk"/>
    <s v="Normal"/>
    <s v="Normal"/>
  </r>
  <r>
    <s v="LN1345"/>
    <s v="C0089"/>
    <s v="B08"/>
    <x v="3"/>
    <n v="3000000"/>
    <n v="0.1492"/>
    <d v="2020-07-05T00:00:00"/>
    <n v="48"/>
    <n v="10"/>
    <n v="2100000"/>
    <x v="0"/>
    <n v="83370.637550299667"/>
    <d v="2024-07-05T00:00:00"/>
    <n v="0.7"/>
    <s v="Undersecured"/>
    <x v="5"/>
    <n v="415"/>
    <s v="High Risk"/>
    <s v="High Risk Exposure"/>
    <s v="High"/>
  </r>
  <r>
    <s v="LN1346"/>
    <s v="C0252"/>
    <s v="B12"/>
    <x v="3"/>
    <n v="500000"/>
    <n v="0.13980000000000001"/>
    <d v="2022-11-01T00:00:00"/>
    <n v="36"/>
    <n v="0"/>
    <n v="280000"/>
    <x v="0"/>
    <n v="17083.958373804006"/>
    <d v="2025-11-01T00:00:00"/>
    <n v="0.56000000000000005"/>
    <s v="Undersecured"/>
    <x v="12"/>
    <n v="776"/>
    <s v="Very Low Risk"/>
    <s v="High Risk Exposure"/>
    <s v="High"/>
  </r>
  <r>
    <s v="LN1347"/>
    <s v="C0052"/>
    <s v="B03"/>
    <x v="1"/>
    <n v="100000"/>
    <n v="0.25519999999999998"/>
    <d v="2023-09-20T00:00:00"/>
    <n v="48"/>
    <n v="120"/>
    <n v="0"/>
    <x v="1"/>
    <n v="3344.781408856938"/>
    <d v="2027-09-20T00:00:00"/>
    <n v="0"/>
    <s v="Undersecured"/>
    <x v="7"/>
    <n v="463"/>
    <s v="High Risk"/>
    <s v="High Risk Exposure"/>
    <s v="Critical"/>
  </r>
  <r>
    <s v="LN1348"/>
    <s v="C0257"/>
    <s v="B13"/>
    <x v="2"/>
    <n v="80000000"/>
    <n v="0.1226"/>
    <d v="2025-09-19T00:00:00"/>
    <n v="12"/>
    <n v="90"/>
    <n v="64000000"/>
    <x v="2"/>
    <n v="7117637.1885069162"/>
    <d v="2026-09-19T00:00:00"/>
    <n v="0.8"/>
    <s v="Undersecured"/>
    <x v="2"/>
    <n v="724"/>
    <s v="Low Risk"/>
    <s v="High Risk Exposure"/>
    <s v="High"/>
  </r>
  <r>
    <s v="LN1349"/>
    <s v="C0596"/>
    <s v="B10"/>
    <x v="3"/>
    <n v="500000"/>
    <n v="0.14050000000000001"/>
    <d v="2023-02-13T00:00:00"/>
    <n v="60"/>
    <n v="90"/>
    <n v="640000"/>
    <x v="2"/>
    <n v="11647.09041880796"/>
    <d v="2028-02-13T00:00:00"/>
    <n v="1.28"/>
    <s v="Secured"/>
    <x v="3"/>
    <n v="755"/>
    <s v="Very Low Risk"/>
    <s v="High Risk Exposure"/>
    <s v="High"/>
  </r>
  <r>
    <s v="LN1350"/>
    <s v="C0091"/>
    <s v="B01"/>
    <x v="3"/>
    <n v="500000"/>
    <n v="0.1956"/>
    <d v="2020-11-21T00:00:00"/>
    <n v="36"/>
    <n v="0"/>
    <n v="585000"/>
    <x v="0"/>
    <n v="18469.885689491039"/>
    <d v="2023-11-21T00:00:00"/>
    <n v="1.17"/>
    <s v="Secured"/>
    <x v="1"/>
    <n v="537"/>
    <s v="High Risk"/>
    <s v="High Risk Exposure"/>
    <s v="High"/>
  </r>
  <r>
    <s v="LN1351"/>
    <s v="C0211"/>
    <s v="B10"/>
    <x v="3"/>
    <n v="6000000"/>
    <n v="0.1802"/>
    <d v="2021-07-17T00:00:00"/>
    <n v="12"/>
    <n v="20"/>
    <n v="7260000"/>
    <x v="0"/>
    <n v="550137.06866212084"/>
    <d v="2022-07-17T00:00:00"/>
    <n v="1.21"/>
    <s v="Secured"/>
    <x v="3"/>
    <n v="724"/>
    <s v="Low Risk"/>
    <s v="Normal"/>
    <s v="Normal"/>
  </r>
  <r>
    <s v="LN1352"/>
    <s v="C0458"/>
    <s v="B13"/>
    <x v="0"/>
    <n v="6000000"/>
    <n v="0.2261"/>
    <d v="2023-07-02T00:00:00"/>
    <n v="60"/>
    <n v="5"/>
    <n v="5880000"/>
    <x v="0"/>
    <n v="167801.11829401797"/>
    <d v="2028-07-02T00:00:00"/>
    <n v="0.98"/>
    <s v="Undersecured"/>
    <x v="2"/>
    <n v="698"/>
    <s v="Low Risk"/>
    <s v="High Risk Exposure"/>
    <s v="High"/>
  </r>
  <r>
    <s v="LN1353"/>
    <s v="C0096"/>
    <s v="B05"/>
    <x v="1"/>
    <n v="250000"/>
    <n v="0.25559999999999999"/>
    <d v="2025-04-26T00:00:00"/>
    <n v="12"/>
    <n v="0"/>
    <n v="0"/>
    <x v="0"/>
    <n v="23829.040919130221"/>
    <d v="2026-04-26T00:00:00"/>
    <n v="0"/>
    <s v="Undersecured"/>
    <x v="4"/>
    <n v="466"/>
    <s v="High Risk"/>
    <s v="High Risk Exposure"/>
    <s v="High"/>
  </r>
  <r>
    <s v="LN1354"/>
    <s v="C0371"/>
    <s v="B10"/>
    <x v="2"/>
    <n v="25000000"/>
    <n v="0.12770000000000001"/>
    <d v="2024-11-02T00:00:00"/>
    <n v="48"/>
    <n v="0"/>
    <n v="34750000"/>
    <x v="0"/>
    <n v="667837.04667288368"/>
    <d v="2028-11-02T00:00:00"/>
    <n v="1.39"/>
    <s v="Secured"/>
    <x v="3"/>
    <n v="625"/>
    <s v="Medium Risk"/>
    <s v="Normal"/>
    <s v="Normal"/>
  </r>
  <r>
    <s v="LN1355"/>
    <s v="C0646"/>
    <s v="B06"/>
    <x v="0"/>
    <n v="6000000"/>
    <n v="0.23649999999999999"/>
    <d v="2021-08-01T00:00:00"/>
    <n v="72"/>
    <n v="20"/>
    <n v="7200000"/>
    <x v="0"/>
    <n v="156688.61259603407"/>
    <d v="2027-08-01T00:00:00"/>
    <n v="1.2"/>
    <s v="Secured"/>
    <x v="6"/>
    <n v="755"/>
    <s v="Very Low Risk"/>
    <s v="Normal"/>
    <s v="Normal"/>
  </r>
  <r>
    <s v="LN1356"/>
    <s v="C0187"/>
    <s v="B01"/>
    <x v="2"/>
    <n v="25000000"/>
    <n v="0.1091"/>
    <d v="2022-06-17T00:00:00"/>
    <n v="36"/>
    <n v="0"/>
    <n v="17000000"/>
    <x v="0"/>
    <n v="817402.82152332913"/>
    <d v="2025-06-17T00:00:00"/>
    <n v="0.68"/>
    <s v="Undersecured"/>
    <x v="1"/>
    <n v="603"/>
    <s v="Medium Risk"/>
    <s v="High Risk Exposure"/>
    <s v="High"/>
  </r>
  <r>
    <s v="LN1357"/>
    <s v="C0386"/>
    <s v="B02"/>
    <x v="0"/>
    <n v="25000000"/>
    <n v="0.19009999999999999"/>
    <d v="2020-10-20T00:00:00"/>
    <n v="24"/>
    <n v="5"/>
    <n v="12750000"/>
    <x v="0"/>
    <n v="1260336.8963349035"/>
    <d v="2022-10-20T00:00:00"/>
    <n v="0.51"/>
    <s v="Undersecured"/>
    <x v="11"/>
    <n v="830"/>
    <s v="Prime"/>
    <s v="High Risk Exposure"/>
    <s v="High"/>
  </r>
  <r>
    <s v="LN1358"/>
    <s v="C0278"/>
    <s v="B14"/>
    <x v="1"/>
    <n v="250000"/>
    <n v="0.21740000000000001"/>
    <d v="2025-02-03T00:00:00"/>
    <n v="12"/>
    <n v="0"/>
    <n v="0"/>
    <x v="0"/>
    <n v="23367.323379714697"/>
    <d v="2026-02-03T00:00:00"/>
    <n v="0"/>
    <s v="Undersecured"/>
    <x v="13"/>
    <n v="666"/>
    <s v="Medium Risk"/>
    <s v="High Risk Exposure"/>
    <s v="High"/>
  </r>
  <r>
    <s v="LN1359"/>
    <s v="C0662"/>
    <s v="B15"/>
    <x v="1"/>
    <n v="100000"/>
    <n v="0.18490000000000001"/>
    <d v="2024-01-03T00:00:00"/>
    <n v="60"/>
    <n v="10"/>
    <n v="0"/>
    <x v="0"/>
    <n v="2566.0738224778397"/>
    <d v="2029-01-03T00:00:00"/>
    <n v="0"/>
    <s v="Undersecured"/>
    <x v="9"/>
    <n v="380"/>
    <s v="High Risk"/>
    <s v="High Risk Exposure"/>
    <s v="High"/>
  </r>
  <r>
    <s v="LN1360"/>
    <s v="C0510"/>
    <s v="B07"/>
    <x v="1"/>
    <n v="250000"/>
    <n v="0.16850000000000001"/>
    <d v="2025-10-06T00:00:00"/>
    <n v="12"/>
    <n v="0"/>
    <n v="0"/>
    <x v="0"/>
    <n v="22783.395511931802"/>
    <d v="2026-10-06T00:00:00"/>
    <n v="0"/>
    <s v="Undersecured"/>
    <x v="0"/>
    <n v="361"/>
    <s v="High Risk"/>
    <s v="High Risk Exposure"/>
    <s v="High"/>
  </r>
  <r>
    <s v="LN1361"/>
    <s v="C0035"/>
    <s v="B07"/>
    <x v="0"/>
    <n v="25000000"/>
    <n v="0.21759999999999999"/>
    <d v="2023-12-15T00:00:00"/>
    <n v="48"/>
    <n v="45"/>
    <n v="22750000"/>
    <x v="2"/>
    <n v="784398.18635093456"/>
    <d v="2027-12-15T00:00:00"/>
    <n v="0.91"/>
    <s v="Undersecured"/>
    <x v="0"/>
    <n v="696"/>
    <s v="Low Risk"/>
    <s v="High Risk Exposure"/>
    <s v="High"/>
  </r>
  <r>
    <s v="LN1362"/>
    <s v="C0134"/>
    <s v="B10"/>
    <x v="3"/>
    <n v="6000000"/>
    <n v="0.1736"/>
    <d v="2024-07-02T00:00:00"/>
    <n v="72"/>
    <n v="120"/>
    <n v="3960000"/>
    <x v="1"/>
    <n v="134684.90871983662"/>
    <d v="2030-07-02T00:00:00"/>
    <n v="0.66"/>
    <s v="Undersecured"/>
    <x v="3"/>
    <n v="447"/>
    <s v="High Risk"/>
    <s v="High Risk Exposure"/>
    <s v="Critical"/>
  </r>
  <r>
    <s v="LN1363"/>
    <s v="C0691"/>
    <s v="B01"/>
    <x v="1"/>
    <n v="1000000"/>
    <n v="0.16020000000000001"/>
    <d v="2020-08-21T00:00:00"/>
    <n v="36"/>
    <n v="0"/>
    <n v="0"/>
    <x v="0"/>
    <n v="35166.907878341757"/>
    <d v="2023-08-21T00:00:00"/>
    <n v="0"/>
    <s v="Undersecured"/>
    <x v="1"/>
    <n v="735"/>
    <s v="Low Risk"/>
    <s v="High Risk Exposure"/>
    <s v="High"/>
  </r>
  <r>
    <s v="LN1364"/>
    <s v="C0123"/>
    <s v="B05"/>
    <x v="3"/>
    <n v="500000"/>
    <n v="0.13619999999999999"/>
    <d v="2023-10-13T00:00:00"/>
    <n v="60"/>
    <n v="0"/>
    <n v="635000"/>
    <x v="0"/>
    <n v="11535.857295935961"/>
    <d v="2028-10-13T00:00:00"/>
    <n v="1.27"/>
    <s v="Secured"/>
    <x v="4"/>
    <n v="357"/>
    <s v="High Risk"/>
    <s v="High Risk Exposure"/>
    <s v="High"/>
  </r>
  <r>
    <s v="LN1365"/>
    <s v="C0478"/>
    <s v="B14"/>
    <x v="0"/>
    <n v="25000000"/>
    <n v="0.23280000000000001"/>
    <d v="2020-12-19T00:00:00"/>
    <n v="12"/>
    <n v="90"/>
    <n v="25500000"/>
    <x v="2"/>
    <n v="2355287.6021446874"/>
    <d v="2021-12-19T00:00:00"/>
    <n v="1.02"/>
    <s v="Secured"/>
    <x v="13"/>
    <n v="343"/>
    <s v="High Risk"/>
    <s v="High Risk Exposure"/>
    <s v="High"/>
  </r>
  <r>
    <s v="LN1366"/>
    <s v="C0441"/>
    <s v="B03"/>
    <x v="1"/>
    <n v="100000"/>
    <n v="0.23050000000000001"/>
    <d v="2020-07-18T00:00:00"/>
    <n v="12"/>
    <n v="90"/>
    <n v="0"/>
    <x v="2"/>
    <n v="9410.0453445665462"/>
    <d v="2021-07-18T00:00:00"/>
    <n v="0"/>
    <s v="Undersecured"/>
    <x v="7"/>
    <n v="342"/>
    <s v="High Risk"/>
    <s v="High Risk Exposure"/>
    <s v="High"/>
  </r>
  <r>
    <s v="LN1367"/>
    <s v="C0432"/>
    <s v="B02"/>
    <x v="1"/>
    <n v="250000"/>
    <n v="0.16520000000000001"/>
    <d v="2024-07-17T00:00:00"/>
    <n v="24"/>
    <n v="90"/>
    <n v="0"/>
    <x v="2"/>
    <n v="12302.983737106932"/>
    <d v="2026-07-17T00:00:00"/>
    <n v="0"/>
    <s v="Undersecured"/>
    <x v="11"/>
    <n v="694"/>
    <s v="Low Risk"/>
    <s v="High Risk Exposure"/>
    <s v="High"/>
  </r>
  <r>
    <s v="LN1368"/>
    <s v="C0650"/>
    <s v="B03"/>
    <x v="1"/>
    <n v="1000000"/>
    <n v="0.22600000000000001"/>
    <d v="2025-05-22T00:00:00"/>
    <n v="48"/>
    <n v="45"/>
    <n v="0"/>
    <x v="2"/>
    <n v="31832.715330212261"/>
    <d v="2029-05-22T00:00:00"/>
    <n v="0"/>
    <s v="Undersecured"/>
    <x v="7"/>
    <n v="325"/>
    <s v="High Risk"/>
    <s v="High Risk Exposure"/>
    <s v="High"/>
  </r>
  <r>
    <s v="LN1369"/>
    <s v="C0464"/>
    <s v="B10"/>
    <x v="1"/>
    <n v="100000"/>
    <n v="0.23300000000000001"/>
    <d v="2022-07-12T00:00:00"/>
    <n v="48"/>
    <n v="120"/>
    <n v="0"/>
    <x v="1"/>
    <n v="3221.6060737372691"/>
    <d v="2026-07-12T00:00:00"/>
    <n v="0"/>
    <s v="Undersecured"/>
    <x v="3"/>
    <n v="310"/>
    <s v="High Risk"/>
    <s v="High Risk Exposure"/>
    <s v="Critical"/>
  </r>
  <r>
    <s v="LN1370"/>
    <s v="C0356"/>
    <s v="B03"/>
    <x v="1"/>
    <n v="100000"/>
    <n v="0.21929999999999999"/>
    <d v="2023-08-20T00:00:00"/>
    <n v="60"/>
    <n v="45"/>
    <n v="0"/>
    <x v="2"/>
    <n v="2757.912704193941"/>
    <d v="2028-08-20T00:00:00"/>
    <n v="0"/>
    <s v="Undersecured"/>
    <x v="7"/>
    <n v="641"/>
    <s v="Medium Risk"/>
    <s v="High Risk Exposure"/>
    <s v="High"/>
  </r>
  <r>
    <s v="LN1371"/>
    <s v="C0318"/>
    <s v="B02"/>
    <x v="2"/>
    <n v="25000000"/>
    <n v="0.1113"/>
    <d v="2021-09-16T00:00:00"/>
    <n v="60"/>
    <n v="0"/>
    <n v="23750000"/>
    <x v="0"/>
    <n v="545182.78419192706"/>
    <d v="2026-09-16T00:00:00"/>
    <n v="0.95"/>
    <s v="Undersecured"/>
    <x v="11"/>
    <n v="461"/>
    <s v="High Risk"/>
    <s v="High Risk Exposure"/>
    <s v="High"/>
  </r>
  <r>
    <s v="LN1372"/>
    <s v="C0667"/>
    <s v="B02"/>
    <x v="0"/>
    <n v="25000000"/>
    <n v="0.2374"/>
    <d v="2024-10-25T00:00:00"/>
    <n v="48"/>
    <n v="20"/>
    <n v="26000000"/>
    <x v="0"/>
    <n v="811456.62669987022"/>
    <d v="2028-10-25T00:00:00"/>
    <n v="1.04"/>
    <s v="Secured"/>
    <x v="11"/>
    <n v="823"/>
    <s v="Prime"/>
    <s v="Normal"/>
    <s v="Normal"/>
  </r>
  <r>
    <s v="LN1373"/>
    <s v="C0540"/>
    <s v="B09"/>
    <x v="2"/>
    <n v="80000000"/>
    <n v="0.13039999999999999"/>
    <d v="2023-10-26T00:00:00"/>
    <n v="48"/>
    <n v="5"/>
    <n v="48000000"/>
    <x v="0"/>
    <n v="2147788.2527373079"/>
    <d v="2027-10-26T00:00:00"/>
    <n v="0.6"/>
    <s v="Undersecured"/>
    <x v="8"/>
    <n v="823"/>
    <s v="Prime"/>
    <s v="High Risk Exposure"/>
    <s v="High"/>
  </r>
  <r>
    <s v="LN1374"/>
    <s v="C0330"/>
    <s v="B15"/>
    <x v="0"/>
    <n v="1000000"/>
    <n v="0.15590000000000001"/>
    <d v="2024-11-25T00:00:00"/>
    <n v="72"/>
    <n v="0"/>
    <n v="780000"/>
    <x v="0"/>
    <n v="21466.733527455355"/>
    <d v="2030-11-25T00:00:00"/>
    <n v="0.78"/>
    <s v="Undersecured"/>
    <x v="9"/>
    <n v="780"/>
    <s v="Very Low Risk"/>
    <s v="High Risk Exposure"/>
    <s v="High"/>
  </r>
  <r>
    <s v="LN1375"/>
    <s v="C0612"/>
    <s v="B02"/>
    <x v="2"/>
    <n v="80000000"/>
    <n v="0.1368"/>
    <d v="2024-03-27T00:00:00"/>
    <n v="72"/>
    <n v="45"/>
    <n v="105600000"/>
    <x v="2"/>
    <n v="1634782.5053701899"/>
    <d v="2030-03-27T00:00:00"/>
    <n v="1.32"/>
    <s v="Secured"/>
    <x v="11"/>
    <n v="367"/>
    <s v="High Risk"/>
    <s v="High Risk Exposure"/>
    <s v="High"/>
  </r>
  <r>
    <s v="LN1376"/>
    <s v="C0287"/>
    <s v="B04"/>
    <x v="1"/>
    <n v="1000000"/>
    <n v="0.2596"/>
    <d v="2025-08-26T00:00:00"/>
    <n v="12"/>
    <n v="90"/>
    <n v="0"/>
    <x v="2"/>
    <n v="95510.676079013661"/>
    <d v="2026-08-26T00:00:00"/>
    <n v="0"/>
    <s v="Undersecured"/>
    <x v="14"/>
    <n v="657"/>
    <s v="Medium Risk"/>
    <s v="High Risk Exposure"/>
    <s v="High"/>
  </r>
  <r>
    <s v="LN1377"/>
    <s v="C0164"/>
    <s v="B06"/>
    <x v="2"/>
    <n v="25000000"/>
    <n v="0.12609999999999999"/>
    <d v="2022-08-27T00:00:00"/>
    <n v="24"/>
    <n v="45"/>
    <n v="18000000"/>
    <x v="2"/>
    <n v="1183971.0804452966"/>
    <d v="2024-08-27T00:00:00"/>
    <n v="0.72"/>
    <s v="Undersecured"/>
    <x v="6"/>
    <n v="712"/>
    <s v="Low Risk"/>
    <s v="High Risk Exposure"/>
    <s v="High"/>
  </r>
  <r>
    <s v="LN1378"/>
    <s v="C0434"/>
    <s v="B09"/>
    <x v="3"/>
    <n v="500000"/>
    <n v="0.16120000000000001"/>
    <d v="2024-01-13T00:00:00"/>
    <n v="60"/>
    <n v="0"/>
    <n v="555000"/>
    <x v="0"/>
    <n v="12190.931505001203"/>
    <d v="2029-01-13T00:00:00"/>
    <n v="1.1100000000000001"/>
    <s v="Secured"/>
    <x v="8"/>
    <n v="473"/>
    <s v="High Risk"/>
    <s v="High Risk Exposure"/>
    <s v="High"/>
  </r>
  <r>
    <s v="LN1379"/>
    <s v="C0102"/>
    <s v="B03"/>
    <x v="1"/>
    <n v="1000000"/>
    <n v="0.19950000000000001"/>
    <d v="2022-12-19T00:00:00"/>
    <n v="72"/>
    <n v="0"/>
    <n v="0"/>
    <x v="0"/>
    <n v="23923.852179051726"/>
    <d v="2028-12-19T00:00:00"/>
    <n v="0"/>
    <s v="Undersecured"/>
    <x v="7"/>
    <n v="444"/>
    <s v="High Risk"/>
    <s v="High Risk Exposure"/>
    <s v="High"/>
  </r>
  <r>
    <s v="LN1380"/>
    <s v="C0412"/>
    <s v="B04"/>
    <x v="1"/>
    <n v="1000000"/>
    <n v="0.23649999999999999"/>
    <d v="2021-03-03T00:00:00"/>
    <n v="72"/>
    <n v="0"/>
    <n v="0"/>
    <x v="0"/>
    <n v="26114.768766005684"/>
    <d v="2027-03-03T00:00:00"/>
    <n v="0"/>
    <s v="Undersecured"/>
    <x v="14"/>
    <n v="513"/>
    <s v="High Risk"/>
    <s v="High Risk Exposure"/>
    <s v="High"/>
  </r>
  <r>
    <s v="LN1381"/>
    <s v="C0552"/>
    <s v="B03"/>
    <x v="0"/>
    <n v="3000000"/>
    <n v="0.17630000000000001"/>
    <d v="2022-10-22T00:00:00"/>
    <n v="48"/>
    <n v="0"/>
    <n v="1770000"/>
    <x v="0"/>
    <n v="87546.035977608874"/>
    <d v="2026-10-22T00:00:00"/>
    <n v="0.59"/>
    <s v="Undersecured"/>
    <x v="7"/>
    <n v="415"/>
    <s v="High Risk"/>
    <s v="High Risk Exposure"/>
    <s v="High"/>
  </r>
  <r>
    <s v="LN1382"/>
    <s v="C0466"/>
    <s v="B13"/>
    <x v="1"/>
    <n v="250000"/>
    <n v="0.25009999999999999"/>
    <d v="2025-08-20T00:00:00"/>
    <n v="60"/>
    <n v="45"/>
    <n v="0"/>
    <x v="2"/>
    <n v="7339.2965771236604"/>
    <d v="2030-08-20T00:00:00"/>
    <n v="0"/>
    <s v="Undersecured"/>
    <x v="2"/>
    <n v="368"/>
    <s v="High Risk"/>
    <s v="High Risk Exposure"/>
    <s v="High"/>
  </r>
  <r>
    <s v="LN1383"/>
    <s v="C0434"/>
    <s v="B12"/>
    <x v="0"/>
    <n v="25000000"/>
    <n v="0.19209999999999999"/>
    <d v="2025-10-02T00:00:00"/>
    <n v="72"/>
    <n v="120"/>
    <n v="19750000"/>
    <x v="1"/>
    <n v="587427.83011719096"/>
    <d v="2031-10-02T00:00:00"/>
    <n v="0.79"/>
    <s v="Undersecured"/>
    <x v="12"/>
    <n v="473"/>
    <s v="High Risk"/>
    <s v="High Risk Exposure"/>
    <s v="Critical"/>
  </r>
  <r>
    <s v="LN1384"/>
    <s v="C0377"/>
    <s v="B03"/>
    <x v="0"/>
    <n v="3000000"/>
    <n v="0.14630000000000001"/>
    <d v="2020-04-18T00:00:00"/>
    <n v="72"/>
    <n v="90"/>
    <n v="4380000"/>
    <x v="2"/>
    <n v="62833.790956036384"/>
    <d v="2026-04-18T00:00:00"/>
    <n v="1.46"/>
    <s v="Secured"/>
    <x v="7"/>
    <n v="436"/>
    <s v="High Risk"/>
    <s v="High Risk Exposure"/>
    <s v="High"/>
  </r>
  <r>
    <s v="LN1385"/>
    <s v="C0076"/>
    <s v="B08"/>
    <x v="0"/>
    <n v="25000000"/>
    <n v="0.14810000000000001"/>
    <d v="2022-06-19T00:00:00"/>
    <n v="72"/>
    <n v="0"/>
    <n v="23000000"/>
    <x v="0"/>
    <n v="526049.18455429713"/>
    <d v="2028-06-19T00:00:00"/>
    <n v="0.92"/>
    <s v="Undersecured"/>
    <x v="5"/>
    <n v="434"/>
    <s v="High Risk"/>
    <s v="High Risk Exposure"/>
    <s v="High"/>
  </r>
  <r>
    <s v="LN1386"/>
    <s v="C0108"/>
    <s v="B01"/>
    <x v="0"/>
    <n v="25000000"/>
    <n v="0.1898"/>
    <d v="2023-09-08T00:00:00"/>
    <n v="72"/>
    <n v="0"/>
    <n v="16500000"/>
    <x v="0"/>
    <n v="584131.84303125436"/>
    <d v="2029-09-08T00:00:00"/>
    <n v="0.66"/>
    <s v="Undersecured"/>
    <x v="1"/>
    <n v="833"/>
    <s v="Prime"/>
    <s v="High Risk Exposure"/>
    <s v="High"/>
  </r>
  <r>
    <s v="LN1387"/>
    <s v="C0698"/>
    <s v="B05"/>
    <x v="2"/>
    <n v="25000000"/>
    <n v="0.13600000000000001"/>
    <d v="2023-11-06T00:00:00"/>
    <n v="12"/>
    <n v="90"/>
    <n v="13000000"/>
    <x v="2"/>
    <n v="2239975.4599292679"/>
    <d v="2024-11-06T00:00:00"/>
    <n v="0.52"/>
    <s v="Undersecured"/>
    <x v="4"/>
    <n v="500"/>
    <s v="High Risk"/>
    <s v="High Risk Exposure"/>
    <s v="High"/>
  </r>
  <r>
    <s v="LN1388"/>
    <s v="C0448"/>
    <s v="B05"/>
    <x v="0"/>
    <n v="25000000"/>
    <n v="0.23599999999999999"/>
    <d v="2023-09-22T00:00:00"/>
    <n v="60"/>
    <n v="5"/>
    <n v="17250000"/>
    <x v="0"/>
    <n v="713406.50689464726"/>
    <d v="2028-09-22T00:00:00"/>
    <n v="0.69"/>
    <s v="Undersecured"/>
    <x v="4"/>
    <n v="673"/>
    <s v="Low Risk"/>
    <s v="High Risk Exposure"/>
    <s v="High"/>
  </r>
  <r>
    <s v="LN1389"/>
    <s v="C0512"/>
    <s v="B13"/>
    <x v="2"/>
    <n v="25000000"/>
    <n v="0.1268"/>
    <d v="2022-10-12T00:00:00"/>
    <n v="36"/>
    <n v="10"/>
    <n v="18000000"/>
    <x v="0"/>
    <n v="838500.66882684012"/>
    <d v="2025-10-12T00:00:00"/>
    <n v="0.72"/>
    <s v="Undersecured"/>
    <x v="2"/>
    <n v="663"/>
    <s v="Medium Risk"/>
    <s v="High Risk Exposure"/>
    <s v="High"/>
  </r>
  <r>
    <s v="LN1390"/>
    <s v="C0288"/>
    <s v="B09"/>
    <x v="3"/>
    <n v="3000000"/>
    <n v="0.16"/>
    <d v="2020-08-18T00:00:00"/>
    <n v="36"/>
    <n v="0"/>
    <n v="3240000"/>
    <x v="0"/>
    <n v="105471.09910905028"/>
    <d v="2023-08-18T00:00:00"/>
    <n v="1.08"/>
    <s v="Secured"/>
    <x v="8"/>
    <n v="423"/>
    <s v="High Risk"/>
    <s v="High Risk Exposure"/>
    <s v="High"/>
  </r>
  <r>
    <s v="LN1391"/>
    <s v="C0307"/>
    <s v="B01"/>
    <x v="1"/>
    <n v="250000"/>
    <n v="0.185"/>
    <d v="2023-03-12T00:00:00"/>
    <n v="60"/>
    <n v="0"/>
    <n v="0"/>
    <x v="0"/>
    <n v="6416.5522940525743"/>
    <d v="2028-03-12T00:00:00"/>
    <n v="0"/>
    <s v="Undersecured"/>
    <x v="1"/>
    <n v="322"/>
    <s v="High Risk"/>
    <s v="High Risk Exposure"/>
    <s v="High"/>
  </r>
  <r>
    <s v="LN1392"/>
    <s v="C0282"/>
    <s v="B05"/>
    <x v="2"/>
    <n v="6000000"/>
    <n v="0.11459999999999999"/>
    <d v="2025-04-08T00:00:00"/>
    <n v="36"/>
    <n v="90"/>
    <n v="4440000"/>
    <x v="2"/>
    <n v="197741.91568810315"/>
    <d v="2028-04-08T00:00:00"/>
    <n v="0.74"/>
    <s v="Undersecured"/>
    <x v="4"/>
    <n v="339"/>
    <s v="High Risk"/>
    <s v="High Risk Exposure"/>
    <s v="High"/>
  </r>
  <r>
    <s v="LN1393"/>
    <s v="C0558"/>
    <s v="B11"/>
    <x v="0"/>
    <n v="1000000"/>
    <n v="0.1875"/>
    <d v="2022-10-28T00:00:00"/>
    <n v="60"/>
    <n v="0"/>
    <n v="1400000"/>
    <x v="0"/>
    <n v="25803.185626988095"/>
    <d v="2027-10-28T00:00:00"/>
    <n v="1.4"/>
    <s v="Secured"/>
    <x v="10"/>
    <n v="350"/>
    <s v="High Risk"/>
    <s v="High Risk Exposure"/>
    <s v="High"/>
  </r>
  <r>
    <s v="LN1394"/>
    <s v="C0544"/>
    <s v="B05"/>
    <x v="2"/>
    <n v="80000000"/>
    <n v="0.13059999999999999"/>
    <d v="2021-06-13T00:00:00"/>
    <n v="60"/>
    <n v="0"/>
    <n v="60800000"/>
    <x v="0"/>
    <n v="1822703.9543141797"/>
    <d v="2026-06-13T00:00:00"/>
    <n v="0.76"/>
    <s v="Undersecured"/>
    <x v="4"/>
    <n v="590"/>
    <s v="Medium Risk"/>
    <s v="High Risk Exposure"/>
    <s v="High"/>
  </r>
  <r>
    <s v="LN1395"/>
    <s v="C0642"/>
    <s v="B01"/>
    <x v="3"/>
    <n v="3000000"/>
    <n v="0.18"/>
    <d v="2021-01-28T00:00:00"/>
    <n v="72"/>
    <n v="10"/>
    <n v="3480000"/>
    <x v="0"/>
    <n v="68423.373257587431"/>
    <d v="2027-01-28T00:00:00"/>
    <n v="1.1599999999999999"/>
    <s v="Secured"/>
    <x v="1"/>
    <n v="522"/>
    <s v="High Risk"/>
    <s v="High Risk Exposure"/>
    <s v="High"/>
  </r>
  <r>
    <s v="LN1396"/>
    <s v="C0329"/>
    <s v="B14"/>
    <x v="1"/>
    <n v="1000000"/>
    <n v="0.2792"/>
    <d v="2021-07-27T00:00:00"/>
    <n v="12"/>
    <n v="0"/>
    <n v="0"/>
    <x v="0"/>
    <n v="96466.852957478404"/>
    <d v="2022-07-27T00:00:00"/>
    <n v="0"/>
    <s v="Undersecured"/>
    <x v="13"/>
    <n v="322"/>
    <s v="High Risk"/>
    <s v="High Risk Exposure"/>
    <s v="High"/>
  </r>
  <r>
    <s v="LN1397"/>
    <s v="C0014"/>
    <s v="B11"/>
    <x v="0"/>
    <n v="6000000"/>
    <n v="0.19220000000000001"/>
    <d v="2020-03-17T00:00:00"/>
    <n v="36"/>
    <n v="0"/>
    <n v="4800000"/>
    <x v="0"/>
    <n v="220604.07978449835"/>
    <d v="2023-03-17T00:00:00"/>
    <n v="0.8"/>
    <s v="Undersecured"/>
    <x v="10"/>
    <n v="648"/>
    <s v="Medium Risk"/>
    <s v="High Risk Exposure"/>
    <s v="High"/>
  </r>
  <r>
    <s v="LN1398"/>
    <s v="C0699"/>
    <s v="B13"/>
    <x v="2"/>
    <n v="80000000"/>
    <n v="0.1167"/>
    <d v="2023-02-01T00:00:00"/>
    <n v="24"/>
    <n v="120"/>
    <n v="44800000"/>
    <x v="1"/>
    <n v="3753560.9930826002"/>
    <d v="2025-02-01T00:00:00"/>
    <n v="0.56000000000000005"/>
    <s v="Undersecured"/>
    <x v="2"/>
    <n v="850"/>
    <s v="Prime"/>
    <s v="High Risk Exposure"/>
    <s v="Critical"/>
  </r>
  <r>
    <s v="LN1399"/>
    <s v="C0150"/>
    <s v="B15"/>
    <x v="0"/>
    <n v="3000000"/>
    <n v="0.20319999999999999"/>
    <d v="2020-02-12T00:00:00"/>
    <n v="48"/>
    <n v="120"/>
    <n v="2880000"/>
    <x v="1"/>
    <n v="91803.350884720334"/>
    <d v="2024-02-12T00:00:00"/>
    <n v="0.96"/>
    <s v="Undersecured"/>
    <x v="9"/>
    <n v="610"/>
    <s v="Medium Risk"/>
    <s v="High Risk Exposure"/>
    <s v="Critical"/>
  </r>
  <r>
    <s v="LN1400"/>
    <s v="C0022"/>
    <s v="B04"/>
    <x v="0"/>
    <n v="1000000"/>
    <n v="0.16700000000000001"/>
    <d v="2021-03-27T00:00:00"/>
    <n v="60"/>
    <n v="0"/>
    <n v="670000"/>
    <x v="0"/>
    <n v="24691.552492937179"/>
    <d v="2026-03-27T00:00:00"/>
    <n v="0.67"/>
    <s v="Undersecured"/>
    <x v="14"/>
    <n v="601"/>
    <s v="Medium Risk"/>
    <s v="High Risk Exposure"/>
    <s v="High"/>
  </r>
  <r>
    <s v="LN1401"/>
    <s v="C0169"/>
    <s v="B14"/>
    <x v="2"/>
    <n v="25000000"/>
    <n v="0.1154"/>
    <d v="2024-03-04T00:00:00"/>
    <n v="24"/>
    <n v="20"/>
    <n v="35500000"/>
    <x v="0"/>
    <n v="1171473.5711209395"/>
    <d v="2026-03-04T00:00:00"/>
    <n v="1.42"/>
    <s v="Secured"/>
    <x v="13"/>
    <n v="737"/>
    <s v="Low Risk"/>
    <s v="Normal"/>
    <s v="Normal"/>
  </r>
  <r>
    <s v="LN1402"/>
    <s v="C0429"/>
    <s v="B08"/>
    <x v="1"/>
    <n v="500000"/>
    <n v="0.22600000000000001"/>
    <d v="2022-03-06T00:00:00"/>
    <n v="24"/>
    <n v="10"/>
    <n v="0"/>
    <x v="0"/>
    <n v="26087.464126245613"/>
    <d v="2024-03-06T00:00:00"/>
    <n v="0"/>
    <s v="Undersecured"/>
    <x v="5"/>
    <n v="627"/>
    <s v="Medium Risk"/>
    <s v="High Risk Exposure"/>
    <s v="High"/>
  </r>
  <r>
    <s v="LN1403"/>
    <s v="C0543"/>
    <s v="B07"/>
    <x v="3"/>
    <n v="6000000"/>
    <n v="0.1648"/>
    <d v="2022-02-26T00:00:00"/>
    <n v="48"/>
    <n v="20"/>
    <n v="9000000"/>
    <x v="0"/>
    <n v="171520.29457077093"/>
    <d v="2026-02-26T00:00:00"/>
    <n v="1.5"/>
    <s v="Secured"/>
    <x v="0"/>
    <n v="705"/>
    <s v="Low Risk"/>
    <s v="Normal"/>
    <s v="Normal"/>
  </r>
  <r>
    <s v="LN1404"/>
    <s v="C0351"/>
    <s v="B07"/>
    <x v="2"/>
    <n v="80000000"/>
    <n v="0.1166"/>
    <d v="2022-04-26T00:00:00"/>
    <n v="48"/>
    <n v="20"/>
    <n v="92800000"/>
    <x v="0"/>
    <n v="2093376.6186381008"/>
    <d v="2026-04-26T00:00:00"/>
    <n v="1.1599999999999999"/>
    <s v="Secured"/>
    <x v="0"/>
    <n v="797"/>
    <s v="Very Low Risk"/>
    <s v="Normal"/>
    <s v="Normal"/>
  </r>
  <r>
    <s v="LN1405"/>
    <s v="C0273"/>
    <s v="B09"/>
    <x v="0"/>
    <n v="6000000"/>
    <n v="0.20119999999999999"/>
    <d v="2025-10-12T00:00:00"/>
    <n v="48"/>
    <n v="0"/>
    <n v="8520000"/>
    <x v="0"/>
    <n v="182966.00597301527"/>
    <d v="2029-10-12T00:00:00"/>
    <n v="1.42"/>
    <s v="Secured"/>
    <x v="8"/>
    <n v="586"/>
    <s v="Medium Risk"/>
    <s v="Normal"/>
    <s v="Normal"/>
  </r>
  <r>
    <s v="LN1406"/>
    <s v="C0296"/>
    <s v="B14"/>
    <x v="1"/>
    <n v="500000"/>
    <n v="0.2387"/>
    <d v="2021-04-17T00:00:00"/>
    <n v="72"/>
    <n v="10"/>
    <n v="0"/>
    <x v="0"/>
    <n v="13123.984919748904"/>
    <d v="2027-04-17T00:00:00"/>
    <n v="0"/>
    <s v="Undersecured"/>
    <x v="13"/>
    <n v="525"/>
    <s v="High Risk"/>
    <s v="High Risk Exposure"/>
    <s v="High"/>
  </r>
  <r>
    <s v="LN1407"/>
    <s v="C0228"/>
    <s v="B02"/>
    <x v="2"/>
    <n v="25000000"/>
    <n v="0.1153"/>
    <d v="2022-03-14T00:00:00"/>
    <n v="60"/>
    <n v="0"/>
    <n v="29750000"/>
    <x v="0"/>
    <n v="550191.77876912651"/>
    <d v="2027-03-14T00:00:00"/>
    <n v="1.19"/>
    <s v="Secured"/>
    <x v="11"/>
    <n v="487"/>
    <s v="High Risk"/>
    <s v="High Risk Exposure"/>
    <s v="High"/>
  </r>
  <r>
    <s v="LN1408"/>
    <s v="C0480"/>
    <s v="B02"/>
    <x v="0"/>
    <n v="3000000"/>
    <n v="0.21659999999999999"/>
    <d v="2021-06-24T00:00:00"/>
    <n v="72"/>
    <n v="10"/>
    <n v="3690000"/>
    <x v="0"/>
    <n v="74774.125894928729"/>
    <d v="2027-06-24T00:00:00"/>
    <n v="1.23"/>
    <s v="Secured"/>
    <x v="11"/>
    <n v="493"/>
    <s v="High Risk"/>
    <s v="High Risk Exposure"/>
    <s v="High"/>
  </r>
  <r>
    <s v="LN1409"/>
    <s v="C0257"/>
    <s v="B07"/>
    <x v="0"/>
    <n v="25000000"/>
    <n v="0.16009999999999999"/>
    <d v="2024-11-23T00:00:00"/>
    <n v="12"/>
    <n v="0"/>
    <n v="36250000"/>
    <x v="0"/>
    <n v="2268389.7532196376"/>
    <d v="2025-11-23T00:00:00"/>
    <n v="1.45"/>
    <s v="Secured"/>
    <x v="0"/>
    <n v="724"/>
    <s v="Low Risk"/>
    <s v="Normal"/>
    <s v="Normal"/>
  </r>
  <r>
    <s v="LN1410"/>
    <s v="C0242"/>
    <s v="B08"/>
    <x v="1"/>
    <n v="500000"/>
    <n v="0.26040000000000002"/>
    <d v="2021-02-17T00:00:00"/>
    <n v="36"/>
    <n v="0"/>
    <n v="0"/>
    <x v="0"/>
    <n v="20155.965757397415"/>
    <d v="2024-02-17T00:00:00"/>
    <n v="0"/>
    <s v="Undersecured"/>
    <x v="5"/>
    <n v="463"/>
    <s v="High Risk"/>
    <s v="High Risk Exposure"/>
    <s v="High"/>
  </r>
  <r>
    <s v="LN1411"/>
    <s v="C0543"/>
    <s v="B06"/>
    <x v="0"/>
    <n v="25000000"/>
    <n v="0.23250000000000001"/>
    <d v="2024-07-05T00:00:00"/>
    <n v="12"/>
    <n v="120"/>
    <n v="21000000"/>
    <x v="1"/>
    <n v="2354925.3805048228"/>
    <d v="2025-07-05T00:00:00"/>
    <n v="0.84"/>
    <s v="Undersecured"/>
    <x v="6"/>
    <n v="705"/>
    <s v="Low Risk"/>
    <s v="High Risk Exposure"/>
    <s v="Critical"/>
  </r>
  <r>
    <s v="LN1412"/>
    <s v="C0298"/>
    <s v="B10"/>
    <x v="2"/>
    <n v="6000000"/>
    <n v="0.109"/>
    <d v="2020-08-08T00:00:00"/>
    <n v="36"/>
    <n v="120"/>
    <n v="5820000"/>
    <x v="1"/>
    <n v="196148.28651915916"/>
    <d v="2023-08-08T00:00:00"/>
    <n v="0.97"/>
    <s v="Undersecured"/>
    <x v="3"/>
    <n v="830"/>
    <s v="Prime"/>
    <s v="High Risk Exposure"/>
    <s v="Critical"/>
  </r>
  <r>
    <s v="LN1413"/>
    <s v="C0631"/>
    <s v="B03"/>
    <x v="2"/>
    <n v="6000000"/>
    <n v="0.1249"/>
    <d v="2024-08-03T00:00:00"/>
    <n v="60"/>
    <n v="90"/>
    <n v="4260000"/>
    <x v="2"/>
    <n v="134957.11368335833"/>
    <d v="2029-08-03T00:00:00"/>
    <n v="0.71"/>
    <s v="Undersecured"/>
    <x v="7"/>
    <n v="799"/>
    <s v="Very Low Risk"/>
    <s v="High Risk Exposure"/>
    <s v="High"/>
  </r>
  <r>
    <s v="LN1414"/>
    <s v="C0608"/>
    <s v="B05"/>
    <x v="2"/>
    <n v="80000000"/>
    <n v="0.1293"/>
    <d v="2023-01-12T00:00:00"/>
    <n v="72"/>
    <n v="0"/>
    <n v="116000000"/>
    <x v="0"/>
    <n v="1602974.3243093842"/>
    <d v="2029-01-12T00:00:00"/>
    <n v="1.45"/>
    <s v="Secured"/>
    <x v="4"/>
    <n v="315"/>
    <s v="High Risk"/>
    <s v="High Risk Exposure"/>
    <s v="High"/>
  </r>
  <r>
    <s v="LN1415"/>
    <s v="C0533"/>
    <s v="B12"/>
    <x v="2"/>
    <n v="25000000"/>
    <n v="0.1031"/>
    <d v="2024-10-13T00:00:00"/>
    <n v="60"/>
    <n v="0"/>
    <n v="35750000"/>
    <x v="0"/>
    <n v="534997.4640252816"/>
    <d v="2029-10-13T00:00:00"/>
    <n v="1.43"/>
    <s v="Secured"/>
    <x v="12"/>
    <n v="797"/>
    <s v="Very Low Risk"/>
    <s v="Normal"/>
    <s v="Normal"/>
  </r>
  <r>
    <s v="LN1416"/>
    <s v="C0383"/>
    <s v="B12"/>
    <x v="1"/>
    <n v="1000000"/>
    <n v="0.27929999999999999"/>
    <d v="2020-08-06T00:00:00"/>
    <n v="36"/>
    <n v="0"/>
    <n v="0"/>
    <x v="0"/>
    <n v="41325.779083351343"/>
    <d v="2023-08-06T00:00:00"/>
    <n v="0"/>
    <s v="Undersecured"/>
    <x v="12"/>
    <n v="417"/>
    <s v="High Risk"/>
    <s v="High Risk Exposure"/>
    <s v="High"/>
  </r>
  <r>
    <s v="LN1417"/>
    <s v="C0009"/>
    <s v="B12"/>
    <x v="3"/>
    <n v="500000"/>
    <n v="0.16750000000000001"/>
    <d v="2023-04-07T00:00:00"/>
    <n v="60"/>
    <n v="0"/>
    <n v="735000"/>
    <x v="0"/>
    <n v="12359.175027262125"/>
    <d v="2028-04-07T00:00:00"/>
    <n v="1.47"/>
    <s v="Secured"/>
    <x v="12"/>
    <n v="847"/>
    <s v="Prime"/>
    <s v="Normal"/>
    <s v="Normal"/>
  </r>
  <r>
    <s v="LN1418"/>
    <s v="C0285"/>
    <s v="B09"/>
    <x v="2"/>
    <n v="80000000"/>
    <n v="0.1197"/>
    <d v="2022-11-28T00:00:00"/>
    <n v="72"/>
    <n v="0"/>
    <n v="46400000"/>
    <x v="0"/>
    <n v="1562767.6194253301"/>
    <d v="2028-11-28T00:00:00"/>
    <n v="0.57999999999999996"/>
    <s v="Undersecured"/>
    <x v="8"/>
    <n v="626"/>
    <s v="Medium Risk"/>
    <s v="High Risk Exposure"/>
    <s v="High"/>
  </r>
  <r>
    <s v="LN1419"/>
    <s v="C0379"/>
    <s v="B06"/>
    <x v="0"/>
    <n v="25000000"/>
    <n v="0.19289999999999999"/>
    <d v="2021-03-09T00:00:00"/>
    <n v="24"/>
    <n v="120"/>
    <n v="18250000"/>
    <x v="1"/>
    <n v="1263740.6601295585"/>
    <d v="2023-03-09T00:00:00"/>
    <n v="0.73"/>
    <s v="Undersecured"/>
    <x v="6"/>
    <n v="603"/>
    <s v="Medium Risk"/>
    <s v="High Risk Exposure"/>
    <s v="Critical"/>
  </r>
  <r>
    <s v="LN1420"/>
    <s v="C0598"/>
    <s v="B10"/>
    <x v="2"/>
    <n v="25000000"/>
    <n v="0.1273"/>
    <d v="2024-08-11T00:00:00"/>
    <n v="48"/>
    <n v="90"/>
    <n v="23000000"/>
    <x v="2"/>
    <n v="667342.05238038173"/>
    <d v="2028-08-11T00:00:00"/>
    <n v="0.92"/>
    <s v="Undersecured"/>
    <x v="3"/>
    <n v="627"/>
    <s v="Medium Risk"/>
    <s v="High Risk Exposure"/>
    <s v="High"/>
  </r>
  <r>
    <s v="LN1421"/>
    <s v="C0116"/>
    <s v="B15"/>
    <x v="3"/>
    <n v="500000"/>
    <n v="0.19059999999999999"/>
    <d v="2023-07-04T00:00:00"/>
    <n v="72"/>
    <n v="45"/>
    <n v="590000"/>
    <x v="2"/>
    <n v="11705.543977737076"/>
    <d v="2029-07-04T00:00:00"/>
    <n v="1.18"/>
    <s v="Secured"/>
    <x v="9"/>
    <n v="587"/>
    <s v="Medium Risk"/>
    <s v="High Risk Exposure"/>
    <s v="High"/>
  </r>
  <r>
    <s v="LN1422"/>
    <s v="C0153"/>
    <s v="B15"/>
    <x v="2"/>
    <n v="80000000"/>
    <n v="0.1384"/>
    <d v="2020-10-11T00:00:00"/>
    <n v="36"/>
    <n v="45"/>
    <n v="40800000"/>
    <x v="2"/>
    <n v="2727997.6576295407"/>
    <d v="2023-10-11T00:00:00"/>
    <n v="0.51"/>
    <s v="Undersecured"/>
    <x v="9"/>
    <n v="320"/>
    <s v="High Risk"/>
    <s v="High Risk Exposure"/>
    <s v="High"/>
  </r>
  <r>
    <s v="LN1423"/>
    <s v="C0639"/>
    <s v="B13"/>
    <x v="0"/>
    <n v="1000000"/>
    <n v="0.1588"/>
    <d v="2021-01-03T00:00:00"/>
    <n v="12"/>
    <n v="5"/>
    <n v="1090000"/>
    <x v="0"/>
    <n v="90674.081144787982"/>
    <d v="2022-01-03T00:00:00"/>
    <n v="1.0900000000000001"/>
    <s v="Secured"/>
    <x v="2"/>
    <n v="567"/>
    <s v="High Risk"/>
    <s v="High Risk Exposure"/>
    <s v="High"/>
  </r>
  <r>
    <s v="LN1424"/>
    <s v="C0072"/>
    <s v="B02"/>
    <x v="0"/>
    <n v="6000000"/>
    <n v="0.21049999999999999"/>
    <d v="2023-08-01T00:00:00"/>
    <n v="48"/>
    <n v="0"/>
    <n v="4320000"/>
    <x v="0"/>
    <n v="185955.56692990215"/>
    <d v="2027-08-01T00:00:00"/>
    <n v="0.72"/>
    <s v="Undersecured"/>
    <x v="11"/>
    <n v="309"/>
    <s v="High Risk"/>
    <s v="High Risk Exposure"/>
    <s v="High"/>
  </r>
  <r>
    <s v="LN1425"/>
    <s v="C0180"/>
    <s v="B05"/>
    <x v="2"/>
    <n v="25000000"/>
    <n v="0.1288"/>
    <d v="2022-08-04T00:00:00"/>
    <n v="12"/>
    <n v="90"/>
    <n v="30000000"/>
    <x v="2"/>
    <n v="2231524.6422742535"/>
    <d v="2023-08-04T00:00:00"/>
    <n v="1.2"/>
    <s v="Secured"/>
    <x v="4"/>
    <n v="440"/>
    <s v="High Risk"/>
    <s v="High Risk Exposure"/>
    <s v="High"/>
  </r>
  <r>
    <s v="LN1426"/>
    <s v="C0078"/>
    <s v="B12"/>
    <x v="2"/>
    <n v="80000000"/>
    <n v="0.13089999999999999"/>
    <d v="2023-07-11T00:00:00"/>
    <n v="36"/>
    <n v="5"/>
    <n v="108800000"/>
    <x v="0"/>
    <n v="2698985.4365717098"/>
    <d v="2026-07-11T00:00:00"/>
    <n v="1.36"/>
    <s v="Secured"/>
    <x v="12"/>
    <n v="474"/>
    <s v="High Risk"/>
    <s v="High Risk Exposure"/>
    <s v="High"/>
  </r>
  <r>
    <s v="LN1427"/>
    <s v="C0240"/>
    <s v="B10"/>
    <x v="0"/>
    <n v="1000000"/>
    <n v="0.20300000000000001"/>
    <d v="2025-02-07T00:00:00"/>
    <n v="36"/>
    <n v="0"/>
    <n v="910000"/>
    <x v="0"/>
    <n v="37316.617728848862"/>
    <d v="2028-02-07T00:00:00"/>
    <n v="0.91"/>
    <s v="Undersecured"/>
    <x v="3"/>
    <n v="764"/>
    <s v="Very Low Risk"/>
    <s v="High Risk Exposure"/>
    <s v="High"/>
  </r>
  <r>
    <s v="LN1428"/>
    <s v="C0187"/>
    <s v="B15"/>
    <x v="2"/>
    <n v="25000000"/>
    <n v="0.1381"/>
    <d v="2022-02-16T00:00:00"/>
    <n v="60"/>
    <n v="20"/>
    <n v="26250000"/>
    <x v="0"/>
    <n v="579246.62968268245"/>
    <d v="2027-02-16T00:00:00"/>
    <n v="1.05"/>
    <s v="Secured"/>
    <x v="9"/>
    <n v="603"/>
    <s v="Medium Risk"/>
    <s v="Normal"/>
    <s v="Normal"/>
  </r>
  <r>
    <s v="LN1429"/>
    <s v="C0205"/>
    <s v="B07"/>
    <x v="2"/>
    <n v="25000000"/>
    <n v="0.12790000000000001"/>
    <d v="2024-11-16T00:00:00"/>
    <n v="24"/>
    <n v="10"/>
    <n v="25250000"/>
    <x v="0"/>
    <n v="1186081.0996681817"/>
    <d v="2026-11-16T00:00:00"/>
    <n v="1.01"/>
    <s v="Secured"/>
    <x v="0"/>
    <n v="771"/>
    <s v="Very Low Risk"/>
    <s v="Normal"/>
    <s v="Normal"/>
  </r>
  <r>
    <s v="LN1430"/>
    <s v="C0584"/>
    <s v="B14"/>
    <x v="1"/>
    <n v="100000"/>
    <n v="0.2319"/>
    <d v="2025-05-25T00:00:00"/>
    <n v="36"/>
    <n v="10"/>
    <n v="0"/>
    <x v="0"/>
    <n v="3880.8819837449755"/>
    <d v="2028-05-25T00:00:00"/>
    <n v="0"/>
    <s v="Undersecured"/>
    <x v="13"/>
    <n v="813"/>
    <s v="Prime"/>
    <s v="High Risk Exposure"/>
    <s v="High"/>
  </r>
  <r>
    <s v="LN1431"/>
    <s v="C0399"/>
    <s v="B12"/>
    <x v="3"/>
    <n v="1000000"/>
    <n v="0.15920000000000001"/>
    <d v="2020-02-10T00:00:00"/>
    <n v="24"/>
    <n v="10"/>
    <n v="1250000"/>
    <x v="0"/>
    <n v="48924.894399020654"/>
    <d v="2022-02-10T00:00:00"/>
    <n v="1.25"/>
    <s v="Secured"/>
    <x v="12"/>
    <n v="472"/>
    <s v="High Risk"/>
    <s v="High Risk Exposure"/>
    <s v="High"/>
  </r>
  <r>
    <s v="LN1432"/>
    <s v="C0443"/>
    <s v="B09"/>
    <x v="0"/>
    <n v="1000000"/>
    <n v="0.21190000000000001"/>
    <d v="2021-09-21T00:00:00"/>
    <n v="48"/>
    <n v="0"/>
    <n v="800000"/>
    <x v="0"/>
    <n v="31067.980281113356"/>
    <d v="2025-09-21T00:00:00"/>
    <n v="0.8"/>
    <s v="Undersecured"/>
    <x v="8"/>
    <n v="654"/>
    <s v="Medium Risk"/>
    <s v="High Risk Exposure"/>
    <s v="High"/>
  </r>
  <r>
    <s v="LN1433"/>
    <s v="C0144"/>
    <s v="B14"/>
    <x v="0"/>
    <n v="6000000"/>
    <n v="0.2039"/>
    <d v="2021-06-28T00:00:00"/>
    <n v="48"/>
    <n v="90"/>
    <n v="8280000"/>
    <x v="2"/>
    <n v="183831.23322809252"/>
    <d v="2025-06-28T00:00:00"/>
    <n v="1.38"/>
    <s v="Secured"/>
    <x v="13"/>
    <n v="634"/>
    <s v="Medium Risk"/>
    <s v="High Risk Exposure"/>
    <s v="High"/>
  </r>
  <r>
    <s v="LN1434"/>
    <s v="C0539"/>
    <s v="B02"/>
    <x v="2"/>
    <n v="6000000"/>
    <n v="9.1999999999999998E-2"/>
    <d v="2020-11-02T00:00:00"/>
    <n v="36"/>
    <n v="5"/>
    <n v="7860000"/>
    <x v="0"/>
    <n v="191357.38171463911"/>
    <d v="2023-11-02T00:00:00"/>
    <n v="1.31"/>
    <s v="Secured"/>
    <x v="11"/>
    <n v="714"/>
    <s v="Low Risk"/>
    <s v="Normal"/>
    <s v="Normal"/>
  </r>
  <r>
    <s v="LN1435"/>
    <s v="C0679"/>
    <s v="B06"/>
    <x v="0"/>
    <n v="3000000"/>
    <n v="0.1406"/>
    <d v="2020-08-03T00:00:00"/>
    <n v="24"/>
    <n v="0"/>
    <n v="2550000"/>
    <x v="0"/>
    <n v="144123.69888731773"/>
    <d v="2022-08-03T00:00:00"/>
    <n v="0.85"/>
    <s v="Undersecured"/>
    <x v="6"/>
    <n v="514"/>
    <s v="High Risk"/>
    <s v="High Risk Exposure"/>
    <s v="High"/>
  </r>
  <r>
    <s v="LN1436"/>
    <s v="C0207"/>
    <s v="B15"/>
    <x v="1"/>
    <n v="1000000"/>
    <n v="0.27689999999999998"/>
    <d v="2020-11-27T00:00:00"/>
    <n v="36"/>
    <n v="0"/>
    <n v="0"/>
    <x v="0"/>
    <n v="41196.289458996696"/>
    <d v="2023-11-27T00:00:00"/>
    <n v="0"/>
    <s v="Undersecured"/>
    <x v="9"/>
    <n v="347"/>
    <s v="High Risk"/>
    <s v="High Risk Exposure"/>
    <s v="High"/>
  </r>
  <r>
    <s v="LN1437"/>
    <s v="C0448"/>
    <s v="B09"/>
    <x v="2"/>
    <n v="6000000"/>
    <n v="9.4600000000000004E-2"/>
    <d v="2024-10-07T00:00:00"/>
    <n v="48"/>
    <n v="45"/>
    <n v="4920000"/>
    <x v="2"/>
    <n v="150624.23591084866"/>
    <d v="2028-10-07T00:00:00"/>
    <n v="0.82"/>
    <s v="Undersecured"/>
    <x v="8"/>
    <n v="673"/>
    <s v="Low Risk"/>
    <s v="High Risk Exposure"/>
    <s v="High"/>
  </r>
  <r>
    <s v="LN1438"/>
    <s v="C0284"/>
    <s v="B01"/>
    <x v="3"/>
    <n v="3000000"/>
    <n v="0.1847"/>
    <d v="2025-02-02T00:00:00"/>
    <n v="24"/>
    <n v="90"/>
    <n v="2820000"/>
    <x v="2"/>
    <n v="150454.4732935128"/>
    <d v="2027-02-02T00:00:00"/>
    <n v="0.94"/>
    <s v="Undersecured"/>
    <x v="1"/>
    <n v="777"/>
    <s v="Very Low Risk"/>
    <s v="High Risk Exposure"/>
    <s v="High"/>
  </r>
  <r>
    <s v="LN1439"/>
    <s v="C0227"/>
    <s v="B03"/>
    <x v="2"/>
    <n v="25000000"/>
    <n v="9.8199999999999996E-2"/>
    <d v="2025-05-22T00:00:00"/>
    <n v="24"/>
    <n v="90"/>
    <n v="31250000"/>
    <x v="2"/>
    <n v="1151547.2933734574"/>
    <d v="2027-05-22T00:00:00"/>
    <n v="1.25"/>
    <s v="Secured"/>
    <x v="7"/>
    <n v="660"/>
    <s v="Medium Risk"/>
    <s v="High Risk Exposure"/>
    <s v="High"/>
  </r>
  <r>
    <s v="LN1440"/>
    <s v="C0056"/>
    <s v="B09"/>
    <x v="1"/>
    <n v="100000"/>
    <n v="0.2109"/>
    <d v="2024-01-08T00:00:00"/>
    <n v="36"/>
    <n v="120"/>
    <n v="0"/>
    <x v="1"/>
    <n v="3772.129256426244"/>
    <d v="2027-01-08T00:00:00"/>
    <n v="0"/>
    <s v="Undersecured"/>
    <x v="8"/>
    <n v="402"/>
    <s v="High Risk"/>
    <s v="High Risk Exposure"/>
    <s v="Critical"/>
  </r>
  <r>
    <s v="LN1441"/>
    <s v="C0585"/>
    <s v="B09"/>
    <x v="0"/>
    <n v="3000000"/>
    <n v="0.17549999999999999"/>
    <d v="2021-06-19T00:00:00"/>
    <n v="12"/>
    <n v="10"/>
    <n v="2340000"/>
    <x v="0"/>
    <n v="274397.90407731727"/>
    <d v="2022-06-19T00:00:00"/>
    <n v="0.78"/>
    <s v="Undersecured"/>
    <x v="8"/>
    <n v="308"/>
    <s v="High Risk"/>
    <s v="High Risk Exposure"/>
    <s v="High"/>
  </r>
  <r>
    <s v="LN1442"/>
    <s v="C0419"/>
    <s v="B12"/>
    <x v="1"/>
    <n v="100000"/>
    <n v="0.27800000000000002"/>
    <d v="2023-02-08T00:00:00"/>
    <n v="24"/>
    <n v="0"/>
    <n v="0"/>
    <x v="0"/>
    <n v="5478.6635734852416"/>
    <d v="2025-02-08T00:00:00"/>
    <n v="0"/>
    <s v="Undersecured"/>
    <x v="12"/>
    <n v="775"/>
    <s v="Very Low Risk"/>
    <s v="High Risk Exposure"/>
    <s v="High"/>
  </r>
  <r>
    <s v="LN1443"/>
    <s v="C0222"/>
    <s v="B12"/>
    <x v="1"/>
    <n v="250000"/>
    <n v="0.25940000000000002"/>
    <d v="2023-08-20T00:00:00"/>
    <n v="12"/>
    <n v="0"/>
    <n v="0"/>
    <x v="0"/>
    <n v="23875.236353856366"/>
    <d v="2024-08-20T00:00:00"/>
    <n v="0"/>
    <s v="Undersecured"/>
    <x v="12"/>
    <n v="797"/>
    <s v="Very Low Risk"/>
    <s v="High Risk Exposure"/>
    <s v="High"/>
  </r>
  <r>
    <s v="LN1444"/>
    <s v="C0488"/>
    <s v="B03"/>
    <x v="2"/>
    <n v="6000000"/>
    <n v="9.1899999999999996E-2"/>
    <d v="2022-04-02T00:00:00"/>
    <n v="24"/>
    <n v="20"/>
    <n v="8820000"/>
    <x v="0"/>
    <n v="274631.80254558567"/>
    <d v="2024-04-02T00:00:00"/>
    <n v="1.47"/>
    <s v="Secured"/>
    <x v="7"/>
    <n v="530"/>
    <s v="High Risk"/>
    <s v="High Risk Exposure"/>
    <s v="High"/>
  </r>
  <r>
    <s v="LN1445"/>
    <s v="C0485"/>
    <s v="B15"/>
    <x v="1"/>
    <n v="1000000"/>
    <n v="0.20910000000000001"/>
    <d v="2022-11-03T00:00:00"/>
    <n v="72"/>
    <n v="5"/>
    <n v="0"/>
    <x v="0"/>
    <n v="24483.224469605368"/>
    <d v="2028-11-03T00:00:00"/>
    <n v="0"/>
    <s v="Undersecured"/>
    <x v="9"/>
    <n v="567"/>
    <s v="High Risk"/>
    <s v="High Risk Exposure"/>
    <s v="High"/>
  </r>
  <r>
    <s v="LN1446"/>
    <s v="C0651"/>
    <s v="B03"/>
    <x v="0"/>
    <n v="6000000"/>
    <n v="0.14480000000000001"/>
    <d v="2025-06-16T00:00:00"/>
    <n v="36"/>
    <n v="45"/>
    <n v="9000000"/>
    <x v="2"/>
    <n v="206467.34554765417"/>
    <d v="2028-06-16T00:00:00"/>
    <n v="1.5"/>
    <s v="Secured"/>
    <x v="7"/>
    <n v="600"/>
    <s v="Medium Risk"/>
    <s v="High Risk Exposure"/>
    <s v="High"/>
  </r>
  <r>
    <s v="LN1447"/>
    <s v="C0162"/>
    <s v="B15"/>
    <x v="2"/>
    <n v="6000000"/>
    <n v="0.1062"/>
    <d v="2025-12-11T00:00:00"/>
    <n v="48"/>
    <n v="20"/>
    <n v="8640000"/>
    <x v="0"/>
    <n v="153968.22809445698"/>
    <d v="2029-12-11T00:00:00"/>
    <n v="1.44"/>
    <s v="Secured"/>
    <x v="9"/>
    <n v="734"/>
    <s v="Low Risk"/>
    <s v="Normal"/>
    <s v="Normal"/>
  </r>
  <r>
    <s v="LN1448"/>
    <s v="C0283"/>
    <s v="B15"/>
    <x v="1"/>
    <n v="100000"/>
    <n v="0.19900000000000001"/>
    <d v="2023-01-03T00:00:00"/>
    <n v="48"/>
    <n v="45"/>
    <n v="0"/>
    <x v="2"/>
    <n v="3037.7108328120967"/>
    <d v="2027-01-03T00:00:00"/>
    <n v="0"/>
    <s v="Undersecured"/>
    <x v="9"/>
    <n v="487"/>
    <s v="High Risk"/>
    <s v="High Risk Exposure"/>
    <s v="High"/>
  </r>
  <r>
    <s v="LN1449"/>
    <s v="C0476"/>
    <s v="B13"/>
    <x v="0"/>
    <n v="3000000"/>
    <n v="0.23280000000000001"/>
    <d v="2024-06-23T00:00:00"/>
    <n v="12"/>
    <n v="0"/>
    <n v="2910000"/>
    <x v="0"/>
    <n v="282634.51225736254"/>
    <d v="2025-06-23T00:00:00"/>
    <n v="0.97"/>
    <s v="Undersecured"/>
    <x v="2"/>
    <n v="625"/>
    <s v="Medium Risk"/>
    <s v="High Risk Exposure"/>
    <s v="High"/>
  </r>
  <r>
    <s v="LN1450"/>
    <s v="C0180"/>
    <s v="B10"/>
    <x v="3"/>
    <n v="3000000"/>
    <n v="0.18809999999999999"/>
    <d v="2023-04-27T00:00:00"/>
    <n v="36"/>
    <n v="0"/>
    <n v="2280000"/>
    <x v="0"/>
    <n v="109680.08319101953"/>
    <d v="2026-04-27T00:00:00"/>
    <n v="0.76"/>
    <s v="Undersecured"/>
    <x v="3"/>
    <n v="440"/>
    <s v="High Risk"/>
    <s v="High Risk Exposure"/>
    <s v="High"/>
  </r>
  <r>
    <s v="LN1451"/>
    <s v="C0002"/>
    <s v="B08"/>
    <x v="1"/>
    <n v="100000"/>
    <n v="0.1762"/>
    <d v="2025-10-27T00:00:00"/>
    <n v="48"/>
    <n v="90"/>
    <n v="0"/>
    <x v="2"/>
    <n v="2917.680593432543"/>
    <d v="2029-10-27T00:00:00"/>
    <n v="0"/>
    <s v="Undersecured"/>
    <x v="5"/>
    <n v="316"/>
    <s v="High Risk"/>
    <s v="High Risk Exposure"/>
    <s v="High"/>
  </r>
  <r>
    <s v="LN1452"/>
    <s v="C0650"/>
    <s v="B05"/>
    <x v="1"/>
    <n v="250000"/>
    <n v="0.19089999999999999"/>
    <d v="2021-02-17T00:00:00"/>
    <n v="24"/>
    <n v="90"/>
    <n v="0"/>
    <x v="2"/>
    <n v="12613.088664210121"/>
    <d v="2023-02-17T00:00:00"/>
    <n v="0"/>
    <s v="Undersecured"/>
    <x v="4"/>
    <n v="325"/>
    <s v="High Risk"/>
    <s v="High Risk Exposure"/>
    <s v="High"/>
  </r>
  <r>
    <s v="LN1453"/>
    <s v="C0086"/>
    <s v="B08"/>
    <x v="2"/>
    <n v="6000000"/>
    <n v="0.1348"/>
    <d v="2025-02-28T00:00:00"/>
    <n v="12"/>
    <n v="5"/>
    <n v="3720000"/>
    <x v="0"/>
    <n v="537255.78516533389"/>
    <d v="2026-02-28T00:00:00"/>
    <n v="0.62"/>
    <s v="Undersecured"/>
    <x v="5"/>
    <n v="521"/>
    <s v="High Risk"/>
    <s v="High Risk Exposure"/>
    <s v="High"/>
  </r>
  <r>
    <s v="LN1454"/>
    <s v="C0025"/>
    <s v="B02"/>
    <x v="0"/>
    <n v="25000000"/>
    <n v="0.22539999999999999"/>
    <d v="2021-05-25T00:00:00"/>
    <n v="36"/>
    <n v="0"/>
    <n v="27250000"/>
    <x v="0"/>
    <n v="961759.42864205362"/>
    <d v="2024-05-25T00:00:00"/>
    <n v="1.0900000000000001"/>
    <s v="Secured"/>
    <x v="11"/>
    <n v="698"/>
    <s v="Low Risk"/>
    <s v="Normal"/>
    <s v="Normal"/>
  </r>
  <r>
    <s v="LN1455"/>
    <s v="C0599"/>
    <s v="B11"/>
    <x v="0"/>
    <n v="3000000"/>
    <n v="0.221"/>
    <d v="2020-08-25T00:00:00"/>
    <n v="12"/>
    <n v="0"/>
    <n v="2310000"/>
    <x v="0"/>
    <n v="280927.54120885005"/>
    <d v="2021-08-25T00:00:00"/>
    <n v="0.77"/>
    <s v="Undersecured"/>
    <x v="10"/>
    <n v="835"/>
    <s v="Prime"/>
    <s v="High Risk Exposure"/>
    <s v="High"/>
  </r>
  <r>
    <s v="LN1456"/>
    <s v="C0332"/>
    <s v="B11"/>
    <x v="2"/>
    <n v="80000000"/>
    <n v="0.1201"/>
    <d v="2023-02-05T00:00:00"/>
    <n v="48"/>
    <n v="5"/>
    <n v="72800000"/>
    <x v="0"/>
    <n v="2107099.6488256487"/>
    <d v="2027-02-05T00:00:00"/>
    <n v="0.91"/>
    <s v="Undersecured"/>
    <x v="10"/>
    <n v="701"/>
    <s v="Low Risk"/>
    <s v="High Risk Exposure"/>
    <s v="High"/>
  </r>
  <r>
    <s v="LN1457"/>
    <s v="C0169"/>
    <s v="B09"/>
    <x v="3"/>
    <n v="1000000"/>
    <n v="0.1363"/>
    <d v="2021-04-20T00:00:00"/>
    <n v="24"/>
    <n v="5"/>
    <n v="670000"/>
    <x v="0"/>
    <n v="47838.275319115732"/>
    <d v="2023-04-20T00:00:00"/>
    <n v="0.67"/>
    <s v="Undersecured"/>
    <x v="8"/>
    <n v="737"/>
    <s v="Low Risk"/>
    <s v="High Risk Exposure"/>
    <s v="High"/>
  </r>
  <r>
    <s v="LN1458"/>
    <s v="C0175"/>
    <s v="B15"/>
    <x v="3"/>
    <n v="3000000"/>
    <n v="0.19839999999999999"/>
    <d v="2024-02-26T00:00:00"/>
    <n v="12"/>
    <n v="120"/>
    <n v="3900000"/>
    <x v="1"/>
    <n v="277673.84205667651"/>
    <d v="2025-02-26T00:00:00"/>
    <n v="1.3"/>
    <s v="Secured"/>
    <x v="9"/>
    <n v="639"/>
    <s v="Medium Risk"/>
    <s v="High Risk Exposure"/>
    <s v="Critical"/>
  </r>
  <r>
    <s v="LN1459"/>
    <s v="C0329"/>
    <s v="B10"/>
    <x v="2"/>
    <n v="80000000"/>
    <n v="9.4500000000000001E-2"/>
    <d v="2023-02-20T00:00:00"/>
    <n v="12"/>
    <n v="90"/>
    <n v="41600000"/>
    <x v="2"/>
    <n v="7012823.4359395225"/>
    <d v="2024-02-20T00:00:00"/>
    <n v="0.52"/>
    <s v="Undersecured"/>
    <x v="3"/>
    <n v="322"/>
    <s v="High Risk"/>
    <s v="High Risk Exposure"/>
    <s v="High"/>
  </r>
  <r>
    <s v="LN1460"/>
    <s v="C0140"/>
    <s v="B14"/>
    <x v="0"/>
    <n v="1000000"/>
    <n v="0.188"/>
    <d v="2024-07-12T00:00:00"/>
    <n v="36"/>
    <n v="0"/>
    <n v="1250000"/>
    <x v="0"/>
    <n v="36554.97944560129"/>
    <d v="2027-07-12T00:00:00"/>
    <n v="1.25"/>
    <s v="Secured"/>
    <x v="13"/>
    <n v="511"/>
    <s v="High Risk"/>
    <s v="High Risk Exposure"/>
    <s v="High"/>
  </r>
  <r>
    <s v="LN1461"/>
    <s v="C0197"/>
    <s v="B08"/>
    <x v="0"/>
    <n v="3000000"/>
    <n v="0.19059999999999999"/>
    <d v="2021-08-20T00:00:00"/>
    <n v="72"/>
    <n v="0"/>
    <n v="2910000"/>
    <x v="0"/>
    <n v="70233.263866422451"/>
    <d v="2027-08-20T00:00:00"/>
    <n v="0.97"/>
    <s v="Undersecured"/>
    <x v="5"/>
    <n v="368"/>
    <s v="High Risk"/>
    <s v="High Risk Exposure"/>
    <s v="High"/>
  </r>
  <r>
    <s v="LN1462"/>
    <s v="C0174"/>
    <s v="B06"/>
    <x v="1"/>
    <n v="250000"/>
    <n v="0.27239999999999998"/>
    <d v="2024-01-02T00:00:00"/>
    <n v="24"/>
    <n v="0"/>
    <n v="0"/>
    <x v="0"/>
    <n v="13625.493995348867"/>
    <d v="2026-01-02T00:00:00"/>
    <n v="0"/>
    <s v="Undersecured"/>
    <x v="6"/>
    <n v="451"/>
    <s v="High Risk"/>
    <s v="High Risk Exposure"/>
    <s v="High"/>
  </r>
  <r>
    <s v="LN1463"/>
    <s v="C0482"/>
    <s v="B14"/>
    <x v="3"/>
    <n v="3000000"/>
    <n v="0.14099999999999999"/>
    <d v="2021-01-18T00:00:00"/>
    <n v="72"/>
    <n v="0"/>
    <n v="3300000"/>
    <x v="0"/>
    <n v="61977.973429199679"/>
    <d v="2027-01-18T00:00:00"/>
    <n v="1.1000000000000001"/>
    <s v="Secured"/>
    <x v="13"/>
    <n v="723"/>
    <s v="Low Risk"/>
    <s v="Normal"/>
    <s v="Normal"/>
  </r>
  <r>
    <s v="LN1464"/>
    <s v="C0273"/>
    <s v="B02"/>
    <x v="0"/>
    <n v="1000000"/>
    <n v="0.19350000000000001"/>
    <d v="2020-02-02T00:00:00"/>
    <n v="48"/>
    <n v="0"/>
    <n v="880000"/>
    <x v="0"/>
    <n v="30085.122500845831"/>
    <d v="2024-02-02T00:00:00"/>
    <n v="0.88"/>
    <s v="Undersecured"/>
    <x v="11"/>
    <n v="586"/>
    <s v="Medium Risk"/>
    <s v="High Risk Exposure"/>
    <s v="High"/>
  </r>
  <r>
    <s v="LN1465"/>
    <s v="C0491"/>
    <s v="B15"/>
    <x v="0"/>
    <n v="25000000"/>
    <n v="0.1867"/>
    <d v="2020-06-26T00:00:00"/>
    <n v="24"/>
    <n v="10"/>
    <n v="19000000"/>
    <x v="0"/>
    <n v="1256210.790797699"/>
    <d v="2022-06-26T00:00:00"/>
    <n v="0.76"/>
    <s v="Undersecured"/>
    <x v="9"/>
    <n v="406"/>
    <s v="High Risk"/>
    <s v="High Risk Exposure"/>
    <s v="High"/>
  </r>
  <r>
    <s v="LN1466"/>
    <s v="C0427"/>
    <s v="B09"/>
    <x v="0"/>
    <n v="3000000"/>
    <n v="0.14269999999999999"/>
    <d v="2024-05-24T00:00:00"/>
    <n v="72"/>
    <n v="10"/>
    <n v="1770000"/>
    <x v="0"/>
    <n v="62251.782190544713"/>
    <d v="2030-05-24T00:00:00"/>
    <n v="0.59"/>
    <s v="Undersecured"/>
    <x v="8"/>
    <n v="567"/>
    <s v="High Risk"/>
    <s v="High Risk Exposure"/>
    <s v="High"/>
  </r>
  <r>
    <s v="LN1467"/>
    <s v="C0013"/>
    <s v="B14"/>
    <x v="3"/>
    <n v="3000000"/>
    <n v="0.15110000000000001"/>
    <d v="2022-12-12T00:00:00"/>
    <n v="24"/>
    <n v="20"/>
    <n v="3000000"/>
    <x v="0"/>
    <n v="145616.78095360246"/>
    <d v="2024-12-12T00:00:00"/>
    <n v="1"/>
    <s v="Secured"/>
    <x v="13"/>
    <n v="659"/>
    <s v="Medium Risk"/>
    <s v="Normal"/>
    <s v="Normal"/>
  </r>
  <r>
    <s v="LN1468"/>
    <s v="C0428"/>
    <s v="B06"/>
    <x v="1"/>
    <n v="100000"/>
    <n v="0.18540000000000001"/>
    <d v="2025-02-02T00:00:00"/>
    <n v="24"/>
    <n v="20"/>
    <n v="0"/>
    <x v="0"/>
    <n v="5018.5408120857146"/>
    <d v="2027-02-02T00:00:00"/>
    <n v="0"/>
    <s v="Undersecured"/>
    <x v="6"/>
    <n v="847"/>
    <s v="Prime"/>
    <s v="High Risk Exposure"/>
    <s v="High"/>
  </r>
  <r>
    <s v="LN1469"/>
    <s v="C0646"/>
    <s v="B15"/>
    <x v="1"/>
    <n v="250000"/>
    <n v="0.2089"/>
    <d v="2020-01-05T00:00:00"/>
    <n v="72"/>
    <n v="0"/>
    <n v="0"/>
    <x v="0"/>
    <n v="6117.8762570649551"/>
    <d v="2026-01-05T00:00:00"/>
    <n v="0"/>
    <s v="Undersecured"/>
    <x v="9"/>
    <n v="755"/>
    <s v="Very Low Risk"/>
    <s v="High Risk Exposure"/>
    <s v="High"/>
  </r>
  <r>
    <s v="LN1470"/>
    <s v="C0073"/>
    <s v="B08"/>
    <x v="3"/>
    <n v="1000000"/>
    <n v="0.1696"/>
    <d v="2023-04-16T00:00:00"/>
    <n v="60"/>
    <n v="45"/>
    <n v="1310000"/>
    <x v="2"/>
    <n v="24831.073029434188"/>
    <d v="2028-04-16T00:00:00"/>
    <n v="1.31"/>
    <s v="Secured"/>
    <x v="5"/>
    <n v="501"/>
    <s v="High Risk"/>
    <s v="High Risk Exposure"/>
    <s v="High"/>
  </r>
  <r>
    <s v="LN1471"/>
    <s v="C0244"/>
    <s v="B10"/>
    <x v="1"/>
    <n v="1000000"/>
    <n v="0.20580000000000001"/>
    <d v="2023-03-07T00:00:00"/>
    <n v="72"/>
    <n v="0"/>
    <n v="0"/>
    <x v="0"/>
    <n v="24290.210870592695"/>
    <d v="2029-03-07T00:00:00"/>
    <n v="0"/>
    <s v="Undersecured"/>
    <x v="3"/>
    <n v="671"/>
    <s v="Low Risk"/>
    <s v="High Risk Exposure"/>
    <s v="High"/>
  </r>
  <r>
    <s v="LN1472"/>
    <s v="C0649"/>
    <s v="B14"/>
    <x v="1"/>
    <n v="250000"/>
    <n v="0.18790000000000001"/>
    <d v="2025-10-19T00:00:00"/>
    <n v="60"/>
    <n v="0"/>
    <n v="0"/>
    <x v="0"/>
    <n v="6456.2844975467287"/>
    <d v="2030-10-19T00:00:00"/>
    <n v="0"/>
    <s v="Undersecured"/>
    <x v="13"/>
    <n v="307"/>
    <s v="High Risk"/>
    <s v="High Risk Exposure"/>
    <s v="High"/>
  </r>
  <r>
    <s v="LN1473"/>
    <s v="C0695"/>
    <s v="B06"/>
    <x v="3"/>
    <n v="3000000"/>
    <n v="0.1613"/>
    <d v="2022-12-08T00:00:00"/>
    <n v="36"/>
    <n v="90"/>
    <n v="2880000"/>
    <x v="2"/>
    <n v="105663.74409625767"/>
    <d v="2025-12-08T00:00:00"/>
    <n v="0.96"/>
    <s v="Undersecured"/>
    <x v="6"/>
    <n v="453"/>
    <s v="High Risk"/>
    <s v="High Risk Exposure"/>
    <s v="High"/>
  </r>
  <r>
    <s v="LN1474"/>
    <s v="C0152"/>
    <s v="B01"/>
    <x v="0"/>
    <n v="1000000"/>
    <n v="0.14169999999999999"/>
    <d v="2024-12-21T00:00:00"/>
    <n v="72"/>
    <n v="45"/>
    <n v="1370000"/>
    <x v="2"/>
    <n v="20696.879384604272"/>
    <d v="2030-12-21T00:00:00"/>
    <n v="1.37"/>
    <s v="Secured"/>
    <x v="1"/>
    <n v="831"/>
    <s v="Prime"/>
    <s v="High Risk Exposure"/>
    <s v="High"/>
  </r>
  <r>
    <s v="LN1475"/>
    <s v="C0583"/>
    <s v="B10"/>
    <x v="3"/>
    <n v="500000"/>
    <n v="0.1416"/>
    <d v="2021-07-13T00:00:00"/>
    <n v="24"/>
    <n v="10"/>
    <n v="445000"/>
    <x v="0"/>
    <n v="24044.252040866264"/>
    <d v="2023-07-13T00:00:00"/>
    <n v="0.89"/>
    <s v="Undersecured"/>
    <x v="3"/>
    <n v="425"/>
    <s v="High Risk"/>
    <s v="High Risk Exposure"/>
    <s v="High"/>
  </r>
  <r>
    <s v="LN1476"/>
    <s v="C0686"/>
    <s v="B05"/>
    <x v="2"/>
    <n v="25000000"/>
    <n v="0.1076"/>
    <d v="2021-03-16T00:00:00"/>
    <n v="24"/>
    <n v="10"/>
    <n v="37250000"/>
    <x v="0"/>
    <n v="1162412.2718263976"/>
    <d v="2023-03-16T00:00:00"/>
    <n v="1.49"/>
    <s v="Secured"/>
    <x v="4"/>
    <n v="419"/>
    <s v="High Risk"/>
    <s v="High Risk Exposure"/>
    <s v="High"/>
  </r>
  <r>
    <s v="LN1477"/>
    <s v="C0346"/>
    <s v="B10"/>
    <x v="2"/>
    <n v="80000000"/>
    <n v="9.0700000000000003E-2"/>
    <d v="2022-03-01T00:00:00"/>
    <n v="24"/>
    <n v="10"/>
    <n v="53600000"/>
    <x v="0"/>
    <n v="3657349.3006739016"/>
    <d v="2024-03-01T00:00:00"/>
    <n v="0.67"/>
    <s v="Undersecured"/>
    <x v="3"/>
    <n v="327"/>
    <s v="High Risk"/>
    <s v="High Risk Exposure"/>
    <s v="High"/>
  </r>
  <r>
    <s v="LN1478"/>
    <s v="C0435"/>
    <s v="B12"/>
    <x v="0"/>
    <n v="3000000"/>
    <n v="0.1953"/>
    <d v="2020-07-05T00:00:00"/>
    <n v="36"/>
    <n v="90"/>
    <n v="2940000"/>
    <x v="2"/>
    <n v="110773.61745417913"/>
    <d v="2023-07-05T00:00:00"/>
    <n v="0.98"/>
    <s v="Undersecured"/>
    <x v="12"/>
    <n v="391"/>
    <s v="High Risk"/>
    <s v="High Risk Exposure"/>
    <s v="High"/>
  </r>
  <r>
    <s v="LN1479"/>
    <s v="C0537"/>
    <s v="B06"/>
    <x v="1"/>
    <n v="100000"/>
    <n v="0.2445"/>
    <d v="2023-03-17T00:00:00"/>
    <n v="12"/>
    <n v="45"/>
    <n v="0"/>
    <x v="2"/>
    <n v="9477.750499109261"/>
    <d v="2024-03-17T00:00:00"/>
    <n v="0"/>
    <s v="Undersecured"/>
    <x v="6"/>
    <n v="595"/>
    <s v="Medium Risk"/>
    <s v="High Risk Exposure"/>
    <s v="High"/>
  </r>
  <r>
    <s v="LN1480"/>
    <s v="C0265"/>
    <s v="B10"/>
    <x v="0"/>
    <n v="1000000"/>
    <n v="0.1925"/>
    <d v="2021-06-14T00:00:00"/>
    <n v="12"/>
    <n v="0"/>
    <n v="1030000"/>
    <x v="0"/>
    <n v="92275.934381630475"/>
    <d v="2022-06-14T00:00:00"/>
    <n v="1.03"/>
    <s v="Secured"/>
    <x v="3"/>
    <n v="834"/>
    <s v="Prime"/>
    <s v="Normal"/>
    <s v="Normal"/>
  </r>
  <r>
    <s v="LN1481"/>
    <s v="C0223"/>
    <s v="B04"/>
    <x v="0"/>
    <n v="6000000"/>
    <n v="0.16289999999999999"/>
    <d v="2024-02-03T00:00:00"/>
    <n v="24"/>
    <n v="5"/>
    <n v="8700000"/>
    <x v="0"/>
    <n v="294610.72980312479"/>
    <d v="2026-02-03T00:00:00"/>
    <n v="1.45"/>
    <s v="Secured"/>
    <x v="14"/>
    <n v="731"/>
    <s v="Low Risk"/>
    <s v="Normal"/>
    <s v="Normal"/>
  </r>
  <r>
    <s v="LN1482"/>
    <s v="C0012"/>
    <s v="B07"/>
    <x v="2"/>
    <n v="6000000"/>
    <n v="0.1158"/>
    <d v="2024-05-09T00:00:00"/>
    <n v="72"/>
    <n v="0"/>
    <n v="4500000"/>
    <x v="0"/>
    <n v="115994.82342244248"/>
    <d v="2030-05-09T00:00:00"/>
    <n v="0.75"/>
    <s v="Undersecured"/>
    <x v="0"/>
    <n v="734"/>
    <s v="Low Risk"/>
    <s v="High Risk Exposure"/>
    <s v="High"/>
  </r>
  <r>
    <s v="LN1483"/>
    <s v="C0453"/>
    <s v="B01"/>
    <x v="0"/>
    <n v="6000000"/>
    <n v="0.14599999999999999"/>
    <d v="2024-07-25T00:00:00"/>
    <n v="36"/>
    <n v="5"/>
    <n v="6540000"/>
    <x v="0"/>
    <n v="206818.60467510956"/>
    <d v="2027-07-25T00:00:00"/>
    <n v="1.0900000000000001"/>
    <s v="Secured"/>
    <x v="1"/>
    <n v="467"/>
    <s v="High Risk"/>
    <s v="High Risk Exposure"/>
    <s v="High"/>
  </r>
  <r>
    <s v="LN1484"/>
    <s v="C0632"/>
    <s v="B12"/>
    <x v="3"/>
    <n v="500000"/>
    <n v="0.17829999999999999"/>
    <d v="2020-02-15T00:00:00"/>
    <n v="72"/>
    <n v="0"/>
    <n v="310000"/>
    <x v="0"/>
    <n v="11355.896568024378"/>
    <d v="2026-02-15T00:00:00"/>
    <n v="0.62"/>
    <s v="Undersecured"/>
    <x v="12"/>
    <n v="580"/>
    <s v="Medium Risk"/>
    <s v="High Risk Exposure"/>
    <s v="High"/>
  </r>
  <r>
    <s v="LN1485"/>
    <s v="C0606"/>
    <s v="B13"/>
    <x v="0"/>
    <n v="1000000"/>
    <n v="0.14330000000000001"/>
    <d v="2020-01-16T00:00:00"/>
    <n v="48"/>
    <n v="20"/>
    <n v="830000"/>
    <x v="0"/>
    <n v="27492.302701821453"/>
    <d v="2024-01-16T00:00:00"/>
    <n v="0.83"/>
    <s v="Undersecured"/>
    <x v="2"/>
    <n v="597"/>
    <s v="Medium Risk"/>
    <s v="High Risk Exposure"/>
    <s v="High"/>
  </r>
  <r>
    <s v="LN1486"/>
    <s v="C0235"/>
    <s v="B14"/>
    <x v="1"/>
    <n v="250000"/>
    <n v="0.20979999999999999"/>
    <d v="2021-09-10T00:00:00"/>
    <n v="60"/>
    <n v="5"/>
    <n v="0"/>
    <x v="0"/>
    <n v="6760.5276274923508"/>
    <d v="2026-09-10T00:00:00"/>
    <n v="0"/>
    <s v="Undersecured"/>
    <x v="13"/>
    <n v="325"/>
    <s v="High Risk"/>
    <s v="High Risk Exposure"/>
    <s v="High"/>
  </r>
  <r>
    <s v="LN1487"/>
    <s v="C0272"/>
    <s v="B05"/>
    <x v="3"/>
    <n v="1000000"/>
    <n v="0.16089999999999999"/>
    <d v="2021-10-24T00:00:00"/>
    <n v="24"/>
    <n v="5"/>
    <n v="960000"/>
    <x v="0"/>
    <n v="49006.124237864227"/>
    <d v="2023-10-24T00:00:00"/>
    <n v="0.96"/>
    <s v="Undersecured"/>
    <x v="4"/>
    <n v="621"/>
    <s v="Medium Risk"/>
    <s v="High Risk Exposure"/>
    <s v="High"/>
  </r>
  <r>
    <s v="LN1488"/>
    <s v="C0181"/>
    <s v="B08"/>
    <x v="0"/>
    <n v="1000000"/>
    <n v="0.16950000000000001"/>
    <d v="2024-06-20T00:00:00"/>
    <n v="24"/>
    <n v="45"/>
    <n v="1120000"/>
    <x v="2"/>
    <n v="49418.242597476805"/>
    <d v="2026-06-20T00:00:00"/>
    <n v="1.1200000000000001"/>
    <s v="Secured"/>
    <x v="5"/>
    <n v="763"/>
    <s v="Very Low Risk"/>
    <s v="High Risk Exposure"/>
    <s v="High"/>
  </r>
  <r>
    <s v="LN1489"/>
    <s v="C0638"/>
    <s v="B12"/>
    <x v="2"/>
    <n v="6000000"/>
    <n v="0.11559999999999999"/>
    <d v="2025-09-05T00:00:00"/>
    <n v="48"/>
    <n v="10"/>
    <n v="3540000"/>
    <x v="0"/>
    <n v="156709.90433332999"/>
    <d v="2029-09-05T00:00:00"/>
    <n v="0.59"/>
    <s v="Undersecured"/>
    <x v="12"/>
    <n v="746"/>
    <s v="Very Low Risk"/>
    <s v="High Risk Exposure"/>
    <s v="High"/>
  </r>
  <r>
    <s v="LN1490"/>
    <s v="C0175"/>
    <s v="B05"/>
    <x v="0"/>
    <n v="1000000"/>
    <n v="0.20039999999999999"/>
    <d v="2025-07-15T00:00:00"/>
    <n v="60"/>
    <n v="0"/>
    <n v="1460000"/>
    <x v="0"/>
    <n v="26516.145245032094"/>
    <d v="2030-07-15T00:00:00"/>
    <n v="1.46"/>
    <s v="Secured"/>
    <x v="4"/>
    <n v="639"/>
    <s v="Medium Risk"/>
    <s v="Normal"/>
    <s v="Normal"/>
  </r>
  <r>
    <s v="LN1491"/>
    <s v="C0456"/>
    <s v="B12"/>
    <x v="0"/>
    <n v="6000000"/>
    <n v="0.14419999999999999"/>
    <d v="2022-10-14T00:00:00"/>
    <n v="60"/>
    <n v="0"/>
    <n v="8760000"/>
    <x v="0"/>
    <n v="140919.40372874131"/>
    <d v="2027-10-14T00:00:00"/>
    <n v="1.46"/>
    <s v="Secured"/>
    <x v="12"/>
    <n v="688"/>
    <s v="Low Risk"/>
    <s v="Normal"/>
    <s v="Normal"/>
  </r>
  <r>
    <s v="LN1492"/>
    <s v="C0110"/>
    <s v="B02"/>
    <x v="2"/>
    <n v="6000000"/>
    <n v="0.12529999999999999"/>
    <d v="2022-04-20T00:00:00"/>
    <n v="24"/>
    <n v="45"/>
    <n v="5400000"/>
    <x v="2"/>
    <n v="283928.15984983795"/>
    <d v="2024-04-20T00:00:00"/>
    <n v="0.9"/>
    <s v="Undersecured"/>
    <x v="11"/>
    <n v="549"/>
    <s v="High Risk"/>
    <s v="High Risk Exposure"/>
    <s v="High"/>
  </r>
  <r>
    <s v="LN1493"/>
    <s v="C0476"/>
    <s v="B09"/>
    <x v="1"/>
    <n v="500000"/>
    <n v="0.2722"/>
    <d v="2021-07-12T00:00:00"/>
    <n v="72"/>
    <n v="120"/>
    <n v="0"/>
    <x v="1"/>
    <n v="14157.619674115202"/>
    <d v="2027-07-12T00:00:00"/>
    <n v="0"/>
    <s v="Undersecured"/>
    <x v="8"/>
    <n v="625"/>
    <s v="Medium Risk"/>
    <s v="High Risk Exposure"/>
    <s v="Critical"/>
  </r>
  <r>
    <s v="LN1494"/>
    <s v="C0255"/>
    <s v="B08"/>
    <x v="3"/>
    <n v="6000000"/>
    <n v="0.19189999999999999"/>
    <d v="2025-11-09T00:00:00"/>
    <n v="36"/>
    <n v="0"/>
    <n v="8520000"/>
    <x v="0"/>
    <n v="220512.92706548003"/>
    <d v="2028-11-09T00:00:00"/>
    <n v="1.42"/>
    <s v="Secured"/>
    <x v="5"/>
    <n v="682"/>
    <s v="Low Risk"/>
    <s v="Normal"/>
    <s v="Normal"/>
  </r>
  <r>
    <s v="LN1495"/>
    <s v="C0251"/>
    <s v="B05"/>
    <x v="3"/>
    <n v="3000000"/>
    <n v="0.14360000000000001"/>
    <d v="2025-03-08T00:00:00"/>
    <n v="60"/>
    <n v="90"/>
    <n v="3870000"/>
    <x v="2"/>
    <n v="70365.927467078247"/>
    <d v="2030-03-08T00:00:00"/>
    <n v="1.29"/>
    <s v="Secured"/>
    <x v="4"/>
    <n v="322"/>
    <s v="High Risk"/>
    <s v="High Risk Exposure"/>
    <s v="High"/>
  </r>
  <r>
    <s v="LN1496"/>
    <s v="C0179"/>
    <s v="B06"/>
    <x v="3"/>
    <n v="6000000"/>
    <n v="0.19600000000000001"/>
    <d v="2024-05-09T00:00:00"/>
    <n v="36"/>
    <n v="45"/>
    <n v="6900000"/>
    <x v="2"/>
    <n v="221760.51909576164"/>
    <d v="2027-05-09T00:00:00"/>
    <n v="1.1499999999999999"/>
    <s v="Secured"/>
    <x v="6"/>
    <n v="811"/>
    <s v="Prime"/>
    <s v="High Risk Exposure"/>
    <s v="High"/>
  </r>
  <r>
    <s v="LN1497"/>
    <s v="C0693"/>
    <s v="B05"/>
    <x v="1"/>
    <n v="500000"/>
    <n v="0.20730000000000001"/>
    <d v="2023-06-08T00:00:00"/>
    <n v="60"/>
    <n v="20"/>
    <n v="0"/>
    <x v="0"/>
    <n v="13450.84980546652"/>
    <d v="2028-06-08T00:00:00"/>
    <n v="0"/>
    <s v="Undersecured"/>
    <x v="4"/>
    <n v="459"/>
    <s v="High Risk"/>
    <s v="High Risk Exposure"/>
    <s v="High"/>
  </r>
  <r>
    <s v="LN1498"/>
    <s v="C0164"/>
    <s v="B04"/>
    <x v="0"/>
    <n v="6000000"/>
    <n v="0.14430000000000001"/>
    <d v="2020-05-15T00:00:00"/>
    <n v="48"/>
    <n v="20"/>
    <n v="3240000"/>
    <x v="0"/>
    <n v="165256.00000430344"/>
    <d v="2024-05-15T00:00:00"/>
    <n v="0.54"/>
    <s v="Undersecured"/>
    <x v="14"/>
    <n v="712"/>
    <s v="Low Risk"/>
    <s v="High Risk Exposure"/>
    <s v="High"/>
  </r>
  <r>
    <s v="LN1499"/>
    <s v="C0663"/>
    <s v="B05"/>
    <x v="0"/>
    <n v="1000000"/>
    <n v="0.22600000000000001"/>
    <d v="2023-02-01T00:00:00"/>
    <n v="36"/>
    <n v="90"/>
    <n v="670000"/>
    <x v="2"/>
    <n v="38501.549560325562"/>
    <d v="2026-02-01T00:00:00"/>
    <n v="0.67"/>
    <s v="Undersecured"/>
    <x v="4"/>
    <n v="777"/>
    <s v="Very Low Risk"/>
    <s v="High Risk Exposure"/>
    <s v="High"/>
  </r>
  <r>
    <s v="LN1500"/>
    <s v="C0694"/>
    <s v="B05"/>
    <x v="2"/>
    <n v="25000000"/>
    <n v="0.1079"/>
    <d v="2021-06-09T00:00:00"/>
    <n v="72"/>
    <n v="0"/>
    <n v="25000000"/>
    <x v="0"/>
    <n v="473167.32449005626"/>
    <d v="2027-06-09T00:00:00"/>
    <n v="1"/>
    <s v="Secured"/>
    <x v="4"/>
    <n v="510"/>
    <s v="High Risk"/>
    <s v="High Risk Exposure"/>
    <s v="High"/>
  </r>
  <r>
    <s v="LN1501"/>
    <s v="C0266"/>
    <s v="B08"/>
    <x v="2"/>
    <n v="80000000"/>
    <n v="9.5500000000000002E-2"/>
    <d v="2025-06-12T00:00:00"/>
    <n v="24"/>
    <n v="0"/>
    <n v="60800000"/>
    <x v="0"/>
    <n v="3675000.4493001029"/>
    <d v="2027-06-12T00:00:00"/>
    <n v="0.76"/>
    <s v="Undersecured"/>
    <x v="5"/>
    <n v="426"/>
    <s v="High Risk"/>
    <s v="High Risk Exposure"/>
    <s v="High"/>
  </r>
  <r>
    <s v="LN1502"/>
    <s v="C0671"/>
    <s v="B14"/>
    <x v="2"/>
    <n v="6000000"/>
    <n v="0.12620000000000001"/>
    <d v="2025-03-14T00:00:00"/>
    <n v="36"/>
    <n v="10"/>
    <n v="6120000"/>
    <x v="0"/>
    <n v="201067.27087434975"/>
    <d v="2028-03-14T00:00:00"/>
    <n v="1.02"/>
    <s v="Secured"/>
    <x v="13"/>
    <n v="683"/>
    <s v="Low Risk"/>
    <s v="Normal"/>
    <s v="Normal"/>
  </r>
  <r>
    <s v="LN1503"/>
    <s v="C0096"/>
    <s v="B05"/>
    <x v="3"/>
    <n v="3000000"/>
    <n v="0.1216"/>
    <d v="2021-08-07T00:00:00"/>
    <n v="60"/>
    <n v="0"/>
    <n v="1830000"/>
    <x v="0"/>
    <n v="66976.156182723571"/>
    <d v="2026-08-07T00:00:00"/>
    <n v="0.61"/>
    <s v="Undersecured"/>
    <x v="4"/>
    <n v="466"/>
    <s v="High Risk"/>
    <s v="High Risk Exposure"/>
    <s v="High"/>
  </r>
  <r>
    <s v="LN1504"/>
    <s v="C0485"/>
    <s v="B02"/>
    <x v="1"/>
    <n v="1000000"/>
    <n v="0.23350000000000001"/>
    <d v="2020-09-26T00:00:00"/>
    <n v="48"/>
    <n v="120"/>
    <n v="0"/>
    <x v="1"/>
    <n v="32243.535682328456"/>
    <d v="2024-09-26T00:00:00"/>
    <n v="0"/>
    <s v="Undersecured"/>
    <x v="11"/>
    <n v="567"/>
    <s v="High Risk"/>
    <s v="High Risk Exposure"/>
    <s v="Critical"/>
  </r>
  <r>
    <s v="LN1505"/>
    <s v="C0206"/>
    <s v="B05"/>
    <x v="0"/>
    <n v="1000000"/>
    <n v="0.20230000000000001"/>
    <d v="2024-03-25T00:00:00"/>
    <n v="72"/>
    <n v="5"/>
    <n v="1030000"/>
    <x v="0"/>
    <n v="24086.333267918213"/>
    <d v="2030-03-25T00:00:00"/>
    <n v="1.03"/>
    <s v="Secured"/>
    <x v="4"/>
    <n v="715"/>
    <s v="Low Risk"/>
    <s v="Normal"/>
    <s v="Normal"/>
  </r>
  <r>
    <s v="LN1506"/>
    <s v="C0207"/>
    <s v="B07"/>
    <x v="3"/>
    <n v="3000000"/>
    <n v="0.1739"/>
    <d v="2024-05-07T00:00:00"/>
    <n v="12"/>
    <n v="0"/>
    <n v="2880000"/>
    <x v="0"/>
    <n v="274169.80781512096"/>
    <d v="2025-05-07T00:00:00"/>
    <n v="0.96"/>
    <s v="Undersecured"/>
    <x v="0"/>
    <n v="347"/>
    <s v="High Risk"/>
    <s v="High Risk Exposure"/>
    <s v="High"/>
  </r>
  <r>
    <s v="LN1507"/>
    <s v="C0177"/>
    <s v="B04"/>
    <x v="3"/>
    <n v="6000000"/>
    <n v="0.1409"/>
    <d v="2022-03-05T00:00:00"/>
    <n v="12"/>
    <n v="0"/>
    <n v="3000000"/>
    <x v="0"/>
    <n v="538976.81861579441"/>
    <d v="2023-03-05T00:00:00"/>
    <n v="0.5"/>
    <s v="Undersecured"/>
    <x v="14"/>
    <n v="734"/>
    <s v="Low Risk"/>
    <s v="High Risk Exposure"/>
    <s v="High"/>
  </r>
  <r>
    <s v="LN1508"/>
    <s v="C0242"/>
    <s v="B15"/>
    <x v="3"/>
    <n v="1000000"/>
    <n v="0.12659999999999999"/>
    <d v="2022-10-08T00:00:00"/>
    <n v="48"/>
    <n v="0"/>
    <n v="1060000"/>
    <x v="0"/>
    <n v="26659.053007971255"/>
    <d v="2026-10-08T00:00:00"/>
    <n v="1.06"/>
    <s v="Secured"/>
    <x v="9"/>
    <n v="463"/>
    <s v="High Risk"/>
    <s v="High Risk Exposure"/>
    <s v="High"/>
  </r>
  <r>
    <s v="LN1509"/>
    <s v="C0541"/>
    <s v="B06"/>
    <x v="0"/>
    <n v="1000000"/>
    <n v="0.19600000000000001"/>
    <d v="2021-11-10T00:00:00"/>
    <n v="36"/>
    <n v="20"/>
    <n v="1340000"/>
    <x v="0"/>
    <n v="36960.086515960276"/>
    <d v="2024-11-10T00:00:00"/>
    <n v="1.34"/>
    <s v="Secured"/>
    <x v="6"/>
    <n v="544"/>
    <s v="High Risk"/>
    <s v="High Risk Exposure"/>
    <s v="High"/>
  </r>
  <r>
    <s v="LN1510"/>
    <s v="C0184"/>
    <s v="B07"/>
    <x v="1"/>
    <n v="1000000"/>
    <n v="0.18079999999999999"/>
    <d v="2024-12-10T00:00:00"/>
    <n v="48"/>
    <n v="5"/>
    <n v="0"/>
    <x v="0"/>
    <n v="29416.819626553504"/>
    <d v="2028-12-10T00:00:00"/>
    <n v="0"/>
    <s v="Undersecured"/>
    <x v="0"/>
    <n v="707"/>
    <s v="Low Risk"/>
    <s v="High Risk Exposure"/>
    <s v="High"/>
  </r>
  <r>
    <s v="LN1511"/>
    <s v="C0337"/>
    <s v="B11"/>
    <x v="2"/>
    <n v="25000000"/>
    <n v="0.1195"/>
    <d v="2023-03-04T00:00:00"/>
    <n v="60"/>
    <n v="0"/>
    <n v="15500000"/>
    <x v="0"/>
    <n v="555479.73242055206"/>
    <d v="2028-03-04T00:00:00"/>
    <n v="0.62"/>
    <s v="Undersecured"/>
    <x v="10"/>
    <n v="539"/>
    <s v="High Risk"/>
    <s v="High Risk Exposure"/>
    <s v="High"/>
  </r>
  <r>
    <s v="LN1512"/>
    <s v="C0420"/>
    <s v="B02"/>
    <x v="0"/>
    <n v="1000000"/>
    <n v="0.182"/>
    <d v="2023-03-10T00:00:00"/>
    <n v="72"/>
    <n v="0"/>
    <n v="1320000"/>
    <x v="0"/>
    <n v="22920.998885874207"/>
    <d v="2029-03-10T00:00:00"/>
    <n v="1.32"/>
    <s v="Secured"/>
    <x v="11"/>
    <n v="732"/>
    <s v="Low Risk"/>
    <s v="Normal"/>
    <s v="Normal"/>
  </r>
  <r>
    <s v="LN1513"/>
    <s v="C0334"/>
    <s v="B09"/>
    <x v="0"/>
    <n v="25000000"/>
    <n v="0.23769999999999999"/>
    <d v="2023-07-20T00:00:00"/>
    <n v="12"/>
    <n v="0"/>
    <n v="29250000"/>
    <x v="0"/>
    <n v="2361208.1333462247"/>
    <d v="2024-07-20T00:00:00"/>
    <n v="1.17"/>
    <s v="Secured"/>
    <x v="8"/>
    <n v="313"/>
    <s v="High Risk"/>
    <s v="High Risk Exposure"/>
    <s v="High"/>
  </r>
  <r>
    <s v="LN1514"/>
    <s v="C0078"/>
    <s v="B07"/>
    <x v="2"/>
    <n v="6000000"/>
    <n v="0.1086"/>
    <d v="2020-10-11T00:00:00"/>
    <n v="12"/>
    <n v="0"/>
    <n v="7200000"/>
    <x v="0"/>
    <n v="529898.2121512841"/>
    <d v="2021-10-11T00:00:00"/>
    <n v="1.2"/>
    <s v="Secured"/>
    <x v="0"/>
    <n v="474"/>
    <s v="High Risk"/>
    <s v="High Risk Exposure"/>
    <s v="High"/>
  </r>
  <r>
    <s v="LN1515"/>
    <s v="C0521"/>
    <s v="B01"/>
    <x v="0"/>
    <n v="1000000"/>
    <n v="0.20910000000000001"/>
    <d v="2024-10-28T00:00:00"/>
    <n v="24"/>
    <n v="0"/>
    <n v="1030000"/>
    <x v="0"/>
    <n v="51341.455760227611"/>
    <d v="2026-10-28T00:00:00"/>
    <n v="1.03"/>
    <s v="Secured"/>
    <x v="1"/>
    <n v="309"/>
    <s v="High Risk"/>
    <s v="High Risk Exposure"/>
    <s v="High"/>
  </r>
  <r>
    <s v="LN1516"/>
    <s v="C0602"/>
    <s v="B03"/>
    <x v="2"/>
    <n v="25000000"/>
    <n v="9.8100000000000007E-2"/>
    <d v="2023-08-25T00:00:00"/>
    <n v="60"/>
    <n v="20"/>
    <n v="15500000"/>
    <x v="0"/>
    <n v="528841.94369854196"/>
    <d v="2028-08-25T00:00:00"/>
    <n v="0.62"/>
    <s v="Undersecured"/>
    <x v="7"/>
    <n v="839"/>
    <s v="Prime"/>
    <s v="High Risk Exposure"/>
    <s v="High"/>
  </r>
  <r>
    <s v="LN1517"/>
    <s v="C0361"/>
    <s v="B10"/>
    <x v="0"/>
    <n v="1000000"/>
    <n v="0.17449999999999999"/>
    <d v="2021-06-06T00:00:00"/>
    <n v="72"/>
    <n v="0"/>
    <n v="1360000"/>
    <x v="0"/>
    <n v="22497.971906154093"/>
    <d v="2027-06-06T00:00:00"/>
    <n v="1.36"/>
    <s v="Secured"/>
    <x v="3"/>
    <n v="545"/>
    <s v="High Risk"/>
    <s v="High Risk Exposure"/>
    <s v="High"/>
  </r>
  <r>
    <s v="LN1518"/>
    <s v="C0357"/>
    <s v="B13"/>
    <x v="1"/>
    <n v="500000"/>
    <n v="0.23530000000000001"/>
    <d v="2023-07-17T00:00:00"/>
    <n v="60"/>
    <n v="45"/>
    <n v="0"/>
    <x v="2"/>
    <n v="14247.904300186732"/>
    <d v="2028-07-17T00:00:00"/>
    <n v="0"/>
    <s v="Undersecured"/>
    <x v="2"/>
    <n v="510"/>
    <s v="High Risk"/>
    <s v="High Risk Exposure"/>
    <s v="High"/>
  </r>
  <r>
    <s v="LN1519"/>
    <s v="C0067"/>
    <s v="B09"/>
    <x v="1"/>
    <n v="1000000"/>
    <n v="0.16239999999999999"/>
    <d v="2023-11-03T00:00:00"/>
    <n v="12"/>
    <n v="0"/>
    <n v="0"/>
    <x v="0"/>
    <n v="90844.469548577865"/>
    <d v="2024-11-03T00:00:00"/>
    <n v="0"/>
    <s v="Undersecured"/>
    <x v="8"/>
    <n v="819"/>
    <s v="Prime"/>
    <s v="High Risk Exposure"/>
    <s v="High"/>
  </r>
  <r>
    <s v="LN1520"/>
    <s v="C0312"/>
    <s v="B11"/>
    <x v="1"/>
    <n v="100000"/>
    <n v="0.19500000000000001"/>
    <d v="2024-12-06T00:00:00"/>
    <n v="72"/>
    <n v="0"/>
    <n v="0"/>
    <x v="0"/>
    <n v="2366.388454103831"/>
    <d v="2030-12-06T00:00:00"/>
    <n v="0"/>
    <s v="Undersecured"/>
    <x v="10"/>
    <n v="344"/>
    <s v="High Risk"/>
    <s v="High Risk Exposure"/>
    <s v="High"/>
  </r>
  <r>
    <s v="LN1521"/>
    <s v="C0338"/>
    <s v="B04"/>
    <x v="3"/>
    <n v="6000000"/>
    <n v="0.1865"/>
    <d v="2024-10-21T00:00:00"/>
    <n v="60"/>
    <n v="10"/>
    <n v="7560000"/>
    <x v="0"/>
    <n v="154490.08981922831"/>
    <d v="2029-10-21T00:00:00"/>
    <n v="1.26"/>
    <s v="Secured"/>
    <x v="14"/>
    <n v="334"/>
    <s v="High Risk"/>
    <s v="High Risk Exposure"/>
    <s v="High"/>
  </r>
  <r>
    <s v="LN1522"/>
    <s v="C0700"/>
    <s v="B02"/>
    <x v="0"/>
    <n v="1000000"/>
    <n v="0.15790000000000001"/>
    <d v="2023-07-17T00:00:00"/>
    <n v="72"/>
    <n v="0"/>
    <n v="840000"/>
    <x v="0"/>
    <n v="21576.38472301792"/>
    <d v="2029-07-17T00:00:00"/>
    <n v="0.84"/>
    <s v="Undersecured"/>
    <x v="11"/>
    <n v="571"/>
    <s v="High Risk"/>
    <s v="High Risk Exposure"/>
    <s v="High"/>
  </r>
  <r>
    <s v="LN1523"/>
    <s v="C0182"/>
    <s v="B09"/>
    <x v="3"/>
    <n v="6000000"/>
    <n v="0.1255"/>
    <d v="2024-04-05T00:00:00"/>
    <n v="48"/>
    <n v="45"/>
    <n v="4620000"/>
    <x v="2"/>
    <n v="159628.13183605325"/>
    <d v="2028-04-05T00:00:00"/>
    <n v="0.77"/>
    <s v="Undersecured"/>
    <x v="8"/>
    <n v="701"/>
    <s v="Low Risk"/>
    <s v="High Risk Exposure"/>
    <s v="High"/>
  </r>
  <r>
    <s v="LN1524"/>
    <s v="C0536"/>
    <s v="B11"/>
    <x v="0"/>
    <n v="3000000"/>
    <n v="0.18190000000000001"/>
    <d v="2021-10-03T00:00:00"/>
    <n v="36"/>
    <n v="20"/>
    <n v="1830000"/>
    <x v="0"/>
    <n v="108743.34080281302"/>
    <d v="2024-10-03T00:00:00"/>
    <n v="0.61"/>
    <s v="Undersecured"/>
    <x v="10"/>
    <n v="614"/>
    <s v="Medium Risk"/>
    <s v="High Risk Exposure"/>
    <s v="High"/>
  </r>
  <r>
    <s v="LN1525"/>
    <s v="C0448"/>
    <s v="B09"/>
    <x v="2"/>
    <n v="25000000"/>
    <n v="0.1331"/>
    <d v="2023-10-25T00:00:00"/>
    <n v="60"/>
    <n v="90"/>
    <n v="29250000"/>
    <x v="2"/>
    <n v="572801.99273588869"/>
    <d v="2028-10-25T00:00:00"/>
    <n v="1.17"/>
    <s v="Secured"/>
    <x v="8"/>
    <n v="673"/>
    <s v="Low Risk"/>
    <s v="High Risk Exposure"/>
    <s v="High"/>
  </r>
  <r>
    <s v="LN1526"/>
    <s v="C0191"/>
    <s v="B02"/>
    <x v="3"/>
    <n v="500000"/>
    <n v="0.13100000000000001"/>
    <d v="2021-04-01T00:00:00"/>
    <n v="72"/>
    <n v="45"/>
    <n v="515000"/>
    <x v="2"/>
    <n v="10063.461241313707"/>
    <d v="2027-04-01T00:00:00"/>
    <n v="1.03"/>
    <s v="Secured"/>
    <x v="11"/>
    <n v="678"/>
    <s v="Low Risk"/>
    <s v="High Risk Exposure"/>
    <s v="High"/>
  </r>
  <r>
    <s v="LN1527"/>
    <s v="C0402"/>
    <s v="B11"/>
    <x v="2"/>
    <n v="25000000"/>
    <n v="0.106"/>
    <d v="2025-06-09T00:00:00"/>
    <n v="72"/>
    <n v="0"/>
    <n v="29000000"/>
    <x v="0"/>
    <n v="470745.84756178426"/>
    <d v="2031-06-09T00:00:00"/>
    <n v="1.1599999999999999"/>
    <s v="Secured"/>
    <x v="10"/>
    <n v="316"/>
    <s v="High Risk"/>
    <s v="High Risk Exposure"/>
    <s v="High"/>
  </r>
  <r>
    <s v="LN1528"/>
    <s v="C0152"/>
    <s v="B10"/>
    <x v="3"/>
    <n v="3000000"/>
    <n v="0.1578"/>
    <d v="2021-12-27T00:00:00"/>
    <n v="60"/>
    <n v="0"/>
    <n v="1560000"/>
    <x v="0"/>
    <n v="72603.956310604335"/>
    <d v="2026-12-27T00:00:00"/>
    <n v="0.52"/>
    <s v="Undersecured"/>
    <x v="3"/>
    <n v="831"/>
    <s v="Prime"/>
    <s v="High Risk Exposure"/>
    <s v="High"/>
  </r>
  <r>
    <s v="LN1529"/>
    <s v="C0697"/>
    <s v="B14"/>
    <x v="0"/>
    <n v="25000000"/>
    <n v="0.20180000000000001"/>
    <d v="2024-11-01T00:00:00"/>
    <n v="60"/>
    <n v="0"/>
    <n v="22500000"/>
    <x v="0"/>
    <n v="664853.44873081998"/>
    <d v="2029-11-01T00:00:00"/>
    <n v="0.9"/>
    <s v="Undersecured"/>
    <x v="13"/>
    <n v="389"/>
    <s v="High Risk"/>
    <s v="High Risk Exposure"/>
    <s v="High"/>
  </r>
  <r>
    <s v="LN1530"/>
    <s v="C0304"/>
    <s v="B07"/>
    <x v="3"/>
    <n v="500000"/>
    <n v="0.15909999999999999"/>
    <d v="2020-07-10T00:00:00"/>
    <n v="60"/>
    <n v="120"/>
    <n v="365000"/>
    <x v="1"/>
    <n v="12135.131546707968"/>
    <d v="2025-07-10T00:00:00"/>
    <n v="0.73"/>
    <s v="Undersecured"/>
    <x v="0"/>
    <n v="322"/>
    <s v="High Risk"/>
    <s v="High Risk Exposure"/>
    <s v="Critical"/>
  </r>
  <r>
    <s v="LN1531"/>
    <s v="C0599"/>
    <s v="B07"/>
    <x v="0"/>
    <n v="25000000"/>
    <n v="0.1711"/>
    <d v="2025-09-16T00:00:00"/>
    <n v="24"/>
    <n v="0"/>
    <n v="26500000"/>
    <x v="0"/>
    <n v="1237378.3745011522"/>
    <d v="2027-09-16T00:00:00"/>
    <n v="1.06"/>
    <s v="Secured"/>
    <x v="0"/>
    <n v="835"/>
    <s v="Prime"/>
    <s v="Normal"/>
    <s v="Normal"/>
  </r>
  <r>
    <s v="LN1532"/>
    <s v="C0060"/>
    <s v="B10"/>
    <x v="1"/>
    <n v="500000"/>
    <n v="0.24340000000000001"/>
    <d v="2024-10-21T00:00:00"/>
    <n v="72"/>
    <n v="0"/>
    <n v="0"/>
    <x v="0"/>
    <n v="13266.805465095385"/>
    <d v="2030-10-21T00:00:00"/>
    <n v="0"/>
    <s v="Undersecured"/>
    <x v="3"/>
    <n v="748"/>
    <s v="Very Low Risk"/>
    <s v="High Risk Exposure"/>
    <s v="High"/>
  </r>
  <r>
    <s v="LN1533"/>
    <s v="C0284"/>
    <s v="B07"/>
    <x v="3"/>
    <n v="500000"/>
    <n v="0.1711"/>
    <d v="2025-08-06T00:00:00"/>
    <n v="12"/>
    <n v="45"/>
    <n v="715000"/>
    <x v="2"/>
    <n v="45628.481345558437"/>
    <d v="2026-08-06T00:00:00"/>
    <n v="1.43"/>
    <s v="Secured"/>
    <x v="0"/>
    <n v="777"/>
    <s v="Very Low Risk"/>
    <s v="High Risk Exposure"/>
    <s v="High"/>
  </r>
  <r>
    <s v="LN1534"/>
    <s v="C0217"/>
    <s v="B12"/>
    <x v="0"/>
    <n v="6000000"/>
    <n v="0.20749999999999999"/>
    <d v="2021-11-04T00:00:00"/>
    <n v="48"/>
    <n v="0"/>
    <n v="6960000"/>
    <x v="0"/>
    <n v="184988.32100922798"/>
    <d v="2025-11-04T00:00:00"/>
    <n v="1.1599999999999999"/>
    <s v="Secured"/>
    <x v="12"/>
    <n v="841"/>
    <s v="Prime"/>
    <s v="Normal"/>
    <s v="Normal"/>
  </r>
  <r>
    <s v="LN1535"/>
    <s v="C0204"/>
    <s v="B11"/>
    <x v="1"/>
    <n v="500000"/>
    <n v="0.2576"/>
    <d v="2020-08-20T00:00:00"/>
    <n v="60"/>
    <n v="45"/>
    <n v="0"/>
    <x v="2"/>
    <n v="14899.275196640443"/>
    <d v="2025-08-20T00:00:00"/>
    <n v="0"/>
    <s v="Undersecured"/>
    <x v="10"/>
    <n v="304"/>
    <s v="High Risk"/>
    <s v="High Risk Exposure"/>
    <s v="High"/>
  </r>
  <r>
    <s v="LN1536"/>
    <s v="C0399"/>
    <s v="B11"/>
    <x v="2"/>
    <n v="6000000"/>
    <n v="0.1036"/>
    <d v="2020-11-27T00:00:00"/>
    <n v="48"/>
    <n v="20"/>
    <n v="9000000"/>
    <x v="0"/>
    <n v="153214.92552202832"/>
    <d v="2024-11-27T00:00:00"/>
    <n v="1.5"/>
    <s v="Secured"/>
    <x v="10"/>
    <n v="472"/>
    <s v="High Risk"/>
    <s v="High Risk Exposure"/>
    <s v="High"/>
  </r>
  <r>
    <s v="LN1537"/>
    <s v="C0370"/>
    <s v="B02"/>
    <x v="2"/>
    <n v="80000000"/>
    <n v="0.1159"/>
    <d v="2022-03-24T00:00:00"/>
    <n v="72"/>
    <n v="0"/>
    <n v="58400000"/>
    <x v="0"/>
    <n v="1547011.0715549078"/>
    <d v="2028-03-24T00:00:00"/>
    <n v="0.73"/>
    <s v="Undersecured"/>
    <x v="11"/>
    <n v="435"/>
    <s v="High Risk"/>
    <s v="High Risk Exposure"/>
    <s v="High"/>
  </r>
  <r>
    <s v="LN1538"/>
    <s v="C0036"/>
    <s v="B03"/>
    <x v="1"/>
    <n v="250000"/>
    <n v="0.24030000000000001"/>
    <d v="2023-10-04T00:00:00"/>
    <n v="60"/>
    <n v="0"/>
    <n v="0"/>
    <x v="0"/>
    <n v="7196.3454041453215"/>
    <d v="2028-10-04T00:00:00"/>
    <n v="0"/>
    <s v="Undersecured"/>
    <x v="7"/>
    <n v="684"/>
    <s v="Low Risk"/>
    <s v="High Risk Exposure"/>
    <s v="High"/>
  </r>
  <r>
    <s v="LN1539"/>
    <s v="C0260"/>
    <s v="B09"/>
    <x v="0"/>
    <n v="3000000"/>
    <n v="0.21840000000000001"/>
    <d v="2024-12-01T00:00:00"/>
    <n v="36"/>
    <n v="0"/>
    <n v="2880000"/>
    <x v="0"/>
    <n v="114323.19008453951"/>
    <d v="2027-12-01T00:00:00"/>
    <n v="0.96"/>
    <s v="Undersecured"/>
    <x v="8"/>
    <n v="787"/>
    <s v="Very Low Risk"/>
    <s v="High Risk Exposure"/>
    <s v="High"/>
  </r>
  <r>
    <s v="LN1540"/>
    <s v="C0085"/>
    <s v="B03"/>
    <x v="3"/>
    <n v="1000000"/>
    <n v="0.1996"/>
    <d v="2022-02-18T00:00:00"/>
    <n v="24"/>
    <n v="10"/>
    <n v="590000"/>
    <x v="0"/>
    <n v="50876.264049099394"/>
    <d v="2024-02-18T00:00:00"/>
    <n v="0.59"/>
    <s v="Undersecured"/>
    <x v="7"/>
    <n v="329"/>
    <s v="High Risk"/>
    <s v="High Risk Exposure"/>
    <s v="High"/>
  </r>
  <r>
    <s v="LN1541"/>
    <s v="C0573"/>
    <s v="B02"/>
    <x v="3"/>
    <n v="500000"/>
    <n v="0.1356"/>
    <d v="2021-03-21T00:00:00"/>
    <n v="24"/>
    <n v="45"/>
    <n v="700000"/>
    <x v="2"/>
    <n v="23902.641526127019"/>
    <d v="2023-03-21T00:00:00"/>
    <n v="1.4"/>
    <s v="Secured"/>
    <x v="11"/>
    <n v="682"/>
    <s v="Low Risk"/>
    <s v="High Risk Exposure"/>
    <s v="High"/>
  </r>
  <r>
    <s v="LN1542"/>
    <s v="C0244"/>
    <s v="B03"/>
    <x v="2"/>
    <n v="25000000"/>
    <n v="9.3700000000000006E-2"/>
    <d v="2020-06-19T00:00:00"/>
    <n v="24"/>
    <n v="0"/>
    <n v="26000000"/>
    <x v="0"/>
    <n v="1146367.3026779296"/>
    <d v="2022-06-19T00:00:00"/>
    <n v="1.04"/>
    <s v="Secured"/>
    <x v="7"/>
    <n v="671"/>
    <s v="Low Risk"/>
    <s v="Normal"/>
    <s v="Normal"/>
  </r>
  <r>
    <s v="LN1543"/>
    <s v="C0607"/>
    <s v="B08"/>
    <x v="1"/>
    <n v="100000"/>
    <n v="0.1862"/>
    <d v="2021-10-19T00:00:00"/>
    <n v="24"/>
    <n v="0"/>
    <n v="0"/>
    <x v="0"/>
    <n v="5022.4186473909976"/>
    <d v="2023-10-19T00:00:00"/>
    <n v="0"/>
    <s v="Undersecured"/>
    <x v="5"/>
    <n v="504"/>
    <s v="High Risk"/>
    <s v="High Risk Exposure"/>
    <s v="High"/>
  </r>
  <r>
    <s v="LN1544"/>
    <s v="C0540"/>
    <s v="B01"/>
    <x v="0"/>
    <n v="6000000"/>
    <n v="0.16189999999999999"/>
    <d v="2021-10-14T00:00:00"/>
    <n v="60"/>
    <n v="10"/>
    <n v="6780000"/>
    <x v="0"/>
    <n v="146514.75348422755"/>
    <d v="2026-10-14T00:00:00"/>
    <n v="1.1299999999999999"/>
    <s v="Secured"/>
    <x v="1"/>
    <n v="823"/>
    <s v="Prime"/>
    <s v="Normal"/>
    <s v="Normal"/>
  </r>
  <r>
    <s v="LN1545"/>
    <s v="C0593"/>
    <s v="B05"/>
    <x v="3"/>
    <n v="1000000"/>
    <n v="0.15110000000000001"/>
    <d v="2022-12-03T00:00:00"/>
    <n v="72"/>
    <n v="0"/>
    <n v="960000"/>
    <x v="0"/>
    <n v="21204.796194320312"/>
    <d v="2028-12-03T00:00:00"/>
    <n v="0.96"/>
    <s v="Undersecured"/>
    <x v="4"/>
    <n v="564"/>
    <s v="High Risk"/>
    <s v="High Risk Exposure"/>
    <s v="High"/>
  </r>
  <r>
    <s v="LN1546"/>
    <s v="C0056"/>
    <s v="B02"/>
    <x v="0"/>
    <n v="6000000"/>
    <n v="0.1726"/>
    <d v="2020-08-19T00:00:00"/>
    <n v="24"/>
    <n v="90"/>
    <n v="6660000"/>
    <x v="2"/>
    <n v="297403.70389399055"/>
    <d v="2022-08-19T00:00:00"/>
    <n v="1.1100000000000001"/>
    <s v="Secured"/>
    <x v="11"/>
    <n v="402"/>
    <s v="High Risk"/>
    <s v="High Risk Exposure"/>
    <s v="High"/>
  </r>
  <r>
    <s v="LN1547"/>
    <s v="C0498"/>
    <s v="B09"/>
    <x v="1"/>
    <n v="500000"/>
    <n v="0.16619999999999999"/>
    <d v="2024-03-08T00:00:00"/>
    <n v="24"/>
    <n v="0"/>
    <n v="0"/>
    <x v="0"/>
    <n v="24629.934572871582"/>
    <d v="2026-03-08T00:00:00"/>
    <n v="0"/>
    <s v="Undersecured"/>
    <x v="8"/>
    <n v="309"/>
    <s v="High Risk"/>
    <s v="High Risk Exposure"/>
    <s v="High"/>
  </r>
  <r>
    <s v="LN1548"/>
    <s v="C0115"/>
    <s v="B15"/>
    <x v="2"/>
    <n v="6000000"/>
    <n v="0.1033"/>
    <d v="2020-05-17T00:00:00"/>
    <n v="12"/>
    <n v="90"/>
    <n v="6840000"/>
    <x v="2"/>
    <n v="528416.64847338526"/>
    <d v="2021-05-17T00:00:00"/>
    <n v="1.1399999999999999"/>
    <s v="Secured"/>
    <x v="9"/>
    <n v="767"/>
    <s v="Very Low Risk"/>
    <s v="High Risk Exposure"/>
    <s v="High"/>
  </r>
  <r>
    <s v="LN1549"/>
    <s v="C0116"/>
    <s v="B09"/>
    <x v="3"/>
    <n v="1000000"/>
    <n v="0.14000000000000001"/>
    <d v="2021-06-28T00:00:00"/>
    <n v="12"/>
    <n v="10"/>
    <n v="640000"/>
    <x v="0"/>
    <n v="89787.117611413531"/>
    <d v="2022-06-28T00:00:00"/>
    <n v="0.64"/>
    <s v="Undersecured"/>
    <x v="8"/>
    <n v="587"/>
    <s v="Medium Risk"/>
    <s v="High Risk Exposure"/>
    <s v="High"/>
  </r>
  <r>
    <s v="LN1550"/>
    <s v="C0292"/>
    <s v="B04"/>
    <x v="0"/>
    <n v="6000000"/>
    <n v="0.18859999999999999"/>
    <d v="2022-05-23T00:00:00"/>
    <n v="12"/>
    <n v="0"/>
    <n v="3660000"/>
    <x v="0"/>
    <n v="552538.65253092314"/>
    <d v="2023-05-23T00:00:00"/>
    <n v="0.61"/>
    <s v="Undersecured"/>
    <x v="14"/>
    <n v="649"/>
    <s v="Medium Risk"/>
    <s v="High Risk Exposure"/>
    <s v="High"/>
  </r>
  <r>
    <s v="LN1551"/>
    <s v="C0428"/>
    <s v="B08"/>
    <x v="0"/>
    <n v="3000000"/>
    <n v="0.22720000000000001"/>
    <d v="2021-03-11T00:00:00"/>
    <n v="12"/>
    <n v="120"/>
    <n v="3780000"/>
    <x v="1"/>
    <n v="281823.72941792838"/>
    <d v="2022-03-11T00:00:00"/>
    <n v="1.26"/>
    <s v="Secured"/>
    <x v="5"/>
    <n v="847"/>
    <s v="Prime"/>
    <s v="High Risk Exposure"/>
    <s v="Critical"/>
  </r>
  <r>
    <s v="LN1552"/>
    <s v="C0153"/>
    <s v="B14"/>
    <x v="1"/>
    <n v="500000"/>
    <n v="0.17369999999999999"/>
    <d v="2021-03-21T00:00:00"/>
    <n v="24"/>
    <n v="0"/>
    <n v="0"/>
    <x v="0"/>
    <n v="24810.115806142512"/>
    <d v="2023-03-21T00:00:00"/>
    <n v="0"/>
    <s v="Undersecured"/>
    <x v="13"/>
    <n v="320"/>
    <s v="High Risk"/>
    <s v="High Risk Exposure"/>
    <s v="High"/>
  </r>
  <r>
    <s v="LN1553"/>
    <s v="C0569"/>
    <s v="B11"/>
    <x v="2"/>
    <n v="80000000"/>
    <n v="0.1172"/>
    <d v="2020-02-25T00:00:00"/>
    <n v="48"/>
    <n v="45"/>
    <n v="101600000"/>
    <x v="2"/>
    <n v="2095725.412291042"/>
    <d v="2024-02-25T00:00:00"/>
    <n v="1.27"/>
    <s v="Secured"/>
    <x v="10"/>
    <n v="469"/>
    <s v="High Risk"/>
    <s v="High Risk Exposure"/>
    <s v="High"/>
  </r>
  <r>
    <s v="LN1554"/>
    <s v="C0210"/>
    <s v="B06"/>
    <x v="2"/>
    <n v="6000000"/>
    <n v="9.4799999999999995E-2"/>
    <d v="2023-12-18T00:00:00"/>
    <n v="72"/>
    <n v="0"/>
    <n v="5880000"/>
    <x v="0"/>
    <n v="109588.1180581119"/>
    <d v="2029-12-18T00:00:00"/>
    <n v="0.98"/>
    <s v="Undersecured"/>
    <x v="6"/>
    <n v="305"/>
    <s v="High Risk"/>
    <s v="High Risk Exposure"/>
    <s v="High"/>
  </r>
  <r>
    <s v="LN1555"/>
    <s v="C0281"/>
    <s v="B10"/>
    <x v="2"/>
    <n v="80000000"/>
    <n v="0.12590000000000001"/>
    <d v="2023-07-24T00:00:00"/>
    <n v="72"/>
    <n v="90"/>
    <n v="83200000"/>
    <x v="2"/>
    <n v="1588669.0048037865"/>
    <d v="2029-07-24T00:00:00"/>
    <n v="1.04"/>
    <s v="Secured"/>
    <x v="3"/>
    <n v="534"/>
    <s v="High Risk"/>
    <s v="High Risk Exposure"/>
    <s v="High"/>
  </r>
  <r>
    <s v="LN1556"/>
    <s v="C0455"/>
    <s v="B14"/>
    <x v="1"/>
    <n v="100000"/>
    <n v="0.21920000000000001"/>
    <d v="2024-02-23T00:00:00"/>
    <n v="24"/>
    <n v="90"/>
    <n v="0"/>
    <x v="2"/>
    <n v="5183.865681468189"/>
    <d v="2026-02-23T00:00:00"/>
    <n v="0"/>
    <s v="Undersecured"/>
    <x v="13"/>
    <n v="411"/>
    <s v="High Risk"/>
    <s v="High Risk Exposure"/>
    <s v="High"/>
  </r>
  <r>
    <s v="LN1557"/>
    <s v="C0144"/>
    <s v="B10"/>
    <x v="2"/>
    <n v="25000000"/>
    <n v="0.12039999999999999"/>
    <d v="2020-02-24T00:00:00"/>
    <n v="36"/>
    <n v="90"/>
    <n v="22250000"/>
    <x v="2"/>
    <n v="830835.44601945521"/>
    <d v="2023-02-24T00:00:00"/>
    <n v="0.89"/>
    <s v="Undersecured"/>
    <x v="3"/>
    <n v="634"/>
    <s v="Medium Risk"/>
    <s v="High Risk Exposure"/>
    <s v="High"/>
  </r>
  <r>
    <s v="LN1558"/>
    <s v="C0181"/>
    <s v="B09"/>
    <x v="3"/>
    <n v="3000000"/>
    <n v="0.18490000000000001"/>
    <d v="2024-04-10T00:00:00"/>
    <n v="48"/>
    <n v="20"/>
    <n v="2460000"/>
    <x v="0"/>
    <n v="88894.995032540086"/>
    <d v="2028-04-10T00:00:00"/>
    <n v="0.82"/>
    <s v="Undersecured"/>
    <x v="8"/>
    <n v="763"/>
    <s v="Very Low Risk"/>
    <s v="High Risk Exposure"/>
    <s v="High"/>
  </r>
  <r>
    <s v="LN1559"/>
    <s v="C0101"/>
    <s v="B12"/>
    <x v="0"/>
    <n v="6000000"/>
    <n v="0.23699999999999999"/>
    <d v="2021-06-12T00:00:00"/>
    <n v="72"/>
    <n v="0"/>
    <n v="6240000"/>
    <x v="0"/>
    <n v="156870.08071657055"/>
    <d v="2027-06-12T00:00:00"/>
    <n v="1.04"/>
    <s v="Secured"/>
    <x v="12"/>
    <n v="572"/>
    <s v="High Risk"/>
    <s v="High Risk Exposure"/>
    <s v="High"/>
  </r>
  <r>
    <s v="LN1560"/>
    <s v="C0438"/>
    <s v="B11"/>
    <x v="2"/>
    <n v="6000000"/>
    <n v="9.0300000000000005E-2"/>
    <d v="2024-04-26T00:00:00"/>
    <n v="24"/>
    <n v="0"/>
    <n v="6780000"/>
    <x v="0"/>
    <n v="274191.04835404508"/>
    <d v="2026-04-26T00:00:00"/>
    <n v="1.1299999999999999"/>
    <s v="Secured"/>
    <x v="10"/>
    <n v="385"/>
    <s v="High Risk"/>
    <s v="High Risk Exposure"/>
    <s v="High"/>
  </r>
  <r>
    <s v="LN1561"/>
    <s v="C0501"/>
    <s v="B12"/>
    <x v="0"/>
    <n v="3000000"/>
    <n v="0.14280000000000001"/>
    <d v="2020-04-28T00:00:00"/>
    <n v="24"/>
    <n v="20"/>
    <n v="1680000"/>
    <x v="0"/>
    <n v="144435.79531581688"/>
    <d v="2022-04-28T00:00:00"/>
    <n v="0.56000000000000005"/>
    <s v="Undersecured"/>
    <x v="12"/>
    <n v="306"/>
    <s v="High Risk"/>
    <s v="High Risk Exposure"/>
    <s v="High"/>
  </r>
  <r>
    <s v="LN1562"/>
    <s v="C0071"/>
    <s v="B02"/>
    <x v="3"/>
    <n v="3000000"/>
    <n v="0.16600000000000001"/>
    <d v="2020-05-23T00:00:00"/>
    <n v="12"/>
    <n v="0"/>
    <n v="2100000"/>
    <x v="0"/>
    <n v="273045.09803937911"/>
    <d v="2021-05-23T00:00:00"/>
    <n v="0.7"/>
    <s v="Undersecured"/>
    <x v="11"/>
    <n v="330"/>
    <s v="High Risk"/>
    <s v="High Risk Exposure"/>
    <s v="High"/>
  </r>
  <r>
    <s v="LN1563"/>
    <s v="C0465"/>
    <s v="B14"/>
    <x v="0"/>
    <n v="25000000"/>
    <n v="0.17150000000000001"/>
    <d v="2022-08-18T00:00:00"/>
    <n v="72"/>
    <n v="0"/>
    <n v="30250000"/>
    <x v="0"/>
    <n v="558247.81705409125"/>
    <d v="2028-08-18T00:00:00"/>
    <n v="1.21"/>
    <s v="Secured"/>
    <x v="13"/>
    <n v="358"/>
    <s v="High Risk"/>
    <s v="High Risk Exposure"/>
    <s v="High"/>
  </r>
  <r>
    <s v="LN1564"/>
    <s v="C0651"/>
    <s v="B07"/>
    <x v="1"/>
    <n v="500000"/>
    <n v="0.21679999999999999"/>
    <d v="2021-04-05T00:00:00"/>
    <n v="36"/>
    <n v="0"/>
    <n v="0"/>
    <x v="0"/>
    <n v="19012.55317620901"/>
    <d v="2024-04-05T00:00:00"/>
    <n v="0"/>
    <s v="Undersecured"/>
    <x v="0"/>
    <n v="600"/>
    <s v="Medium Risk"/>
    <s v="High Risk Exposure"/>
    <s v="High"/>
  </r>
  <r>
    <s v="LN1565"/>
    <s v="C0376"/>
    <s v="B13"/>
    <x v="0"/>
    <n v="1000000"/>
    <n v="0.1623"/>
    <d v="2024-12-05T00:00:00"/>
    <n v="60"/>
    <n v="10"/>
    <n v="1410000"/>
    <x v="0"/>
    <n v="24440.432517436882"/>
    <d v="2029-12-05T00:00:00"/>
    <n v="1.41"/>
    <s v="Secured"/>
    <x v="2"/>
    <n v="828"/>
    <s v="Prime"/>
    <s v="Normal"/>
    <s v="Normal"/>
  </r>
  <r>
    <s v="LN1566"/>
    <s v="C0305"/>
    <s v="B11"/>
    <x v="3"/>
    <n v="500000"/>
    <n v="0.16139999999999999"/>
    <d v="2020-02-01T00:00:00"/>
    <n v="36"/>
    <n v="20"/>
    <n v="440000"/>
    <x v="0"/>
    <n v="17613.095219565203"/>
    <d v="2023-02-01T00:00:00"/>
    <n v="0.88"/>
    <s v="Undersecured"/>
    <x v="10"/>
    <n v="654"/>
    <s v="Medium Risk"/>
    <s v="High Risk Exposure"/>
    <s v="High"/>
  </r>
  <r>
    <s v="LN1567"/>
    <s v="C0191"/>
    <s v="B11"/>
    <x v="1"/>
    <n v="1000000"/>
    <n v="0.22819999999999999"/>
    <d v="2020-12-27T00:00:00"/>
    <n v="24"/>
    <n v="0"/>
    <n v="0"/>
    <x v="0"/>
    <n v="52283.983730593245"/>
    <d v="2022-12-27T00:00:00"/>
    <n v="0"/>
    <s v="Undersecured"/>
    <x v="10"/>
    <n v="678"/>
    <s v="Low Risk"/>
    <s v="High Risk Exposure"/>
    <s v="High"/>
  </r>
  <r>
    <s v="LN1568"/>
    <s v="C0570"/>
    <s v="B11"/>
    <x v="1"/>
    <n v="250000"/>
    <n v="0.2641"/>
    <d v="2023-03-26T00:00:00"/>
    <n v="12"/>
    <n v="0"/>
    <n v="0"/>
    <x v="0"/>
    <n v="23932.439073862719"/>
    <d v="2024-03-26T00:00:00"/>
    <n v="0"/>
    <s v="Undersecured"/>
    <x v="10"/>
    <n v="712"/>
    <s v="Low Risk"/>
    <s v="High Risk Exposure"/>
    <s v="High"/>
  </r>
  <r>
    <s v="LN1569"/>
    <s v="C0527"/>
    <s v="B01"/>
    <x v="2"/>
    <n v="25000000"/>
    <n v="0.13009999999999999"/>
    <d v="2021-01-08T00:00:00"/>
    <n v="48"/>
    <n v="20"/>
    <n v="34750000"/>
    <x v="0"/>
    <n v="670811.48530397878"/>
    <d v="2025-01-08T00:00:00"/>
    <n v="1.39"/>
    <s v="Secured"/>
    <x v="1"/>
    <n v="340"/>
    <s v="High Risk"/>
    <s v="High Risk Exposure"/>
    <s v="High"/>
  </r>
  <r>
    <s v="LN1570"/>
    <s v="C0023"/>
    <s v="B14"/>
    <x v="1"/>
    <n v="250000"/>
    <n v="0.19400000000000001"/>
    <d v="2024-06-25T00:00:00"/>
    <n v="60"/>
    <n v="5"/>
    <n v="0"/>
    <x v="0"/>
    <n v="6540.2856801353573"/>
    <d v="2029-06-25T00:00:00"/>
    <n v="0"/>
    <s v="Undersecured"/>
    <x v="13"/>
    <n v="365"/>
    <s v="High Risk"/>
    <s v="High Risk Exposure"/>
    <s v="High"/>
  </r>
  <r>
    <s v="LN1571"/>
    <s v="C0649"/>
    <s v="B01"/>
    <x v="0"/>
    <n v="3000000"/>
    <n v="0.17749999999999999"/>
    <d v="2024-05-03T00:00:00"/>
    <n v="12"/>
    <n v="0"/>
    <n v="1920000"/>
    <x v="0"/>
    <n v="274683.16971043294"/>
    <d v="2025-05-03T00:00:00"/>
    <n v="0.64"/>
    <s v="Undersecured"/>
    <x v="1"/>
    <n v="307"/>
    <s v="High Risk"/>
    <s v="High Risk Exposure"/>
    <s v="High"/>
  </r>
  <r>
    <s v="LN1572"/>
    <s v="C0078"/>
    <s v="B15"/>
    <x v="3"/>
    <n v="6000000"/>
    <n v="0.1368"/>
    <d v="2021-05-23T00:00:00"/>
    <n v="24"/>
    <n v="0"/>
    <n v="6600000"/>
    <x v="0"/>
    <n v="287171.0960607123"/>
    <d v="2023-05-23T00:00:00"/>
    <n v="1.1000000000000001"/>
    <s v="Secured"/>
    <x v="9"/>
    <n v="474"/>
    <s v="High Risk"/>
    <s v="High Risk Exposure"/>
    <s v="High"/>
  </r>
  <r>
    <s v="LN1573"/>
    <s v="C0460"/>
    <s v="B07"/>
    <x v="0"/>
    <n v="1000000"/>
    <n v="0.1893"/>
    <d v="2020-12-10T00:00:00"/>
    <n v="48"/>
    <n v="10"/>
    <n v="1190000"/>
    <x v="0"/>
    <n v="29863.192653501843"/>
    <d v="2024-12-10T00:00:00"/>
    <n v="1.19"/>
    <s v="Secured"/>
    <x v="0"/>
    <n v="544"/>
    <s v="High Risk"/>
    <s v="High Risk Exposure"/>
    <s v="High"/>
  </r>
  <r>
    <s v="LN1574"/>
    <s v="C0580"/>
    <s v="B13"/>
    <x v="2"/>
    <n v="25000000"/>
    <n v="0.13070000000000001"/>
    <d v="2021-08-28T00:00:00"/>
    <n v="12"/>
    <n v="5"/>
    <n v="29750000"/>
    <x v="0"/>
    <n v="2233753.0141824968"/>
    <d v="2022-08-28T00:00:00"/>
    <n v="1.19"/>
    <s v="Secured"/>
    <x v="2"/>
    <n v="554"/>
    <s v="High Risk"/>
    <s v="High Risk Exposure"/>
    <s v="High"/>
  </r>
  <r>
    <s v="LN1575"/>
    <s v="C0500"/>
    <s v="B09"/>
    <x v="2"/>
    <n v="80000000"/>
    <n v="0.1166"/>
    <d v="2021-02-19T00:00:00"/>
    <n v="12"/>
    <n v="5"/>
    <n v="99200000"/>
    <x v="0"/>
    <n v="7095184.9666701006"/>
    <d v="2022-02-19T00:00:00"/>
    <n v="1.24"/>
    <s v="Secured"/>
    <x v="8"/>
    <n v="428"/>
    <s v="High Risk"/>
    <s v="High Risk Exposure"/>
    <s v="High"/>
  </r>
  <r>
    <s v="LN1576"/>
    <s v="C0157"/>
    <s v="B15"/>
    <x v="3"/>
    <n v="6000000"/>
    <n v="0.1925"/>
    <d v="2025-03-14T00:00:00"/>
    <n v="12"/>
    <n v="0"/>
    <n v="7740000"/>
    <x v="0"/>
    <n v="553655.60628978291"/>
    <d v="2026-03-14T00:00:00"/>
    <n v="1.29"/>
    <s v="Secured"/>
    <x v="9"/>
    <n v="306"/>
    <s v="High Risk"/>
    <s v="High Risk Exposure"/>
    <s v="High"/>
  </r>
  <r>
    <s v="LN1577"/>
    <s v="C0048"/>
    <s v="B02"/>
    <x v="0"/>
    <n v="1000000"/>
    <n v="0.14180000000000001"/>
    <d v="2020-03-01T00:00:00"/>
    <n v="72"/>
    <n v="10"/>
    <n v="740000"/>
    <x v="0"/>
    <n v="20702.247422393717"/>
    <d v="2026-03-01T00:00:00"/>
    <n v="0.74"/>
    <s v="Undersecured"/>
    <x v="11"/>
    <n v="850"/>
    <s v="Prime"/>
    <s v="High Risk Exposure"/>
    <s v="High"/>
  </r>
  <r>
    <s v="LN1578"/>
    <s v="C0105"/>
    <s v="B13"/>
    <x v="2"/>
    <n v="6000000"/>
    <n v="9.7900000000000001E-2"/>
    <d v="2021-02-24T00:00:00"/>
    <n v="36"/>
    <n v="0"/>
    <n v="6240000"/>
    <x v="0"/>
    <n v="193012.09967044819"/>
    <d v="2024-02-24T00:00:00"/>
    <n v="1.04"/>
    <s v="Secured"/>
    <x v="2"/>
    <n v="347"/>
    <s v="High Risk"/>
    <s v="High Risk Exposure"/>
    <s v="High"/>
  </r>
  <r>
    <s v="LN1579"/>
    <s v="C0127"/>
    <s v="B05"/>
    <x v="2"/>
    <n v="80000000"/>
    <n v="0.113"/>
    <d v="2020-12-23T00:00:00"/>
    <n v="60"/>
    <n v="0"/>
    <n v="118400000"/>
    <x v="0"/>
    <n v="1751386.76923579"/>
    <d v="2025-12-23T00:00:00"/>
    <n v="1.48"/>
    <s v="Secured"/>
    <x v="4"/>
    <n v="822"/>
    <s v="Prime"/>
    <s v="Normal"/>
    <s v="Normal"/>
  </r>
  <r>
    <s v="LN1580"/>
    <s v="C0464"/>
    <s v="B09"/>
    <x v="1"/>
    <n v="100000"/>
    <n v="0.2218"/>
    <d v="2020-04-09T00:00:00"/>
    <n v="24"/>
    <n v="20"/>
    <n v="0"/>
    <x v="0"/>
    <n v="5196.7086722404983"/>
    <d v="2022-04-09T00:00:00"/>
    <n v="0"/>
    <s v="Undersecured"/>
    <x v="8"/>
    <n v="310"/>
    <s v="High Risk"/>
    <s v="High Risk Exposure"/>
    <s v="High"/>
  </r>
  <r>
    <s v="LN1581"/>
    <s v="C0610"/>
    <s v="B07"/>
    <x v="2"/>
    <n v="25000000"/>
    <n v="0.10929999999999999"/>
    <d v="2021-02-13T00:00:00"/>
    <n v="12"/>
    <n v="0"/>
    <n v="32000000"/>
    <x v="0"/>
    <n v="2208725.2569294814"/>
    <d v="2022-02-13T00:00:00"/>
    <n v="1.28"/>
    <s v="Secured"/>
    <x v="0"/>
    <n v="318"/>
    <s v="High Risk"/>
    <s v="High Risk Exposure"/>
    <s v="High"/>
  </r>
  <r>
    <s v="LN1582"/>
    <s v="C0415"/>
    <s v="B04"/>
    <x v="0"/>
    <n v="3000000"/>
    <n v="0.14630000000000001"/>
    <d v="2022-01-25T00:00:00"/>
    <n v="24"/>
    <n v="5"/>
    <n v="2340000"/>
    <x v="0"/>
    <n v="144933.12095333493"/>
    <d v="2024-01-25T00:00:00"/>
    <n v="0.78"/>
    <s v="Undersecured"/>
    <x v="14"/>
    <n v="739"/>
    <s v="Low Risk"/>
    <s v="High Risk Exposure"/>
    <s v="High"/>
  </r>
  <r>
    <s v="LN1583"/>
    <s v="C0565"/>
    <s v="B06"/>
    <x v="3"/>
    <n v="3000000"/>
    <n v="0.1915"/>
    <d v="2023-10-19T00:00:00"/>
    <n v="48"/>
    <n v="0"/>
    <n v="3630000"/>
    <x v="0"/>
    <n v="89937.986917691349"/>
    <d v="2027-10-19T00:00:00"/>
    <n v="1.21"/>
    <s v="Secured"/>
    <x v="6"/>
    <n v="598"/>
    <s v="Medium Risk"/>
    <s v="Normal"/>
    <s v="Normal"/>
  </r>
  <r>
    <s v="LN1584"/>
    <s v="C0649"/>
    <s v="B07"/>
    <x v="3"/>
    <n v="500000"/>
    <n v="0.1293"/>
    <d v="2021-08-18T00:00:00"/>
    <n v="12"/>
    <n v="0"/>
    <n v="415000"/>
    <x v="0"/>
    <n v="44642.218747525803"/>
    <d v="2022-08-18T00:00:00"/>
    <n v="0.83"/>
    <s v="Undersecured"/>
    <x v="0"/>
    <n v="307"/>
    <s v="High Risk"/>
    <s v="High Risk Exposure"/>
    <s v="High"/>
  </r>
  <r>
    <s v="LN1585"/>
    <s v="C0308"/>
    <s v="B13"/>
    <x v="3"/>
    <n v="500000"/>
    <n v="0.1404"/>
    <d v="2021-12-15T00:00:00"/>
    <n v="36"/>
    <n v="5"/>
    <n v="395000"/>
    <x v="0"/>
    <n v="17098.5303019973"/>
    <d v="2024-12-15T00:00:00"/>
    <n v="0.79"/>
    <s v="Undersecured"/>
    <x v="2"/>
    <n v="625"/>
    <s v="Medium Risk"/>
    <s v="High Risk Exposure"/>
    <s v="High"/>
  </r>
  <r>
    <s v="LN1586"/>
    <s v="C0472"/>
    <s v="B05"/>
    <x v="0"/>
    <n v="6000000"/>
    <n v="0.19689999999999999"/>
    <d v="2020-01-14T00:00:00"/>
    <n v="60"/>
    <n v="90"/>
    <n v="5880000"/>
    <x v="2"/>
    <n v="157930.14285321848"/>
    <d v="2025-01-14T00:00:00"/>
    <n v="0.98"/>
    <s v="Undersecured"/>
    <x v="4"/>
    <n v="767"/>
    <s v="Very Low Risk"/>
    <s v="High Risk Exposure"/>
    <s v="High"/>
  </r>
  <r>
    <s v="LN1587"/>
    <s v="C0009"/>
    <s v="B03"/>
    <x v="0"/>
    <n v="6000000"/>
    <n v="0.20710000000000001"/>
    <d v="2025-09-21T00:00:00"/>
    <n v="72"/>
    <n v="45"/>
    <n v="5460000"/>
    <x v="2"/>
    <n v="146196.93400338414"/>
    <d v="2031-09-21T00:00:00"/>
    <n v="0.91"/>
    <s v="Undersecured"/>
    <x v="7"/>
    <n v="847"/>
    <s v="Prime"/>
    <s v="High Risk Exposure"/>
    <s v="High"/>
  </r>
  <r>
    <s v="LN1588"/>
    <s v="C0675"/>
    <s v="B09"/>
    <x v="2"/>
    <n v="25000000"/>
    <n v="0.13420000000000001"/>
    <d v="2021-11-08T00:00:00"/>
    <n v="60"/>
    <n v="5"/>
    <n v="28500000"/>
    <x v="0"/>
    <n v="574216.31286818988"/>
    <d v="2026-11-08T00:00:00"/>
    <n v="1.1399999999999999"/>
    <s v="Secured"/>
    <x v="8"/>
    <n v="563"/>
    <s v="High Risk"/>
    <s v="High Risk Exposure"/>
    <s v="High"/>
  </r>
  <r>
    <s v="LN1589"/>
    <s v="C0193"/>
    <s v="B06"/>
    <x v="2"/>
    <n v="25000000"/>
    <n v="0.13400000000000001"/>
    <d v="2024-10-10T00:00:00"/>
    <n v="72"/>
    <n v="20"/>
    <n v="14000000"/>
    <x v="0"/>
    <n v="507145.92060414649"/>
    <d v="2030-10-10T00:00:00"/>
    <n v="0.56000000000000005"/>
    <s v="Undersecured"/>
    <x v="6"/>
    <n v="637"/>
    <s v="Medium Risk"/>
    <s v="High Risk Exposure"/>
    <s v="High"/>
  </r>
  <r>
    <s v="LN1590"/>
    <s v="C0623"/>
    <s v="B09"/>
    <x v="0"/>
    <n v="3000000"/>
    <n v="0.1694"/>
    <d v="2025-09-03T00:00:00"/>
    <n v="72"/>
    <n v="10"/>
    <n v="3720000"/>
    <x v="0"/>
    <n v="66637.994836093218"/>
    <d v="2031-09-03T00:00:00"/>
    <n v="1.24"/>
    <s v="Secured"/>
    <x v="8"/>
    <n v="726"/>
    <s v="Low Risk"/>
    <s v="Normal"/>
    <s v="Normal"/>
  </r>
  <r>
    <s v="LN1591"/>
    <s v="C0578"/>
    <s v="B06"/>
    <x v="1"/>
    <n v="500000"/>
    <n v="0.27960000000000002"/>
    <d v="2020-07-16T00:00:00"/>
    <n v="24"/>
    <n v="0"/>
    <n v="0"/>
    <x v="0"/>
    <n v="27434.058455113409"/>
    <d v="2022-07-16T00:00:00"/>
    <n v="0"/>
    <s v="Undersecured"/>
    <x v="6"/>
    <n v="642"/>
    <s v="Medium Risk"/>
    <s v="High Risk Exposure"/>
    <s v="High"/>
  </r>
  <r>
    <s v="LN1592"/>
    <s v="C0095"/>
    <s v="B14"/>
    <x v="0"/>
    <n v="3000000"/>
    <n v="0.16550000000000001"/>
    <d v="2023-01-25T00:00:00"/>
    <n v="72"/>
    <n v="120"/>
    <n v="2910000"/>
    <x v="1"/>
    <n v="65987.348218210318"/>
    <d v="2029-01-25T00:00:00"/>
    <n v="0.97"/>
    <s v="Undersecured"/>
    <x v="13"/>
    <n v="450"/>
    <s v="High Risk"/>
    <s v="High Risk Exposure"/>
    <s v="Critical"/>
  </r>
  <r>
    <s v="LN1593"/>
    <s v="C0150"/>
    <s v="B12"/>
    <x v="3"/>
    <n v="6000000"/>
    <n v="0.161"/>
    <d v="2020-02-13T00:00:00"/>
    <n v="36"/>
    <n v="45"/>
    <n v="8460000"/>
    <x v="2"/>
    <n v="211238.53922256586"/>
    <d v="2023-02-13T00:00:00"/>
    <n v="1.41"/>
    <s v="Secured"/>
    <x v="12"/>
    <n v="610"/>
    <s v="Medium Risk"/>
    <s v="High Risk Exposure"/>
    <s v="High"/>
  </r>
  <r>
    <s v="LN1594"/>
    <s v="C0009"/>
    <s v="B05"/>
    <x v="3"/>
    <n v="1000000"/>
    <n v="0.16009999999999999"/>
    <d v="2023-08-02T00:00:00"/>
    <n v="48"/>
    <n v="5"/>
    <n v="1350000"/>
    <x v="0"/>
    <n v="28345.402590597707"/>
    <d v="2027-08-02T00:00:00"/>
    <n v="1.35"/>
    <s v="Secured"/>
    <x v="4"/>
    <n v="847"/>
    <s v="Prime"/>
    <s v="Normal"/>
    <s v="Normal"/>
  </r>
  <r>
    <s v="LN1595"/>
    <s v="C0618"/>
    <s v="B02"/>
    <x v="2"/>
    <n v="80000000"/>
    <n v="0.1016"/>
    <d v="2021-05-07T00:00:00"/>
    <n v="24"/>
    <n v="90"/>
    <n v="102400000"/>
    <x v="2"/>
    <n v="3697504.7256607558"/>
    <d v="2023-05-07T00:00:00"/>
    <n v="1.28"/>
    <s v="Secured"/>
    <x v="11"/>
    <n v="647"/>
    <s v="Medium Risk"/>
    <s v="High Risk Exposure"/>
    <s v="High"/>
  </r>
  <r>
    <s v="LN1596"/>
    <s v="C0001"/>
    <s v="B14"/>
    <x v="2"/>
    <n v="6000000"/>
    <n v="0.13739999999999999"/>
    <d v="2020-10-02T00:00:00"/>
    <n v="72"/>
    <n v="0"/>
    <n v="7920000"/>
    <x v="0"/>
    <n v="122800.65753311939"/>
    <d v="2026-10-02T00:00:00"/>
    <n v="1.32"/>
    <s v="Secured"/>
    <x v="13"/>
    <n v="546"/>
    <s v="High Risk"/>
    <s v="High Risk Exposure"/>
    <s v="High"/>
  </r>
  <r>
    <s v="LN1597"/>
    <s v="C0208"/>
    <s v="B10"/>
    <x v="2"/>
    <n v="25000000"/>
    <n v="9.6699999999999994E-2"/>
    <d v="2023-02-20T00:00:00"/>
    <n v="48"/>
    <n v="0"/>
    <n v="34000000"/>
    <x v="0"/>
    <n v="630109.92419573176"/>
    <d v="2027-02-20T00:00:00"/>
    <n v="1.36"/>
    <s v="Secured"/>
    <x v="3"/>
    <n v="463"/>
    <s v="High Risk"/>
    <s v="High Risk Exposure"/>
    <s v="High"/>
  </r>
  <r>
    <s v="LN1598"/>
    <s v="C0144"/>
    <s v="B04"/>
    <x v="1"/>
    <n v="500000"/>
    <n v="0.1633"/>
    <d v="2020-04-03T00:00:00"/>
    <n v="36"/>
    <n v="90"/>
    <n v="0"/>
    <x v="2"/>
    <n v="17660.085960794495"/>
    <d v="2023-04-03T00:00:00"/>
    <n v="0"/>
    <s v="Undersecured"/>
    <x v="14"/>
    <n v="634"/>
    <s v="Medium Risk"/>
    <s v="High Risk Exposure"/>
    <s v="High"/>
  </r>
  <r>
    <s v="LN1599"/>
    <s v="C0132"/>
    <s v="B04"/>
    <x v="3"/>
    <n v="6000000"/>
    <n v="0.15140000000000001"/>
    <d v="2020-02-23T00:00:00"/>
    <n v="12"/>
    <n v="0"/>
    <n v="8340000"/>
    <x v="0"/>
    <n v="541946.3246843674"/>
    <d v="2021-02-23T00:00:00"/>
    <n v="1.39"/>
    <s v="Secured"/>
    <x v="14"/>
    <n v="444"/>
    <s v="High Risk"/>
    <s v="High Risk Exposure"/>
    <s v="High"/>
  </r>
  <r>
    <s v="LN1600"/>
    <s v="C0594"/>
    <s v="B12"/>
    <x v="0"/>
    <n v="6000000"/>
    <n v="0.19439999999999999"/>
    <d v="2025-09-12T00:00:00"/>
    <n v="12"/>
    <n v="5"/>
    <n v="3060000"/>
    <x v="0"/>
    <n v="554200.20690122526"/>
    <d v="2026-09-12T00:00:00"/>
    <n v="0.51"/>
    <s v="Undersecured"/>
    <x v="12"/>
    <n v="313"/>
    <s v="High Risk"/>
    <s v="High Risk Exposure"/>
    <s v="High"/>
  </r>
  <r>
    <s v="LN1601"/>
    <s v="C0392"/>
    <s v="B08"/>
    <x v="1"/>
    <n v="1000000"/>
    <n v="0.1608"/>
    <d v="2024-02-02T00:00:00"/>
    <n v="24"/>
    <n v="0"/>
    <n v="0"/>
    <x v="0"/>
    <n v="49001.34385932039"/>
    <d v="2026-02-02T00:00:00"/>
    <n v="0"/>
    <s v="Undersecured"/>
    <x v="5"/>
    <n v="311"/>
    <s v="High Risk"/>
    <s v="High Risk Exposure"/>
    <s v="High"/>
  </r>
  <r>
    <s v="LN1602"/>
    <s v="C0307"/>
    <s v="B03"/>
    <x v="0"/>
    <n v="3000000"/>
    <n v="0.2394"/>
    <d v="2023-06-08T00:00:00"/>
    <n v="36"/>
    <n v="0"/>
    <n v="4440000"/>
    <x v="0"/>
    <n v="117604.06853308898"/>
    <d v="2026-06-08T00:00:00"/>
    <n v="1.48"/>
    <s v="Secured"/>
    <x v="7"/>
    <n v="322"/>
    <s v="High Risk"/>
    <s v="High Risk Exposure"/>
    <s v="High"/>
  </r>
  <r>
    <s v="LN1603"/>
    <s v="C0345"/>
    <s v="B12"/>
    <x v="1"/>
    <n v="250000"/>
    <n v="0.22209999999999999"/>
    <d v="2021-11-17T00:00:00"/>
    <n v="60"/>
    <n v="0"/>
    <n v="0"/>
    <x v="0"/>
    <n v="6934.6108810528867"/>
    <d v="2026-11-17T00:00:00"/>
    <n v="0"/>
    <s v="Undersecured"/>
    <x v="12"/>
    <n v="349"/>
    <s v="High Risk"/>
    <s v="High Risk Exposure"/>
    <s v="High"/>
  </r>
  <r>
    <s v="LN1604"/>
    <s v="C0286"/>
    <s v="B07"/>
    <x v="3"/>
    <n v="3000000"/>
    <n v="0.1603"/>
    <d v="2025-11-25T00:00:00"/>
    <n v="60"/>
    <n v="120"/>
    <n v="3810000"/>
    <x v="1"/>
    <n v="73001.999894064589"/>
    <d v="2030-11-25T00:00:00"/>
    <n v="1.27"/>
    <s v="Secured"/>
    <x v="0"/>
    <n v="422"/>
    <s v="High Risk"/>
    <s v="High Risk Exposure"/>
    <s v="Critical"/>
  </r>
  <r>
    <s v="LN1605"/>
    <s v="C0420"/>
    <s v="B05"/>
    <x v="3"/>
    <n v="3000000"/>
    <n v="0.1273"/>
    <d v="2023-08-18T00:00:00"/>
    <n v="72"/>
    <n v="120"/>
    <n v="3420000"/>
    <x v="1"/>
    <n v="59795.653489450371"/>
    <d v="2029-08-18T00:00:00"/>
    <n v="1.1399999999999999"/>
    <s v="Secured"/>
    <x v="4"/>
    <n v="732"/>
    <s v="Low Risk"/>
    <s v="High Risk Exposure"/>
    <s v="Critical"/>
  </r>
  <r>
    <s v="LN1606"/>
    <s v="C0246"/>
    <s v="B15"/>
    <x v="2"/>
    <n v="25000000"/>
    <n v="0.1128"/>
    <d v="2021-01-20T00:00:00"/>
    <n v="48"/>
    <n v="0"/>
    <n v="26500000"/>
    <x v="0"/>
    <n v="649542.74070398405"/>
    <d v="2025-01-20T00:00:00"/>
    <n v="1.06"/>
    <s v="Secured"/>
    <x v="9"/>
    <n v="404"/>
    <s v="High Risk"/>
    <s v="High Risk Exposure"/>
    <s v="High"/>
  </r>
  <r>
    <s v="LN1607"/>
    <s v="C0379"/>
    <s v="B05"/>
    <x v="2"/>
    <n v="80000000"/>
    <n v="0.1288"/>
    <d v="2020-05-05T00:00:00"/>
    <n v="36"/>
    <n v="10"/>
    <n v="92000000"/>
    <x v="0"/>
    <n v="2690894.5265646866"/>
    <d v="2023-05-05T00:00:00"/>
    <n v="1.1499999999999999"/>
    <s v="Secured"/>
    <x v="4"/>
    <n v="603"/>
    <s v="Medium Risk"/>
    <s v="Normal"/>
    <s v="Normal"/>
  </r>
  <r>
    <s v="LN1608"/>
    <s v="C0113"/>
    <s v="B10"/>
    <x v="2"/>
    <n v="25000000"/>
    <n v="0.1343"/>
    <d v="2020-12-02T00:00:00"/>
    <n v="24"/>
    <n v="120"/>
    <n v="18500000"/>
    <x v="1"/>
    <n v="1193601.1722619908"/>
    <d v="2022-12-02T00:00:00"/>
    <n v="0.74"/>
    <s v="Undersecured"/>
    <x v="3"/>
    <n v="825"/>
    <s v="Prime"/>
    <s v="High Risk Exposure"/>
    <s v="Critical"/>
  </r>
  <r>
    <s v="LN1609"/>
    <s v="C0081"/>
    <s v="B13"/>
    <x v="0"/>
    <n v="1000000"/>
    <n v="0.1867"/>
    <d v="2024-08-05T00:00:00"/>
    <n v="60"/>
    <n v="0"/>
    <n v="560000"/>
    <x v="0"/>
    <n v="25759.310784870664"/>
    <d v="2029-08-05T00:00:00"/>
    <n v="0.56000000000000005"/>
    <s v="Undersecured"/>
    <x v="2"/>
    <n v="609"/>
    <s v="Medium Risk"/>
    <s v="High Risk Exposure"/>
    <s v="High"/>
  </r>
  <r>
    <s v="LN1610"/>
    <s v="C0506"/>
    <s v="B04"/>
    <x v="2"/>
    <n v="6000000"/>
    <n v="9.1999999999999998E-2"/>
    <d v="2022-02-08T00:00:00"/>
    <n v="48"/>
    <n v="45"/>
    <n v="6060000"/>
    <x v="2"/>
    <n v="149880.70568602809"/>
    <d v="2026-02-08T00:00:00"/>
    <n v="1.01"/>
    <s v="Secured"/>
    <x v="14"/>
    <n v="377"/>
    <s v="High Risk"/>
    <s v="High Risk Exposure"/>
    <s v="High"/>
  </r>
  <r>
    <s v="LN1611"/>
    <s v="C0693"/>
    <s v="B07"/>
    <x v="0"/>
    <n v="3000000"/>
    <n v="0.21729999999999999"/>
    <d v="2025-06-02T00:00:00"/>
    <n v="72"/>
    <n v="0"/>
    <n v="3900000"/>
    <x v="0"/>
    <n v="74898.33672191044"/>
    <d v="2031-06-02T00:00:00"/>
    <n v="1.3"/>
    <s v="Secured"/>
    <x v="0"/>
    <n v="459"/>
    <s v="High Risk"/>
    <s v="High Risk Exposure"/>
    <s v="High"/>
  </r>
  <r>
    <s v="LN1612"/>
    <s v="C0651"/>
    <s v="B03"/>
    <x v="3"/>
    <n v="3000000"/>
    <n v="0.1399"/>
    <d v="2025-08-24T00:00:00"/>
    <n v="12"/>
    <n v="20"/>
    <n v="2730000"/>
    <x v="0"/>
    <n v="269347.23747745086"/>
    <d v="2026-08-24T00:00:00"/>
    <n v="0.91"/>
    <s v="Undersecured"/>
    <x v="7"/>
    <n v="600"/>
    <s v="Medium Risk"/>
    <s v="High Risk Exposure"/>
    <s v="High"/>
  </r>
  <r>
    <s v="LN1613"/>
    <s v="C0254"/>
    <s v="B08"/>
    <x v="1"/>
    <n v="500000"/>
    <n v="0.161"/>
    <d v="2024-08-13T00:00:00"/>
    <n v="36"/>
    <n v="120"/>
    <n v="0"/>
    <x v="1"/>
    <n v="17603.211601880492"/>
    <d v="2027-08-13T00:00:00"/>
    <n v="0"/>
    <s v="Undersecured"/>
    <x v="5"/>
    <n v="850"/>
    <s v="Prime"/>
    <s v="High Risk Exposure"/>
    <s v="Critical"/>
  </r>
  <r>
    <s v="LN1614"/>
    <s v="C0116"/>
    <s v="B14"/>
    <x v="3"/>
    <n v="1000000"/>
    <n v="0.17280000000000001"/>
    <d v="2021-03-13T00:00:00"/>
    <n v="60"/>
    <n v="0"/>
    <n v="1190000"/>
    <x v="0"/>
    <n v="25003.378443616024"/>
    <d v="2026-03-13T00:00:00"/>
    <n v="1.19"/>
    <s v="Secured"/>
    <x v="13"/>
    <n v="587"/>
    <s v="Medium Risk"/>
    <s v="Normal"/>
    <s v="Normal"/>
  </r>
  <r>
    <s v="LN1615"/>
    <s v="C0445"/>
    <s v="B06"/>
    <x v="0"/>
    <n v="25000000"/>
    <n v="0.17230000000000001"/>
    <d v="2022-03-15T00:00:00"/>
    <n v="12"/>
    <n v="90"/>
    <n v="24000000"/>
    <x v="2"/>
    <n v="2282848.4575780896"/>
    <d v="2023-03-15T00:00:00"/>
    <n v="0.96"/>
    <s v="Undersecured"/>
    <x v="6"/>
    <n v="468"/>
    <s v="High Risk"/>
    <s v="High Risk Exposure"/>
    <s v="High"/>
  </r>
  <r>
    <s v="LN1616"/>
    <s v="C0337"/>
    <s v="B10"/>
    <x v="1"/>
    <n v="500000"/>
    <n v="0.2712"/>
    <d v="2023-08-12T00:00:00"/>
    <n v="72"/>
    <n v="120"/>
    <n v="0"/>
    <x v="1"/>
    <n v="14126.246326582028"/>
    <d v="2029-08-12T00:00:00"/>
    <n v="0"/>
    <s v="Undersecured"/>
    <x v="3"/>
    <n v="539"/>
    <s v="High Risk"/>
    <s v="High Risk Exposure"/>
    <s v="Critical"/>
  </r>
  <r>
    <s v="LN1617"/>
    <s v="C0157"/>
    <s v="B06"/>
    <x v="0"/>
    <n v="6000000"/>
    <n v="0.15759999999999999"/>
    <d v="2022-01-09T00:00:00"/>
    <n v="12"/>
    <n v="0"/>
    <n v="7620000"/>
    <x v="0"/>
    <n v="543703.94313209387"/>
    <d v="2023-01-09T00:00:00"/>
    <n v="1.27"/>
    <s v="Secured"/>
    <x v="6"/>
    <n v="306"/>
    <s v="High Risk"/>
    <s v="High Risk Exposure"/>
    <s v="High"/>
  </r>
  <r>
    <s v="LN1618"/>
    <s v="C0452"/>
    <s v="B10"/>
    <x v="0"/>
    <n v="1000000"/>
    <n v="0.161"/>
    <d v="2020-07-20T00:00:00"/>
    <n v="24"/>
    <n v="5"/>
    <n v="630000"/>
    <x v="0"/>
    <n v="49010.904885459036"/>
    <d v="2022-07-20T00:00:00"/>
    <n v="0.63"/>
    <s v="Undersecured"/>
    <x v="3"/>
    <n v="578"/>
    <s v="High Risk"/>
    <s v="High Risk Exposure"/>
    <s v="High"/>
  </r>
  <r>
    <s v="LN1619"/>
    <s v="C0589"/>
    <s v="B07"/>
    <x v="1"/>
    <n v="1000000"/>
    <n v="0.1666"/>
    <d v="2024-03-15T00:00:00"/>
    <n v="48"/>
    <n v="5"/>
    <n v="0"/>
    <x v="0"/>
    <n v="28679.438737851684"/>
    <d v="2028-03-15T00:00:00"/>
    <n v="0"/>
    <s v="Undersecured"/>
    <x v="0"/>
    <n v="498"/>
    <s v="High Risk"/>
    <s v="High Risk Exposure"/>
    <s v="High"/>
  </r>
  <r>
    <s v="LN1620"/>
    <s v="C0219"/>
    <s v="B06"/>
    <x v="0"/>
    <n v="1000000"/>
    <n v="0.22370000000000001"/>
    <d v="2025-05-09T00:00:00"/>
    <n v="24"/>
    <n v="120"/>
    <n v="1100000"/>
    <x v="1"/>
    <n v="52061.052484653497"/>
    <d v="2027-05-09T00:00:00"/>
    <n v="1.1000000000000001"/>
    <s v="Secured"/>
    <x v="6"/>
    <n v="402"/>
    <s v="High Risk"/>
    <s v="High Risk Exposure"/>
    <s v="Critical"/>
  </r>
  <r>
    <s v="LN1621"/>
    <s v="C0348"/>
    <s v="B06"/>
    <x v="3"/>
    <n v="6000000"/>
    <n v="0.15340000000000001"/>
    <d v="2020-07-22T00:00:00"/>
    <n v="60"/>
    <n v="120"/>
    <n v="6300000"/>
    <x v="1"/>
    <n v="143812.63558513721"/>
    <d v="2025-07-22T00:00:00"/>
    <n v="1.05"/>
    <s v="Secured"/>
    <x v="6"/>
    <n v="532"/>
    <s v="High Risk"/>
    <s v="High Risk Exposure"/>
    <s v="Critical"/>
  </r>
  <r>
    <s v="LN1622"/>
    <s v="C0615"/>
    <s v="B11"/>
    <x v="2"/>
    <n v="25000000"/>
    <n v="0.128"/>
    <d v="2025-03-25T00:00:00"/>
    <n v="36"/>
    <n v="10"/>
    <n v="21500000"/>
    <x v="0"/>
    <n v="839942.50662439235"/>
    <d v="2028-03-25T00:00:00"/>
    <n v="0.86"/>
    <s v="Undersecured"/>
    <x v="10"/>
    <n v="763"/>
    <s v="Very Low Risk"/>
    <s v="High Risk Exposure"/>
    <s v="High"/>
  </r>
  <r>
    <s v="LN1623"/>
    <s v="C0218"/>
    <s v="B10"/>
    <x v="0"/>
    <n v="1000000"/>
    <n v="0.1956"/>
    <d v="2025-11-05T00:00:00"/>
    <n v="36"/>
    <n v="10"/>
    <n v="1000000"/>
    <x v="0"/>
    <n v="36939.771378982077"/>
    <d v="2028-11-05T00:00:00"/>
    <n v="1"/>
    <s v="Secured"/>
    <x v="3"/>
    <n v="304"/>
    <s v="High Risk"/>
    <s v="High Risk Exposure"/>
    <s v="High"/>
  </r>
  <r>
    <s v="LN1624"/>
    <s v="C0392"/>
    <s v="B04"/>
    <x v="3"/>
    <n v="3000000"/>
    <n v="0.19689999999999999"/>
    <d v="2023-04-12T00:00:00"/>
    <n v="36"/>
    <n v="10"/>
    <n v="3510000"/>
    <x v="0"/>
    <n v="111017.4556542346"/>
    <d v="2026-04-12T00:00:00"/>
    <n v="1.17"/>
    <s v="Secured"/>
    <x v="14"/>
    <n v="311"/>
    <s v="High Risk"/>
    <s v="High Risk Exposure"/>
    <s v="High"/>
  </r>
  <r>
    <s v="LN1625"/>
    <s v="C0428"/>
    <s v="B14"/>
    <x v="2"/>
    <n v="80000000"/>
    <n v="9.1300000000000006E-2"/>
    <d v="2024-12-19T00:00:00"/>
    <n v="72"/>
    <n v="10"/>
    <n v="86400000"/>
    <x v="0"/>
    <n v="1447209.9935613053"/>
    <d v="2030-12-19T00:00:00"/>
    <n v="1.08"/>
    <s v="Secured"/>
    <x v="13"/>
    <n v="847"/>
    <s v="Prime"/>
    <s v="Normal"/>
    <s v="Normal"/>
  </r>
  <r>
    <s v="LN1626"/>
    <s v="C0476"/>
    <s v="B05"/>
    <x v="3"/>
    <n v="1000000"/>
    <n v="0.1318"/>
    <d v="2023-03-01T00:00:00"/>
    <n v="12"/>
    <n v="120"/>
    <n v="560000"/>
    <x v="1"/>
    <n v="89401.747323262403"/>
    <d v="2024-03-01T00:00:00"/>
    <n v="0.56000000000000005"/>
    <s v="Undersecured"/>
    <x v="4"/>
    <n v="625"/>
    <s v="Medium Risk"/>
    <s v="High Risk Exposure"/>
    <s v="Critical"/>
  </r>
  <r>
    <s v="LN1627"/>
    <s v="C0375"/>
    <s v="B05"/>
    <x v="1"/>
    <n v="100000"/>
    <n v="0.16009999999999999"/>
    <d v="2022-12-06T00:00:00"/>
    <n v="60"/>
    <n v="10"/>
    <n v="0"/>
    <x v="0"/>
    <n v="2432.3370760029666"/>
    <d v="2027-12-06T00:00:00"/>
    <n v="0"/>
    <s v="Undersecured"/>
    <x v="4"/>
    <n v="411"/>
    <s v="High Risk"/>
    <s v="High Risk Exposure"/>
    <s v="High"/>
  </r>
  <r>
    <s v="LN1628"/>
    <s v="C0603"/>
    <s v="B12"/>
    <x v="1"/>
    <n v="500000"/>
    <n v="0.19450000000000001"/>
    <d v="2020-11-03T00:00:00"/>
    <n v="24"/>
    <n v="0"/>
    <n v="0"/>
    <x v="0"/>
    <n v="25313.760324138668"/>
    <d v="2022-11-03T00:00:00"/>
    <n v="0"/>
    <s v="Undersecured"/>
    <x v="12"/>
    <n v="802"/>
    <s v="Prime"/>
    <s v="High Risk Exposure"/>
    <s v="High"/>
  </r>
  <r>
    <s v="LN1629"/>
    <s v="C0206"/>
    <s v="B04"/>
    <x v="1"/>
    <n v="1000000"/>
    <n v="0.24299999999999999"/>
    <d v="2023-04-28T00:00:00"/>
    <n v="24"/>
    <n v="45"/>
    <n v="0"/>
    <x v="2"/>
    <n v="53020.948194343844"/>
    <d v="2025-04-28T00:00:00"/>
    <n v="0"/>
    <s v="Undersecured"/>
    <x v="14"/>
    <n v="715"/>
    <s v="Low Risk"/>
    <s v="High Risk Exposure"/>
    <s v="High"/>
  </r>
  <r>
    <s v="LN1630"/>
    <s v="C0371"/>
    <s v="B03"/>
    <x v="2"/>
    <n v="6000000"/>
    <n v="0.1143"/>
    <d v="2021-11-09T00:00:00"/>
    <n v="48"/>
    <n v="90"/>
    <n v="7380000"/>
    <x v="2"/>
    <n v="156329.04041043913"/>
    <d v="2025-11-09T00:00:00"/>
    <n v="1.23"/>
    <s v="Secured"/>
    <x v="7"/>
    <n v="625"/>
    <s v="Medium Risk"/>
    <s v="High Risk Exposure"/>
    <s v="High"/>
  </r>
  <r>
    <s v="LN1631"/>
    <s v="C0406"/>
    <s v="B05"/>
    <x v="3"/>
    <n v="6000000"/>
    <n v="0.12759999999999999"/>
    <d v="2024-10-04T00:00:00"/>
    <n v="48"/>
    <n v="5"/>
    <n v="7020000"/>
    <x v="0"/>
    <n v="160251.18674947659"/>
    <d v="2028-10-04T00:00:00"/>
    <n v="1.17"/>
    <s v="Secured"/>
    <x v="4"/>
    <n v="314"/>
    <s v="High Risk"/>
    <s v="High Risk Exposure"/>
    <s v="High"/>
  </r>
  <r>
    <s v="LN1632"/>
    <s v="C0125"/>
    <s v="B06"/>
    <x v="3"/>
    <n v="3000000"/>
    <n v="0.16869999999999999"/>
    <d v="2021-09-14T00:00:00"/>
    <n v="48"/>
    <n v="120"/>
    <n v="2370000"/>
    <x v="1"/>
    <n v="86363.486309557047"/>
    <d v="2025-09-14T00:00:00"/>
    <n v="0.79"/>
    <s v="Undersecured"/>
    <x v="6"/>
    <n v="810"/>
    <s v="Prime"/>
    <s v="High Risk Exposure"/>
    <s v="Critical"/>
  </r>
  <r>
    <s v="LN1633"/>
    <s v="C0172"/>
    <s v="B06"/>
    <x v="3"/>
    <n v="6000000"/>
    <n v="0.1273"/>
    <d v="2020-04-12T00:00:00"/>
    <n v="60"/>
    <n v="10"/>
    <n v="4860000"/>
    <x v="0"/>
    <n v="135690.57833346588"/>
    <d v="2025-04-12T00:00:00"/>
    <n v="0.81"/>
    <s v="Undersecured"/>
    <x v="6"/>
    <n v="446"/>
    <s v="High Risk"/>
    <s v="High Risk Exposure"/>
    <s v="High"/>
  </r>
  <r>
    <s v="LN1634"/>
    <s v="C0176"/>
    <s v="B12"/>
    <x v="2"/>
    <n v="80000000"/>
    <n v="0.10390000000000001"/>
    <d v="2023-08-18T00:00:00"/>
    <n v="60"/>
    <n v="5"/>
    <n v="55200000"/>
    <x v="0"/>
    <n v="1715155.913186959"/>
    <d v="2028-08-18T00:00:00"/>
    <n v="0.69"/>
    <s v="Undersecured"/>
    <x v="12"/>
    <n v="769"/>
    <s v="Very Low Risk"/>
    <s v="High Risk Exposure"/>
    <s v="High"/>
  </r>
  <r>
    <s v="LN1635"/>
    <s v="C0568"/>
    <s v="B15"/>
    <x v="1"/>
    <n v="1000000"/>
    <n v="0.2089"/>
    <d v="2023-03-19T00:00:00"/>
    <n v="24"/>
    <n v="0"/>
    <n v="0"/>
    <x v="0"/>
    <n v="51331.637526411141"/>
    <d v="2025-03-19T00:00:00"/>
    <n v="0"/>
    <s v="Undersecured"/>
    <x v="9"/>
    <n v="724"/>
    <s v="Low Risk"/>
    <s v="High Risk Exposure"/>
    <s v="High"/>
  </r>
  <r>
    <s v="LN1636"/>
    <s v="C0697"/>
    <s v="B06"/>
    <x v="0"/>
    <n v="25000000"/>
    <n v="0.21870000000000001"/>
    <d v="2020-07-06T00:00:00"/>
    <n v="60"/>
    <n v="5"/>
    <n v="28000000"/>
    <x v="0"/>
    <n v="688626.2266116828"/>
    <d v="2025-07-06T00:00:00"/>
    <n v="1.1200000000000001"/>
    <s v="Secured"/>
    <x v="6"/>
    <n v="389"/>
    <s v="High Risk"/>
    <s v="High Risk Exposure"/>
    <s v="High"/>
  </r>
  <r>
    <s v="LN1637"/>
    <s v="C0419"/>
    <s v="B04"/>
    <x v="1"/>
    <n v="250000"/>
    <n v="0.21560000000000001"/>
    <d v="2024-06-01T00:00:00"/>
    <n v="48"/>
    <n v="45"/>
    <n v="0"/>
    <x v="2"/>
    <n v="7816.9224201528814"/>
    <d v="2028-06-01T00:00:00"/>
    <n v="0"/>
    <s v="Undersecured"/>
    <x v="14"/>
    <n v="775"/>
    <s v="Very Low Risk"/>
    <s v="High Risk Exposure"/>
    <s v="High"/>
  </r>
  <r>
    <s v="LN1638"/>
    <s v="C0674"/>
    <s v="B03"/>
    <x v="2"/>
    <n v="80000000"/>
    <n v="0.11849999999999999"/>
    <d v="2021-01-25T00:00:00"/>
    <n v="72"/>
    <n v="20"/>
    <n v="55200000"/>
    <x v="0"/>
    <n v="1557782.1152111248"/>
    <d v="2027-01-25T00:00:00"/>
    <n v="0.69"/>
    <s v="Undersecured"/>
    <x v="7"/>
    <n v="445"/>
    <s v="High Risk"/>
    <s v="High Risk Exposure"/>
    <s v="High"/>
  </r>
  <r>
    <s v="LN1639"/>
    <s v="C0244"/>
    <s v="B10"/>
    <x v="2"/>
    <n v="6000000"/>
    <n v="9.0800000000000006E-2"/>
    <d v="2024-06-09T00:00:00"/>
    <n v="36"/>
    <n v="90"/>
    <n v="7620000"/>
    <x v="2"/>
    <n v="191021.8725760589"/>
    <d v="2027-06-09T00:00:00"/>
    <n v="1.27"/>
    <s v="Secured"/>
    <x v="3"/>
    <n v="671"/>
    <s v="Low Risk"/>
    <s v="High Risk Exposure"/>
    <s v="High"/>
  </r>
  <r>
    <s v="LN1640"/>
    <s v="C0076"/>
    <s v="B09"/>
    <x v="2"/>
    <n v="25000000"/>
    <n v="9.7500000000000003E-2"/>
    <d v="2020-06-18T00:00:00"/>
    <n v="36"/>
    <n v="5"/>
    <n v="22000000"/>
    <x v="0"/>
    <n v="803748.52536121651"/>
    <d v="2023-06-18T00:00:00"/>
    <n v="0.88"/>
    <s v="Undersecured"/>
    <x v="8"/>
    <n v="434"/>
    <s v="High Risk"/>
    <s v="High Risk Exposure"/>
    <s v="High"/>
  </r>
  <r>
    <s v="LN1641"/>
    <s v="C0456"/>
    <s v="B02"/>
    <x v="3"/>
    <n v="500000"/>
    <n v="0.1699"/>
    <d v="2024-06-13T00:00:00"/>
    <n v="60"/>
    <n v="45"/>
    <n v="400000"/>
    <x v="2"/>
    <n v="12423.599566288252"/>
    <d v="2029-06-13T00:00:00"/>
    <n v="0.8"/>
    <s v="Undersecured"/>
    <x v="11"/>
    <n v="688"/>
    <s v="Low Risk"/>
    <s v="High Risk Exposure"/>
    <s v="High"/>
  </r>
  <r>
    <s v="LN1642"/>
    <s v="C0064"/>
    <s v="B12"/>
    <x v="2"/>
    <n v="25000000"/>
    <n v="0.1077"/>
    <d v="2025-08-27T00:00:00"/>
    <n v="60"/>
    <n v="20"/>
    <n v="19750000"/>
    <x v="0"/>
    <n v="540697.39824162028"/>
    <d v="2030-08-27T00:00:00"/>
    <n v="0.79"/>
    <s v="Undersecured"/>
    <x v="12"/>
    <n v="628"/>
    <s v="Medium Risk"/>
    <s v="High Risk Exposure"/>
    <s v="High"/>
  </r>
  <r>
    <s v="LN1643"/>
    <s v="C0497"/>
    <s v="B09"/>
    <x v="2"/>
    <n v="25000000"/>
    <n v="0.13850000000000001"/>
    <d v="2022-05-23T00:00:00"/>
    <n v="60"/>
    <n v="45"/>
    <n v="35250000"/>
    <x v="2"/>
    <n v="579763.9608894632"/>
    <d v="2027-05-23T00:00:00"/>
    <n v="1.41"/>
    <s v="Secured"/>
    <x v="8"/>
    <n v="426"/>
    <s v="High Risk"/>
    <s v="High Risk Exposure"/>
    <s v="High"/>
  </r>
  <r>
    <s v="LN1644"/>
    <s v="C0696"/>
    <s v="B10"/>
    <x v="1"/>
    <n v="500000"/>
    <n v="0.2233"/>
    <d v="2023-11-02T00:00:00"/>
    <n v="48"/>
    <n v="0"/>
    <n v="0"/>
    <x v="0"/>
    <n v="15842.752887954259"/>
    <d v="2027-11-02T00:00:00"/>
    <n v="0"/>
    <s v="Undersecured"/>
    <x v="3"/>
    <n v="719"/>
    <s v="Low Risk"/>
    <s v="High Risk Exposure"/>
    <s v="High"/>
  </r>
  <r>
    <s v="LN1645"/>
    <s v="C0517"/>
    <s v="B10"/>
    <x v="0"/>
    <n v="1000000"/>
    <n v="0.17199999999999999"/>
    <d v="2020-03-18T00:00:00"/>
    <n v="48"/>
    <n v="0"/>
    <n v="690000"/>
    <x v="0"/>
    <n v="28958.619188605899"/>
    <d v="2024-03-18T00:00:00"/>
    <n v="0.69"/>
    <s v="Undersecured"/>
    <x v="3"/>
    <n v="430"/>
    <s v="High Risk"/>
    <s v="High Risk Exposure"/>
    <s v="High"/>
  </r>
  <r>
    <s v="LN1646"/>
    <s v="C0437"/>
    <s v="B02"/>
    <x v="1"/>
    <n v="1000000"/>
    <n v="0.26989999999999997"/>
    <d v="2022-01-09T00:00:00"/>
    <n v="72"/>
    <n v="0"/>
    <n v="0"/>
    <x v="0"/>
    <n v="28171.01551589587"/>
    <d v="2028-01-09T00:00:00"/>
    <n v="0"/>
    <s v="Undersecured"/>
    <x v="11"/>
    <n v="695"/>
    <s v="Low Risk"/>
    <s v="High Risk Exposure"/>
    <s v="High"/>
  </r>
  <r>
    <s v="LN1647"/>
    <s v="C0539"/>
    <s v="B04"/>
    <x v="3"/>
    <n v="3000000"/>
    <n v="0.1865"/>
    <d v="2020-10-08T00:00:00"/>
    <n v="36"/>
    <n v="0"/>
    <n v="3240000"/>
    <x v="0"/>
    <n v="109437.90748234895"/>
    <d v="2023-10-08T00:00:00"/>
    <n v="1.08"/>
    <s v="Secured"/>
    <x v="14"/>
    <n v="714"/>
    <s v="Low Risk"/>
    <s v="Normal"/>
    <s v="Normal"/>
  </r>
  <r>
    <s v="LN1648"/>
    <s v="C0027"/>
    <s v="B10"/>
    <x v="1"/>
    <n v="100000"/>
    <n v="0.17560000000000001"/>
    <d v="2022-06-09T00:00:00"/>
    <n v="48"/>
    <n v="0"/>
    <n v="0"/>
    <x v="0"/>
    <n v="2914.5580453090238"/>
    <d v="2026-06-09T00:00:00"/>
    <n v="0"/>
    <s v="Undersecured"/>
    <x v="3"/>
    <n v="798"/>
    <s v="Very Low Risk"/>
    <s v="High Risk Exposure"/>
    <s v="High"/>
  </r>
  <r>
    <s v="LN1649"/>
    <s v="C0140"/>
    <s v="B15"/>
    <x v="2"/>
    <n v="80000000"/>
    <n v="0.1328"/>
    <d v="2023-09-26T00:00:00"/>
    <n v="48"/>
    <n v="10"/>
    <n v="70400000"/>
    <x v="0"/>
    <n v="2157334.0328895571"/>
    <d v="2027-09-26T00:00:00"/>
    <n v="0.88"/>
    <s v="Undersecured"/>
    <x v="9"/>
    <n v="511"/>
    <s v="High Risk"/>
    <s v="High Risk Exposure"/>
    <s v="High"/>
  </r>
  <r>
    <s v="LN1650"/>
    <s v="C0245"/>
    <s v="B01"/>
    <x v="1"/>
    <n v="100000"/>
    <n v="0.23799999999999999"/>
    <d v="2023-07-01T00:00:00"/>
    <n v="24"/>
    <n v="90"/>
    <n v="0"/>
    <x v="2"/>
    <n v="5277.1328203922967"/>
    <d v="2025-07-01T00:00:00"/>
    <n v="0"/>
    <s v="Undersecured"/>
    <x v="1"/>
    <n v="366"/>
    <s v="High Risk"/>
    <s v="High Risk Exposure"/>
    <s v="High"/>
  </r>
  <r>
    <s v="LN1651"/>
    <s v="C0183"/>
    <s v="B04"/>
    <x v="2"/>
    <n v="80000000"/>
    <n v="0.114"/>
    <d v="2025-12-17T00:00:00"/>
    <n v="36"/>
    <n v="5"/>
    <n v="101600000"/>
    <x v="0"/>
    <n v="2634277.3913178709"/>
    <d v="2028-12-17T00:00:00"/>
    <n v="1.27"/>
    <s v="Secured"/>
    <x v="14"/>
    <n v="561"/>
    <s v="High Risk"/>
    <s v="High Risk Exposure"/>
    <s v="High"/>
  </r>
  <r>
    <s v="LN1652"/>
    <s v="C0611"/>
    <s v="B05"/>
    <x v="3"/>
    <n v="3000000"/>
    <n v="0.13300000000000001"/>
    <d v="2020-07-24T00:00:00"/>
    <n v="48"/>
    <n v="0"/>
    <n v="2550000"/>
    <x v="0"/>
    <n v="80929.898248582787"/>
    <d v="2024-07-24T00:00:00"/>
    <n v="0.85"/>
    <s v="Undersecured"/>
    <x v="4"/>
    <n v="402"/>
    <s v="High Risk"/>
    <s v="High Risk Exposure"/>
    <s v="High"/>
  </r>
  <r>
    <s v="LN1653"/>
    <s v="C0323"/>
    <s v="B11"/>
    <x v="3"/>
    <n v="6000000"/>
    <n v="0.151"/>
    <d v="2020-03-01T00:00:00"/>
    <n v="12"/>
    <n v="90"/>
    <n v="8040000"/>
    <x v="2"/>
    <n v="541833.0368731292"/>
    <d v="2021-03-01T00:00:00"/>
    <n v="1.34"/>
    <s v="Secured"/>
    <x v="10"/>
    <n v="580"/>
    <s v="Medium Risk"/>
    <s v="High Risk Exposure"/>
    <s v="High"/>
  </r>
  <r>
    <s v="LN1654"/>
    <s v="C0423"/>
    <s v="B04"/>
    <x v="3"/>
    <n v="500000"/>
    <n v="0.15870000000000001"/>
    <d v="2022-11-27T00:00:00"/>
    <n v="24"/>
    <n v="0"/>
    <n v="480000"/>
    <x v="0"/>
    <n v="24450.509036269315"/>
    <d v="2024-11-27T00:00:00"/>
    <n v="0.96"/>
    <s v="Undersecured"/>
    <x v="14"/>
    <n v="708"/>
    <s v="Low Risk"/>
    <s v="High Risk Exposure"/>
    <s v="High"/>
  </r>
  <r>
    <s v="LN1655"/>
    <s v="C0128"/>
    <s v="B04"/>
    <x v="0"/>
    <n v="6000000"/>
    <n v="0.14929999999999999"/>
    <d v="2024-07-13T00:00:00"/>
    <n v="36"/>
    <n v="120"/>
    <n v="8640000"/>
    <x v="1"/>
    <n v="207786.35414154432"/>
    <d v="2027-07-13T00:00:00"/>
    <n v="1.44"/>
    <s v="Secured"/>
    <x v="14"/>
    <n v="308"/>
    <s v="High Risk"/>
    <s v="High Risk Exposure"/>
    <s v="Critical"/>
  </r>
  <r>
    <s v="LN1656"/>
    <s v="C0361"/>
    <s v="B07"/>
    <x v="1"/>
    <n v="250000"/>
    <n v="0.26519999999999999"/>
    <d v="2023-09-03T00:00:00"/>
    <n v="36"/>
    <n v="45"/>
    <n v="0"/>
    <x v="2"/>
    <n v="10142.034215883619"/>
    <d v="2026-09-03T00:00:00"/>
    <n v="0"/>
    <s v="Undersecured"/>
    <x v="0"/>
    <n v="545"/>
    <s v="High Risk"/>
    <s v="High Risk Exposure"/>
    <s v="High"/>
  </r>
  <r>
    <s v="LN1657"/>
    <s v="C0190"/>
    <s v="B08"/>
    <x v="0"/>
    <n v="6000000"/>
    <n v="0.1671"/>
    <d v="2024-03-21T00:00:00"/>
    <n v="60"/>
    <n v="20"/>
    <n v="4500000"/>
    <x v="0"/>
    <n v="148181.46441169773"/>
    <d v="2029-03-21T00:00:00"/>
    <n v="0.75"/>
    <s v="Undersecured"/>
    <x v="5"/>
    <n v="359"/>
    <s v="High Risk"/>
    <s v="High Risk Exposure"/>
    <s v="High"/>
  </r>
  <r>
    <s v="LN1658"/>
    <s v="C0133"/>
    <s v="B06"/>
    <x v="2"/>
    <n v="6000000"/>
    <n v="0.111"/>
    <d v="2024-11-07T00:00:00"/>
    <n v="24"/>
    <n v="0"/>
    <n v="5640000"/>
    <x v="0"/>
    <n v="279925.67517781036"/>
    <d v="2026-11-07T00:00:00"/>
    <n v="0.94"/>
    <s v="Undersecured"/>
    <x v="6"/>
    <n v="325"/>
    <s v="High Risk"/>
    <s v="High Risk Exposure"/>
    <s v="High"/>
  </r>
  <r>
    <s v="LN1659"/>
    <s v="C0478"/>
    <s v="B09"/>
    <x v="0"/>
    <n v="6000000"/>
    <n v="0.1852"/>
    <d v="2021-04-25T00:00:00"/>
    <n v="48"/>
    <n v="10"/>
    <n v="6660000"/>
    <x v="0"/>
    <n v="177884.51631155499"/>
    <d v="2025-04-25T00:00:00"/>
    <n v="1.1100000000000001"/>
    <s v="Secured"/>
    <x v="8"/>
    <n v="343"/>
    <s v="High Risk"/>
    <s v="High Risk Exposure"/>
    <s v="High"/>
  </r>
  <r>
    <s v="LN1660"/>
    <s v="C0176"/>
    <s v="B08"/>
    <x v="2"/>
    <n v="6000000"/>
    <n v="0.13239999999999999"/>
    <d v="2021-02-23T00:00:00"/>
    <n v="48"/>
    <n v="10"/>
    <n v="8400000"/>
    <x v="0"/>
    <n v="161680.60265572526"/>
    <d v="2025-02-23T00:00:00"/>
    <n v="1.4"/>
    <s v="Secured"/>
    <x v="5"/>
    <n v="769"/>
    <s v="Very Low Risk"/>
    <s v="Normal"/>
    <s v="Normal"/>
  </r>
  <r>
    <s v="LN1661"/>
    <s v="C0626"/>
    <s v="B09"/>
    <x v="2"/>
    <n v="25000000"/>
    <n v="0.13059999999999999"/>
    <d v="2022-06-15T00:00:00"/>
    <n v="72"/>
    <n v="10"/>
    <n v="14250000"/>
    <x v="0"/>
    <n v="502644.65777376585"/>
    <d v="2028-06-15T00:00:00"/>
    <n v="0.56999999999999995"/>
    <s v="Undersecured"/>
    <x v="8"/>
    <n v="795"/>
    <s v="Very Low Risk"/>
    <s v="High Risk Exposure"/>
    <s v="High"/>
  </r>
  <r>
    <s v="LN1662"/>
    <s v="C0443"/>
    <s v="B04"/>
    <x v="3"/>
    <n v="1000000"/>
    <n v="0.18870000000000001"/>
    <d v="2020-01-22T00:00:00"/>
    <n v="60"/>
    <n v="0"/>
    <n v="840000"/>
    <x v="0"/>
    <n v="25869.072580449218"/>
    <d v="2025-01-22T00:00:00"/>
    <n v="0.84"/>
    <s v="Undersecured"/>
    <x v="14"/>
    <n v="654"/>
    <s v="Medium Risk"/>
    <s v="High Risk Exposure"/>
    <s v="High"/>
  </r>
  <r>
    <s v="LN1663"/>
    <s v="C0679"/>
    <s v="B10"/>
    <x v="1"/>
    <n v="1000000"/>
    <n v="0.1714"/>
    <d v="2021-06-25T00:00:00"/>
    <n v="36"/>
    <n v="0"/>
    <n v="0"/>
    <x v="0"/>
    <n v="35722.442225671075"/>
    <d v="2024-06-25T00:00:00"/>
    <n v="0"/>
    <s v="Undersecured"/>
    <x v="3"/>
    <n v="514"/>
    <s v="High Risk"/>
    <s v="High Risk Exposure"/>
    <s v="High"/>
  </r>
  <r>
    <s v="LN1664"/>
    <s v="C0204"/>
    <s v="B05"/>
    <x v="2"/>
    <n v="6000000"/>
    <n v="9.6299999999999997E-2"/>
    <d v="2023-11-23T00:00:00"/>
    <n v="12"/>
    <n v="10"/>
    <n v="7680000"/>
    <x v="0"/>
    <n v="526463.37990544282"/>
    <d v="2024-11-23T00:00:00"/>
    <n v="1.28"/>
    <s v="Secured"/>
    <x v="4"/>
    <n v="304"/>
    <s v="High Risk"/>
    <s v="High Risk Exposure"/>
    <s v="High"/>
  </r>
  <r>
    <s v="LN1665"/>
    <s v="C0607"/>
    <s v="B01"/>
    <x v="1"/>
    <n v="1000000"/>
    <n v="0.2172"/>
    <d v="2024-10-08T00:00:00"/>
    <n v="12"/>
    <n v="120"/>
    <n v="0"/>
    <x v="1"/>
    <n v="93459.675250776621"/>
    <d v="2025-10-08T00:00:00"/>
    <n v="0"/>
    <s v="Undersecured"/>
    <x v="1"/>
    <n v="504"/>
    <s v="High Risk"/>
    <s v="High Risk Exposure"/>
    <s v="Critical"/>
  </r>
  <r>
    <s v="LN1666"/>
    <s v="C0114"/>
    <s v="B12"/>
    <x v="0"/>
    <n v="6000000"/>
    <n v="0.22900000000000001"/>
    <d v="2020-02-25T00:00:00"/>
    <n v="72"/>
    <n v="45"/>
    <n v="4020000"/>
    <x v="2"/>
    <n v="153978.63655761001"/>
    <d v="2026-02-25T00:00:00"/>
    <n v="0.67"/>
    <s v="Undersecured"/>
    <x v="12"/>
    <n v="496"/>
    <s v="High Risk"/>
    <s v="High Risk Exposure"/>
    <s v="High"/>
  </r>
  <r>
    <s v="LN1667"/>
    <s v="C0307"/>
    <s v="B15"/>
    <x v="3"/>
    <n v="6000000"/>
    <n v="0.13170000000000001"/>
    <d v="2020-05-05T00:00:00"/>
    <n v="48"/>
    <n v="10"/>
    <n v="9000000"/>
    <x v="0"/>
    <n v="161471.68823357314"/>
    <d v="2024-05-05T00:00:00"/>
    <n v="1.5"/>
    <s v="Secured"/>
    <x v="9"/>
    <n v="322"/>
    <s v="High Risk"/>
    <s v="High Risk Exposure"/>
    <s v="High"/>
  </r>
  <r>
    <s v="LN1668"/>
    <s v="C0269"/>
    <s v="B12"/>
    <x v="1"/>
    <n v="100000"/>
    <n v="0.26129999999999998"/>
    <d v="2021-11-07T00:00:00"/>
    <n v="60"/>
    <n v="5"/>
    <n v="0"/>
    <x v="0"/>
    <n v="3001.747943037883"/>
    <d v="2026-11-07T00:00:00"/>
    <n v="0"/>
    <s v="Undersecured"/>
    <x v="12"/>
    <n v="844"/>
    <s v="Prime"/>
    <s v="High Risk Exposure"/>
    <s v="High"/>
  </r>
  <r>
    <s v="LN1669"/>
    <s v="C0466"/>
    <s v="B05"/>
    <x v="0"/>
    <n v="6000000"/>
    <n v="0.15529999999999999"/>
    <d v="2024-12-06T00:00:00"/>
    <n v="60"/>
    <n v="0"/>
    <n v="7140000"/>
    <x v="0"/>
    <n v="144414.22709810993"/>
    <d v="2029-12-06T00:00:00"/>
    <n v="1.19"/>
    <s v="Secured"/>
    <x v="4"/>
    <n v="368"/>
    <s v="High Risk"/>
    <s v="High Risk Exposure"/>
    <s v="High"/>
  </r>
  <r>
    <s v="LN1670"/>
    <s v="C0507"/>
    <s v="B04"/>
    <x v="3"/>
    <n v="500000"/>
    <n v="0.14050000000000001"/>
    <d v="2023-07-09T00:00:00"/>
    <n v="60"/>
    <n v="0"/>
    <n v="460000"/>
    <x v="0"/>
    <n v="11647.09041880796"/>
    <d v="2028-07-09T00:00:00"/>
    <n v="0.92"/>
    <s v="Undersecured"/>
    <x v="14"/>
    <n v="734"/>
    <s v="Low Risk"/>
    <s v="High Risk Exposure"/>
    <s v="High"/>
  </r>
  <r>
    <s v="LN1671"/>
    <s v="C0571"/>
    <s v="B06"/>
    <x v="2"/>
    <n v="6000000"/>
    <n v="0.1024"/>
    <d v="2025-11-08T00:00:00"/>
    <n v="48"/>
    <n v="20"/>
    <n v="4320000"/>
    <x v="0"/>
    <n v="152867.98455499756"/>
    <d v="2029-11-08T00:00:00"/>
    <n v="0.72"/>
    <s v="Undersecured"/>
    <x v="6"/>
    <n v="593"/>
    <s v="Medium Risk"/>
    <s v="High Risk Exposure"/>
    <s v="High"/>
  </r>
  <r>
    <s v="LN1672"/>
    <s v="C0397"/>
    <s v="B14"/>
    <x v="1"/>
    <n v="250000"/>
    <n v="0.24199999999999999"/>
    <d v="2025-01-27T00:00:00"/>
    <n v="24"/>
    <n v="0"/>
    <n v="0"/>
    <x v="0"/>
    <n v="13242.742893964645"/>
    <d v="2027-01-27T00:00:00"/>
    <n v="0"/>
    <s v="Undersecured"/>
    <x v="13"/>
    <n v="333"/>
    <s v="High Risk"/>
    <s v="High Risk Exposure"/>
    <s v="High"/>
  </r>
  <r>
    <s v="LN1673"/>
    <s v="C0424"/>
    <s v="B09"/>
    <x v="3"/>
    <n v="3000000"/>
    <n v="0.17660000000000001"/>
    <d v="2025-07-24T00:00:00"/>
    <n v="12"/>
    <n v="0"/>
    <n v="2880000"/>
    <x v="0"/>
    <n v="274554.780198875"/>
    <d v="2026-07-24T00:00:00"/>
    <n v="0.96"/>
    <s v="Undersecured"/>
    <x v="8"/>
    <n v="668"/>
    <s v="Medium Risk"/>
    <s v="High Risk Exposure"/>
    <s v="High"/>
  </r>
  <r>
    <s v="LN1674"/>
    <s v="C0516"/>
    <s v="B02"/>
    <x v="1"/>
    <n v="1000000"/>
    <n v="0.20549999999999999"/>
    <d v="2025-07-18T00:00:00"/>
    <n v="60"/>
    <n v="0"/>
    <n v="0"/>
    <x v="0"/>
    <n v="26800.839566547042"/>
    <d v="2030-07-18T00:00:00"/>
    <n v="0"/>
    <s v="Undersecured"/>
    <x v="11"/>
    <n v="631"/>
    <s v="Medium Risk"/>
    <s v="High Risk Exposure"/>
    <s v="High"/>
  </r>
  <r>
    <s v="LN1675"/>
    <s v="C0172"/>
    <s v="B14"/>
    <x v="0"/>
    <n v="6000000"/>
    <n v="0.1968"/>
    <d v="2020-03-06T00:00:00"/>
    <n v="72"/>
    <n v="0"/>
    <n v="7680000"/>
    <x v="0"/>
    <n v="142606.19469261955"/>
    <d v="2026-03-06T00:00:00"/>
    <n v="1.28"/>
    <s v="Secured"/>
    <x v="13"/>
    <n v="446"/>
    <s v="High Risk"/>
    <s v="High Risk Exposure"/>
    <s v="High"/>
  </r>
  <r>
    <s v="LN1676"/>
    <s v="C0177"/>
    <s v="B14"/>
    <x v="2"/>
    <n v="6000000"/>
    <n v="0.13220000000000001"/>
    <d v="2022-10-13T00:00:00"/>
    <n v="36"/>
    <n v="20"/>
    <n v="3180000"/>
    <x v="0"/>
    <n v="202800.09213890255"/>
    <d v="2025-10-13T00:00:00"/>
    <n v="0.53"/>
    <s v="Undersecured"/>
    <x v="13"/>
    <n v="734"/>
    <s v="Low Risk"/>
    <s v="High Risk Exposure"/>
    <s v="High"/>
  </r>
  <r>
    <s v="LN1677"/>
    <s v="C0342"/>
    <s v="B05"/>
    <x v="3"/>
    <n v="500000"/>
    <n v="0.14660000000000001"/>
    <d v="2023-05-20T00:00:00"/>
    <n v="12"/>
    <n v="90"/>
    <n v="430000"/>
    <x v="2"/>
    <n v="45048.977237379841"/>
    <d v="2024-05-20T00:00:00"/>
    <n v="0.86"/>
    <s v="Undersecured"/>
    <x v="4"/>
    <n v="477"/>
    <s v="High Risk"/>
    <s v="High Risk Exposure"/>
    <s v="High"/>
  </r>
  <r>
    <s v="LN1678"/>
    <s v="C0202"/>
    <s v="B15"/>
    <x v="0"/>
    <n v="1000000"/>
    <n v="0.21099999999999999"/>
    <d v="2024-11-02T00:00:00"/>
    <n v="48"/>
    <n v="5"/>
    <n v="1450000"/>
    <x v="0"/>
    <n v="31019.506632385182"/>
    <d v="2028-11-02T00:00:00"/>
    <n v="1.45"/>
    <s v="Secured"/>
    <x v="9"/>
    <n v="336"/>
    <s v="High Risk"/>
    <s v="High Risk Exposure"/>
    <s v="High"/>
  </r>
  <r>
    <s v="LN1679"/>
    <s v="C0595"/>
    <s v="B14"/>
    <x v="0"/>
    <n v="6000000"/>
    <n v="0.1424"/>
    <d v="2023-04-01T00:00:00"/>
    <n v="72"/>
    <n v="10"/>
    <n v="4680000"/>
    <x v="0"/>
    <n v="124406.82994834031"/>
    <d v="2029-04-01T00:00:00"/>
    <n v="0.78"/>
    <s v="Undersecured"/>
    <x v="13"/>
    <n v="490"/>
    <s v="High Risk"/>
    <s v="High Risk Exposure"/>
    <s v="High"/>
  </r>
  <r>
    <s v="LN1680"/>
    <s v="C0689"/>
    <s v="B07"/>
    <x v="0"/>
    <n v="1000000"/>
    <n v="0.17580000000000001"/>
    <d v="2020-05-03T00:00:00"/>
    <n v="24"/>
    <n v="0"/>
    <n v="1380000"/>
    <x v="0"/>
    <n v="49721.403551155898"/>
    <d v="2022-05-03T00:00:00"/>
    <n v="1.38"/>
    <s v="Secured"/>
    <x v="0"/>
    <n v="823"/>
    <s v="Prime"/>
    <s v="Normal"/>
    <s v="Normal"/>
  </r>
  <r>
    <s v="LN1681"/>
    <s v="C0362"/>
    <s v="B14"/>
    <x v="2"/>
    <n v="6000000"/>
    <n v="0.1268"/>
    <d v="2023-04-24T00:00:00"/>
    <n v="48"/>
    <n v="0"/>
    <n v="4140000"/>
    <x v="0"/>
    <n v="160013.66621054924"/>
    <d v="2027-04-24T00:00:00"/>
    <n v="0.69"/>
    <s v="Undersecured"/>
    <x v="13"/>
    <n v="848"/>
    <s v="Prime"/>
    <s v="High Risk Exposure"/>
    <s v="High"/>
  </r>
  <r>
    <s v="LN1682"/>
    <s v="C0323"/>
    <s v="B07"/>
    <x v="3"/>
    <n v="6000000"/>
    <n v="0.1628"/>
    <d v="2021-11-12T00:00:00"/>
    <n v="72"/>
    <n v="0"/>
    <n v="8760000"/>
    <x v="0"/>
    <n v="131077.7617550664"/>
    <d v="2027-11-12T00:00:00"/>
    <n v="1.46"/>
    <s v="Secured"/>
    <x v="0"/>
    <n v="580"/>
    <s v="Medium Risk"/>
    <s v="Normal"/>
    <s v="Normal"/>
  </r>
  <r>
    <s v="LN1683"/>
    <s v="C0606"/>
    <s v="B09"/>
    <x v="1"/>
    <n v="250000"/>
    <n v="0.1799"/>
    <d v="2020-04-07T00:00:00"/>
    <n v="72"/>
    <n v="0"/>
    <n v="0"/>
    <x v="0"/>
    <n v="5700.5345812750393"/>
    <d v="2026-04-07T00:00:00"/>
    <n v="0"/>
    <s v="Undersecured"/>
    <x v="8"/>
    <n v="597"/>
    <s v="Medium Risk"/>
    <s v="High Risk Exposure"/>
    <s v="High"/>
  </r>
  <r>
    <s v="LN1684"/>
    <s v="C0560"/>
    <s v="B06"/>
    <x v="3"/>
    <n v="6000000"/>
    <n v="0.1699"/>
    <d v="2022-06-16T00:00:00"/>
    <n v="72"/>
    <n v="0"/>
    <n v="4680000"/>
    <x v="0"/>
    <n v="133443.30962794347"/>
    <d v="2028-06-16T00:00:00"/>
    <n v="0.78"/>
    <s v="Undersecured"/>
    <x v="6"/>
    <n v="464"/>
    <s v="High Risk"/>
    <s v="High Risk Exposure"/>
    <s v="High"/>
  </r>
  <r>
    <s v="LN1685"/>
    <s v="C0309"/>
    <s v="B07"/>
    <x v="0"/>
    <n v="3000000"/>
    <n v="0.17319999999999999"/>
    <d v="2025-09-20T00:00:00"/>
    <n v="24"/>
    <n v="0"/>
    <n v="3930000"/>
    <x v="0"/>
    <n v="148788.48145362755"/>
    <d v="2027-09-20T00:00:00"/>
    <n v="1.31"/>
    <s v="Secured"/>
    <x v="0"/>
    <n v="659"/>
    <s v="Medium Risk"/>
    <s v="Normal"/>
    <s v="Normal"/>
  </r>
  <r>
    <s v="LN1686"/>
    <s v="C0322"/>
    <s v="B05"/>
    <x v="2"/>
    <n v="6000000"/>
    <n v="9.6100000000000005E-2"/>
    <d v="2022-10-07T00:00:00"/>
    <n v="48"/>
    <n v="90"/>
    <n v="3180000"/>
    <x v="2"/>
    <n v="151054.19410474281"/>
    <d v="2026-10-07T00:00:00"/>
    <n v="0.53"/>
    <s v="Undersecured"/>
    <x v="4"/>
    <n v="425"/>
    <s v="High Risk"/>
    <s v="High Risk Exposure"/>
    <s v="High"/>
  </r>
  <r>
    <s v="LN1687"/>
    <s v="C0179"/>
    <s v="B03"/>
    <x v="1"/>
    <n v="500000"/>
    <n v="0.27510000000000001"/>
    <d v="2022-07-06T00:00:00"/>
    <n v="12"/>
    <n v="45"/>
    <n v="0"/>
    <x v="2"/>
    <n v="48133.207798218929"/>
    <d v="2023-07-06T00:00:00"/>
    <n v="0"/>
    <s v="Undersecured"/>
    <x v="7"/>
    <n v="811"/>
    <s v="Prime"/>
    <s v="High Risk Exposure"/>
    <s v="High"/>
  </r>
  <r>
    <s v="LN1688"/>
    <s v="C0124"/>
    <s v="B15"/>
    <x v="0"/>
    <n v="25000000"/>
    <n v="0.15010000000000001"/>
    <d v="2022-08-17T00:00:00"/>
    <n v="60"/>
    <n v="5"/>
    <n v="36750000"/>
    <x v="0"/>
    <n v="594879.48829061922"/>
    <d v="2027-08-17T00:00:00"/>
    <n v="1.47"/>
    <s v="Secured"/>
    <x v="9"/>
    <n v="748"/>
    <s v="Very Low Risk"/>
    <s v="Normal"/>
    <s v="Normal"/>
  </r>
  <r>
    <s v="LN1689"/>
    <s v="C0424"/>
    <s v="B03"/>
    <x v="0"/>
    <n v="3000000"/>
    <n v="0.17910000000000001"/>
    <d v="2025-08-27T00:00:00"/>
    <n v="72"/>
    <n v="0"/>
    <n v="1560000"/>
    <x v="0"/>
    <n v="68270.827292775546"/>
    <d v="2031-08-27T00:00:00"/>
    <n v="0.52"/>
    <s v="Undersecured"/>
    <x v="7"/>
    <n v="668"/>
    <s v="Medium Risk"/>
    <s v="High Risk Exposure"/>
    <s v="High"/>
  </r>
  <r>
    <s v="LN1690"/>
    <s v="C0570"/>
    <s v="B09"/>
    <x v="1"/>
    <n v="1000000"/>
    <n v="0.2492"/>
    <d v="2021-11-25T00:00:00"/>
    <n v="12"/>
    <n v="0"/>
    <n v="0"/>
    <x v="0"/>
    <n v="95005.385791922221"/>
    <d v="2022-11-25T00:00:00"/>
    <n v="0"/>
    <s v="Undersecured"/>
    <x v="8"/>
    <n v="712"/>
    <s v="Low Risk"/>
    <s v="High Risk Exposure"/>
    <s v="High"/>
  </r>
  <r>
    <s v="LN1691"/>
    <s v="C0465"/>
    <s v="B06"/>
    <x v="1"/>
    <n v="250000"/>
    <n v="0.2069"/>
    <d v="2025-01-25T00:00:00"/>
    <n v="24"/>
    <n v="0"/>
    <n v="0"/>
    <x v="0"/>
    <n v="12808.37840877622"/>
    <d v="2027-01-25T00:00:00"/>
    <n v="0"/>
    <s v="Undersecured"/>
    <x v="6"/>
    <n v="358"/>
    <s v="High Risk"/>
    <s v="High Risk Exposure"/>
    <s v="High"/>
  </r>
  <r>
    <s v="LN1692"/>
    <s v="C0575"/>
    <s v="B09"/>
    <x v="2"/>
    <n v="6000000"/>
    <n v="0.1118"/>
    <d v="2021-01-19T00:00:00"/>
    <n v="36"/>
    <n v="0"/>
    <n v="6180000"/>
    <x v="0"/>
    <n v="196944.14607829708"/>
    <d v="2024-01-19T00:00:00"/>
    <n v="1.03"/>
    <s v="Secured"/>
    <x v="8"/>
    <n v="803"/>
    <s v="Prime"/>
    <s v="Normal"/>
    <s v="Normal"/>
  </r>
  <r>
    <s v="LN1693"/>
    <s v="C0087"/>
    <s v="B02"/>
    <x v="0"/>
    <n v="25000000"/>
    <n v="0.23019999999999999"/>
    <d v="2021-06-04T00:00:00"/>
    <n v="24"/>
    <n v="45"/>
    <n v="26000000"/>
    <x v="2"/>
    <n v="1309580.9002583767"/>
    <d v="2023-06-04T00:00:00"/>
    <n v="1.04"/>
    <s v="Secured"/>
    <x v="11"/>
    <n v="549"/>
    <s v="High Risk"/>
    <s v="High Risk Exposure"/>
    <s v="High"/>
  </r>
  <r>
    <s v="LN1694"/>
    <s v="C0577"/>
    <s v="B09"/>
    <x v="2"/>
    <n v="25000000"/>
    <n v="0.1114"/>
    <d v="2024-02-25T00:00:00"/>
    <n v="12"/>
    <n v="0"/>
    <n v="15500000"/>
    <x v="0"/>
    <n v="2211174.3746279897"/>
    <d v="2025-02-25T00:00:00"/>
    <n v="0.62"/>
    <s v="Undersecured"/>
    <x v="8"/>
    <n v="440"/>
    <s v="High Risk"/>
    <s v="High Risk Exposure"/>
    <s v="High"/>
  </r>
  <r>
    <s v="LN1695"/>
    <s v="C0249"/>
    <s v="B09"/>
    <x v="0"/>
    <n v="3000000"/>
    <n v="0.19919999999999999"/>
    <d v="2022-06-05T00:00:00"/>
    <n v="36"/>
    <n v="45"/>
    <n v="1830000"/>
    <x v="2"/>
    <n v="111368.5013052835"/>
    <d v="2025-06-05T00:00:00"/>
    <n v="0.61"/>
    <s v="Undersecured"/>
    <x v="8"/>
    <n v="424"/>
    <s v="High Risk"/>
    <s v="High Risk Exposure"/>
    <s v="High"/>
  </r>
  <r>
    <s v="LN1696"/>
    <s v="C0332"/>
    <s v="B04"/>
    <x v="3"/>
    <n v="6000000"/>
    <n v="0.16500000000000001"/>
    <d v="2024-10-16T00:00:00"/>
    <n v="12"/>
    <n v="120"/>
    <n v="5940000"/>
    <x v="1"/>
    <n v="545805.81906710344"/>
    <d v="2025-10-16T00:00:00"/>
    <n v="0.99"/>
    <s v="Undersecured"/>
    <x v="14"/>
    <n v="701"/>
    <s v="Low Risk"/>
    <s v="High Risk Exposure"/>
    <s v="Critical"/>
  </r>
  <r>
    <s v="LN1697"/>
    <s v="C0299"/>
    <s v="B09"/>
    <x v="2"/>
    <n v="6000000"/>
    <n v="0.105"/>
    <d v="2024-03-16T00:00:00"/>
    <n v="60"/>
    <n v="0"/>
    <n v="3780000"/>
    <x v="0"/>
    <n v="128963.40226870475"/>
    <d v="2029-03-16T00:00:00"/>
    <n v="0.63"/>
    <s v="Undersecured"/>
    <x v="8"/>
    <n v="550"/>
    <s v="High Risk"/>
    <s v="High Risk Exposure"/>
    <s v="High"/>
  </r>
  <r>
    <s v="LN1698"/>
    <s v="C0469"/>
    <s v="B05"/>
    <x v="1"/>
    <n v="500000"/>
    <n v="0.1656"/>
    <d v="2023-01-23T00:00:00"/>
    <n v="36"/>
    <n v="45"/>
    <n v="0"/>
    <x v="2"/>
    <n v="17717.065713656426"/>
    <d v="2026-01-23T00:00:00"/>
    <n v="0"/>
    <s v="Undersecured"/>
    <x v="4"/>
    <n v="760"/>
    <s v="Very Low Risk"/>
    <s v="High Risk Exposure"/>
    <s v="High"/>
  </r>
  <r>
    <s v="LN1699"/>
    <s v="C0007"/>
    <s v="B08"/>
    <x v="1"/>
    <n v="250000"/>
    <n v="0.2094"/>
    <d v="2021-07-19T00:00:00"/>
    <n v="24"/>
    <n v="10"/>
    <n v="0"/>
    <x v="0"/>
    <n v="12839.046275746467"/>
    <d v="2023-07-19T00:00:00"/>
    <n v="0"/>
    <s v="Undersecured"/>
    <x v="5"/>
    <n v="366"/>
    <s v="High Risk"/>
    <s v="High Risk Exposure"/>
    <s v="High"/>
  </r>
  <r>
    <s v="LN1700"/>
    <s v="C0244"/>
    <s v="B11"/>
    <x v="2"/>
    <n v="6000000"/>
    <n v="9.1600000000000001E-2"/>
    <d v="2020-02-13T00:00:00"/>
    <n v="48"/>
    <n v="0"/>
    <n v="7020000"/>
    <x v="0"/>
    <n v="149766.51136248317"/>
    <d v="2024-02-13T00:00:00"/>
    <n v="1.17"/>
    <s v="Secured"/>
    <x v="10"/>
    <n v="671"/>
    <s v="Low Risk"/>
    <s v="Normal"/>
    <s v="Normal"/>
  </r>
  <r>
    <s v="LN1701"/>
    <s v="C0686"/>
    <s v="B03"/>
    <x v="0"/>
    <n v="1000000"/>
    <n v="0.16189999999999999"/>
    <d v="2022-05-28T00:00:00"/>
    <n v="24"/>
    <n v="0"/>
    <n v="660000"/>
    <x v="0"/>
    <n v="49053.942820000426"/>
    <d v="2024-05-28T00:00:00"/>
    <n v="0.66"/>
    <s v="Undersecured"/>
    <x v="7"/>
    <n v="419"/>
    <s v="High Risk"/>
    <s v="High Risk Exposure"/>
    <s v="High"/>
  </r>
  <r>
    <s v="LN1702"/>
    <s v="C0291"/>
    <s v="B02"/>
    <x v="1"/>
    <n v="500000"/>
    <n v="0.16009999999999999"/>
    <d v="2020-07-02T00:00:00"/>
    <n v="12"/>
    <n v="90"/>
    <n v="0"/>
    <x v="2"/>
    <n v="45367.795064392754"/>
    <d v="2021-07-02T00:00:00"/>
    <n v="0"/>
    <s v="Undersecured"/>
    <x v="11"/>
    <n v="300"/>
    <s v="High Risk"/>
    <s v="High Risk Exposure"/>
    <s v="High"/>
  </r>
  <r>
    <s v="LN1703"/>
    <s v="C0302"/>
    <s v="B09"/>
    <x v="2"/>
    <n v="25000000"/>
    <n v="0.10440000000000001"/>
    <d v="2021-09-08T00:00:00"/>
    <n v="24"/>
    <n v="90"/>
    <n v="21000000"/>
    <x v="2"/>
    <n v="1158706.7954749123"/>
    <d v="2023-09-08T00:00:00"/>
    <n v="0.84"/>
    <s v="Undersecured"/>
    <x v="8"/>
    <n v="333"/>
    <s v="High Risk"/>
    <s v="High Risk Exposure"/>
    <s v="High"/>
  </r>
  <r>
    <s v="LN1704"/>
    <s v="C0399"/>
    <s v="B06"/>
    <x v="2"/>
    <n v="25000000"/>
    <n v="9.4500000000000001E-2"/>
    <d v="2023-09-11T00:00:00"/>
    <n v="24"/>
    <n v="120"/>
    <n v="29750000"/>
    <x v="1"/>
    <n v="1147287.1796999499"/>
    <d v="2025-09-11T00:00:00"/>
    <n v="1.19"/>
    <s v="Secured"/>
    <x v="6"/>
    <n v="472"/>
    <s v="High Risk"/>
    <s v="High Risk Exposure"/>
    <s v="Critical"/>
  </r>
  <r>
    <s v="LN1705"/>
    <s v="C0280"/>
    <s v="B04"/>
    <x v="2"/>
    <n v="25000000"/>
    <n v="0.1095"/>
    <d v="2020-01-26T00:00:00"/>
    <n v="72"/>
    <n v="10"/>
    <n v="23500000"/>
    <x v="0"/>
    <n v="475211.98463297664"/>
    <d v="2026-01-26T00:00:00"/>
    <n v="0.94"/>
    <s v="Undersecured"/>
    <x v="14"/>
    <n v="680"/>
    <s v="Low Risk"/>
    <s v="High Risk Exposure"/>
    <s v="High"/>
  </r>
  <r>
    <s v="LN1706"/>
    <s v="C0358"/>
    <s v="B03"/>
    <x v="0"/>
    <n v="6000000"/>
    <n v="0.1855"/>
    <d v="2025-02-20T00:00:00"/>
    <n v="72"/>
    <n v="0"/>
    <n v="6360000"/>
    <x v="0"/>
    <n v="138718.86054148889"/>
    <d v="2031-02-20T00:00:00"/>
    <n v="1.06"/>
    <s v="Secured"/>
    <x v="7"/>
    <n v="835"/>
    <s v="Prime"/>
    <s v="Normal"/>
    <s v="Normal"/>
  </r>
  <r>
    <s v="LN1707"/>
    <s v="C0355"/>
    <s v="B11"/>
    <x v="0"/>
    <n v="3000000"/>
    <n v="0.15659999999999999"/>
    <d v="2020-07-22T00:00:00"/>
    <n v="12"/>
    <n v="90"/>
    <n v="2040000"/>
    <x v="2"/>
    <n v="271710.12286581798"/>
    <d v="2021-07-22T00:00:00"/>
    <n v="0.68"/>
    <s v="Undersecured"/>
    <x v="10"/>
    <n v="809"/>
    <s v="Prime"/>
    <s v="High Risk Exposure"/>
    <s v="High"/>
  </r>
  <r>
    <s v="LN1708"/>
    <s v="C0134"/>
    <s v="B03"/>
    <x v="3"/>
    <n v="6000000"/>
    <n v="0.14130000000000001"/>
    <d v="2020-12-11T00:00:00"/>
    <n v="12"/>
    <n v="0"/>
    <n v="4080000"/>
    <x v="0"/>
    <n v="539089.77880539047"/>
    <d v="2021-12-11T00:00:00"/>
    <n v="0.68"/>
    <s v="Undersecured"/>
    <x v="7"/>
    <n v="447"/>
    <s v="High Risk"/>
    <s v="High Risk Exposure"/>
    <s v="High"/>
  </r>
  <r>
    <s v="LN1709"/>
    <s v="C0272"/>
    <s v="B12"/>
    <x v="3"/>
    <n v="1000000"/>
    <n v="0.17499999999999999"/>
    <d v="2021-01-16T00:00:00"/>
    <n v="24"/>
    <n v="0"/>
    <n v="700000"/>
    <x v="0"/>
    <n v="49682.847919022199"/>
    <d v="2023-01-16T00:00:00"/>
    <n v="0.7"/>
    <s v="Undersecured"/>
    <x v="12"/>
    <n v="621"/>
    <s v="Medium Risk"/>
    <s v="High Risk Exposure"/>
    <s v="High"/>
  </r>
  <r>
    <s v="LN1710"/>
    <s v="C0190"/>
    <s v="B10"/>
    <x v="2"/>
    <n v="80000000"/>
    <n v="9.4100000000000003E-2"/>
    <d v="2021-07-05T00:00:00"/>
    <n v="60"/>
    <n v="120"/>
    <n v="65600000"/>
    <x v="1"/>
    <n v="1676632.5027918608"/>
    <d v="2026-07-05T00:00:00"/>
    <n v="0.82"/>
    <s v="Undersecured"/>
    <x v="3"/>
    <n v="359"/>
    <s v="High Risk"/>
    <s v="High Risk Exposure"/>
    <s v="Critical"/>
  </r>
  <r>
    <s v="LN1711"/>
    <s v="C0131"/>
    <s v="B10"/>
    <x v="1"/>
    <n v="1000000"/>
    <n v="0.251"/>
    <d v="2021-08-13T00:00:00"/>
    <n v="48"/>
    <n v="0"/>
    <n v="0"/>
    <x v="0"/>
    <n v="33212.926926699787"/>
    <d v="2025-08-13T00:00:00"/>
    <n v="0"/>
    <s v="Undersecured"/>
    <x v="3"/>
    <n v="324"/>
    <s v="High Risk"/>
    <s v="High Risk Exposure"/>
    <s v="High"/>
  </r>
  <r>
    <s v="LN1712"/>
    <s v="C0599"/>
    <s v="B02"/>
    <x v="0"/>
    <n v="1000000"/>
    <n v="0.17510000000000001"/>
    <d v="2021-05-26T00:00:00"/>
    <n v="12"/>
    <n v="0"/>
    <n v="520000"/>
    <x v="0"/>
    <n v="91446.956774507737"/>
    <d v="2022-05-26T00:00:00"/>
    <n v="0.52"/>
    <s v="Undersecured"/>
    <x v="11"/>
    <n v="835"/>
    <s v="Prime"/>
    <s v="High Risk Exposure"/>
    <s v="High"/>
  </r>
  <r>
    <s v="LN1713"/>
    <s v="C0371"/>
    <s v="B12"/>
    <x v="0"/>
    <n v="25000000"/>
    <n v="0.16700000000000001"/>
    <d v="2023-12-17T00:00:00"/>
    <n v="12"/>
    <n v="120"/>
    <n v="37250000"/>
    <x v="1"/>
    <n v="2276561.0580729395"/>
    <d v="2024-12-17T00:00:00"/>
    <n v="1.49"/>
    <s v="Secured"/>
    <x v="12"/>
    <n v="625"/>
    <s v="Medium Risk"/>
    <s v="High Risk Exposure"/>
    <s v="Critical"/>
  </r>
  <r>
    <s v="LN1714"/>
    <s v="C0360"/>
    <s v="B14"/>
    <x v="1"/>
    <n v="100000"/>
    <n v="0.22670000000000001"/>
    <d v="2023-11-24T00:00:00"/>
    <n v="36"/>
    <n v="0"/>
    <n v="0"/>
    <x v="0"/>
    <n v="3853.7934988889979"/>
    <d v="2026-11-24T00:00:00"/>
    <n v="0"/>
    <s v="Undersecured"/>
    <x v="13"/>
    <n v="585"/>
    <s v="Medium Risk"/>
    <s v="High Risk Exposure"/>
    <s v="High"/>
  </r>
  <r>
    <s v="LN1715"/>
    <s v="C0647"/>
    <s v="B08"/>
    <x v="3"/>
    <n v="6000000"/>
    <n v="0.13039999999999999"/>
    <d v="2023-05-07T00:00:00"/>
    <n v="24"/>
    <n v="20"/>
    <n v="3000000"/>
    <x v="0"/>
    <n v="285363.67811012932"/>
    <d v="2025-05-07T00:00:00"/>
    <n v="0.5"/>
    <s v="Undersecured"/>
    <x v="5"/>
    <n v="305"/>
    <s v="High Risk"/>
    <s v="High Risk Exposure"/>
    <s v="High"/>
  </r>
  <r>
    <s v="LN1716"/>
    <s v="C0141"/>
    <s v="B02"/>
    <x v="0"/>
    <n v="6000000"/>
    <n v="0.1817"/>
    <d v="2025-08-20T00:00:00"/>
    <n v="72"/>
    <n v="10"/>
    <n v="4500000"/>
    <x v="0"/>
    <n v="137423.9952176337"/>
    <d v="2031-08-20T00:00:00"/>
    <n v="0.75"/>
    <s v="Undersecured"/>
    <x v="11"/>
    <n v="615"/>
    <s v="Medium Risk"/>
    <s v="High Risk Exposure"/>
    <s v="High"/>
  </r>
  <r>
    <s v="LN1717"/>
    <s v="C0205"/>
    <s v="B15"/>
    <x v="3"/>
    <n v="3000000"/>
    <n v="0.14779999999999999"/>
    <d v="2020-01-13T00:00:00"/>
    <n v="48"/>
    <n v="90"/>
    <n v="4290000"/>
    <x v="2"/>
    <n v="83158.068060487552"/>
    <d v="2024-01-13T00:00:00"/>
    <n v="1.43"/>
    <s v="Secured"/>
    <x v="9"/>
    <n v="771"/>
    <s v="Very Low Risk"/>
    <s v="High Risk Exposure"/>
    <s v="High"/>
  </r>
  <r>
    <s v="LN1718"/>
    <s v="C0221"/>
    <s v="B04"/>
    <x v="0"/>
    <n v="1000000"/>
    <n v="0.21099999999999999"/>
    <d v="2020-12-04T00:00:00"/>
    <n v="24"/>
    <n v="5"/>
    <n v="790000"/>
    <x v="0"/>
    <n v="51434.781961506153"/>
    <d v="2022-12-04T00:00:00"/>
    <n v="0.79"/>
    <s v="Undersecured"/>
    <x v="14"/>
    <n v="522"/>
    <s v="High Risk"/>
    <s v="High Risk Exposure"/>
    <s v="High"/>
  </r>
  <r>
    <s v="LN1719"/>
    <s v="C0653"/>
    <s v="B04"/>
    <x v="1"/>
    <n v="1000000"/>
    <n v="0.18559999999999999"/>
    <d v="2021-03-12T00:00:00"/>
    <n v="60"/>
    <n v="90"/>
    <n v="0"/>
    <x v="2"/>
    <n v="25699.047988506129"/>
    <d v="2026-03-12T00:00:00"/>
    <n v="0"/>
    <s v="Undersecured"/>
    <x v="14"/>
    <n v="755"/>
    <s v="Very Low Risk"/>
    <s v="High Risk Exposure"/>
    <s v="High"/>
  </r>
  <r>
    <s v="LN1720"/>
    <s v="C0311"/>
    <s v="B06"/>
    <x v="2"/>
    <n v="25000000"/>
    <n v="0.1191"/>
    <d v="2025-03-14T00:00:00"/>
    <n v="72"/>
    <n v="90"/>
    <n v="17250000"/>
    <x v="2"/>
    <n v="487585.54475131299"/>
    <d v="2031-03-14T00:00:00"/>
    <n v="0.69"/>
    <s v="Undersecured"/>
    <x v="6"/>
    <n v="370"/>
    <s v="High Risk"/>
    <s v="High Risk Exposure"/>
    <s v="High"/>
  </r>
  <r>
    <s v="LN1721"/>
    <s v="C0575"/>
    <s v="B02"/>
    <x v="0"/>
    <n v="25000000"/>
    <n v="0.19040000000000001"/>
    <d v="2025-01-08T00:00:00"/>
    <n v="48"/>
    <n v="90"/>
    <n v="33000000"/>
    <x v="2"/>
    <n v="748030.74529528269"/>
    <d v="2029-01-08T00:00:00"/>
    <n v="1.32"/>
    <s v="Secured"/>
    <x v="11"/>
    <n v="803"/>
    <s v="Prime"/>
    <s v="High Risk Exposure"/>
    <s v="High"/>
  </r>
  <r>
    <s v="LN1722"/>
    <s v="C0525"/>
    <s v="B07"/>
    <x v="0"/>
    <n v="1000000"/>
    <n v="0.23630000000000001"/>
    <d v="2023-11-12T00:00:00"/>
    <n v="36"/>
    <n v="90"/>
    <n v="530000"/>
    <x v="2"/>
    <n v="39038.845199477342"/>
    <d v="2026-11-12T00:00:00"/>
    <n v="0.53"/>
    <s v="Undersecured"/>
    <x v="0"/>
    <n v="557"/>
    <s v="High Risk"/>
    <s v="High Risk Exposure"/>
    <s v="High"/>
  </r>
  <r>
    <s v="LN1723"/>
    <s v="C0154"/>
    <s v="B15"/>
    <x v="3"/>
    <n v="1000000"/>
    <n v="0.1613"/>
    <d v="2025-07-05T00:00:00"/>
    <n v="72"/>
    <n v="0"/>
    <n v="1020000"/>
    <x v="0"/>
    <n v="21763.478287072285"/>
    <d v="2031-07-05T00:00:00"/>
    <n v="1.02"/>
    <s v="Secured"/>
    <x v="9"/>
    <n v="588"/>
    <s v="Medium Risk"/>
    <s v="Normal"/>
    <s v="Normal"/>
  </r>
  <r>
    <s v="LN1724"/>
    <s v="C0540"/>
    <s v="B14"/>
    <x v="0"/>
    <n v="25000000"/>
    <n v="0.159"/>
    <d v="2021-04-01T00:00:00"/>
    <n v="48"/>
    <n v="0"/>
    <n v="25750000"/>
    <x v="0"/>
    <n v="707227.29280044767"/>
    <d v="2025-04-01T00:00:00"/>
    <n v="1.03"/>
    <s v="Secured"/>
    <x v="13"/>
    <n v="823"/>
    <s v="Prime"/>
    <s v="Normal"/>
    <s v="Normal"/>
  </r>
  <r>
    <s v="LN1725"/>
    <s v="C0260"/>
    <s v="B11"/>
    <x v="2"/>
    <n v="80000000"/>
    <n v="0.1236"/>
    <d v="2020-03-27T00:00:00"/>
    <n v="24"/>
    <n v="0"/>
    <n v="66400000"/>
    <x v="0"/>
    <n v="3779341.2594385082"/>
    <d v="2022-03-27T00:00:00"/>
    <n v="0.83"/>
    <s v="Undersecured"/>
    <x v="10"/>
    <n v="787"/>
    <s v="Very Low Risk"/>
    <s v="High Risk Exposure"/>
    <s v="High"/>
  </r>
  <r>
    <s v="LN1726"/>
    <s v="C0075"/>
    <s v="B03"/>
    <x v="0"/>
    <n v="6000000"/>
    <n v="0.22720000000000001"/>
    <d v="2025-03-24T00:00:00"/>
    <n v="24"/>
    <n v="0"/>
    <n v="3960000"/>
    <x v="0"/>
    <n v="313406.38323591353"/>
    <d v="2027-03-24T00:00:00"/>
    <n v="0.66"/>
    <s v="Undersecured"/>
    <x v="7"/>
    <n v="753"/>
    <s v="Very Low Risk"/>
    <s v="High Risk Exposure"/>
    <s v="High"/>
  </r>
  <r>
    <s v="LN1727"/>
    <s v="C0294"/>
    <s v="B01"/>
    <x v="1"/>
    <n v="1000000"/>
    <n v="0.24970000000000001"/>
    <d v="2020-12-21T00:00:00"/>
    <n v="36"/>
    <n v="0"/>
    <n v="0"/>
    <x v="0"/>
    <n v="39743.960995869173"/>
    <d v="2023-12-21T00:00:00"/>
    <n v="0"/>
    <s v="Undersecured"/>
    <x v="1"/>
    <n v="804"/>
    <s v="Prime"/>
    <s v="High Risk Exposure"/>
    <s v="High"/>
  </r>
  <r>
    <s v="LN1728"/>
    <s v="C0116"/>
    <s v="B04"/>
    <x v="0"/>
    <n v="3000000"/>
    <n v="0.2079"/>
    <d v="2025-05-19T00:00:00"/>
    <n v="48"/>
    <n v="0"/>
    <n v="3030000"/>
    <x v="0"/>
    <n v="92558.564697989277"/>
    <d v="2029-05-19T00:00:00"/>
    <n v="1.01"/>
    <s v="Secured"/>
    <x v="14"/>
    <n v="587"/>
    <s v="Medium Risk"/>
    <s v="Normal"/>
    <s v="Normal"/>
  </r>
  <r>
    <s v="LN1729"/>
    <s v="C0108"/>
    <s v="B07"/>
    <x v="3"/>
    <n v="6000000"/>
    <n v="0.1978"/>
    <d v="2023-08-28T00:00:00"/>
    <n v="72"/>
    <n v="10"/>
    <n v="4680000"/>
    <x v="0"/>
    <n v="142952.84000170318"/>
    <d v="2029-08-28T00:00:00"/>
    <n v="0.78"/>
    <s v="Undersecured"/>
    <x v="0"/>
    <n v="833"/>
    <s v="Prime"/>
    <s v="High Risk Exposure"/>
    <s v="High"/>
  </r>
  <r>
    <s v="LN1730"/>
    <s v="C0610"/>
    <s v="B03"/>
    <x v="0"/>
    <n v="1000000"/>
    <n v="0.19370000000000001"/>
    <d v="2025-12-05T00:00:00"/>
    <n v="24"/>
    <n v="0"/>
    <n v="1250000"/>
    <x v="0"/>
    <n v="50588.564990638442"/>
    <d v="2027-12-05T00:00:00"/>
    <n v="1.25"/>
    <s v="Secured"/>
    <x v="7"/>
    <n v="318"/>
    <s v="High Risk"/>
    <s v="High Risk Exposure"/>
    <s v="High"/>
  </r>
  <r>
    <s v="LN1731"/>
    <s v="C0100"/>
    <s v="B08"/>
    <x v="2"/>
    <n v="80000000"/>
    <n v="0.1114"/>
    <d v="2025-09-14T00:00:00"/>
    <n v="48"/>
    <n v="0"/>
    <n v="86400000"/>
    <x v="0"/>
    <n v="2073085.0793323508"/>
    <d v="2029-09-14T00:00:00"/>
    <n v="1.08"/>
    <s v="Secured"/>
    <x v="5"/>
    <n v="554"/>
    <s v="High Risk"/>
    <s v="High Risk Exposure"/>
    <s v="High"/>
  </r>
  <r>
    <s v="LN1732"/>
    <s v="C0152"/>
    <s v="B01"/>
    <x v="0"/>
    <n v="1000000"/>
    <n v="0.15659999999999999"/>
    <d v="2022-02-10T00:00:00"/>
    <n v="24"/>
    <n v="0"/>
    <n v="570000"/>
    <x v="0"/>
    <n v="48800.811002074639"/>
    <d v="2024-02-10T00:00:00"/>
    <n v="0.56999999999999995"/>
    <s v="Undersecured"/>
    <x v="1"/>
    <n v="831"/>
    <s v="Prime"/>
    <s v="High Risk Exposure"/>
    <s v="High"/>
  </r>
  <r>
    <s v="LN1733"/>
    <s v="C0200"/>
    <s v="B04"/>
    <x v="2"/>
    <n v="25000000"/>
    <n v="0.1182"/>
    <d v="2021-03-08T00:00:00"/>
    <n v="48"/>
    <n v="0"/>
    <n v="18250000"/>
    <x v="0"/>
    <n v="656138.5923381442"/>
    <d v="2025-03-08T00:00:00"/>
    <n v="0.73"/>
    <s v="Undersecured"/>
    <x v="14"/>
    <n v="635"/>
    <s v="Medium Risk"/>
    <s v="High Risk Exposure"/>
    <s v="High"/>
  </r>
  <r>
    <s v="LN1734"/>
    <s v="C0269"/>
    <s v="B05"/>
    <x v="2"/>
    <n v="6000000"/>
    <n v="0.1018"/>
    <d v="2020-12-05T00:00:00"/>
    <n v="24"/>
    <n v="45"/>
    <n v="3840000"/>
    <x v="2"/>
    <n v="277368.2959281251"/>
    <d v="2022-12-05T00:00:00"/>
    <n v="0.64"/>
    <s v="Undersecured"/>
    <x v="4"/>
    <n v="844"/>
    <s v="Prime"/>
    <s v="High Risk Exposure"/>
    <s v="High"/>
  </r>
  <r>
    <s v="LN1735"/>
    <s v="C0508"/>
    <s v="B15"/>
    <x v="2"/>
    <n v="80000000"/>
    <n v="0.12859999999999999"/>
    <d v="2020-02-15T00:00:00"/>
    <n v="48"/>
    <n v="0"/>
    <n v="116000000"/>
    <x v="0"/>
    <n v="2140645.0009456878"/>
    <d v="2024-02-15T00:00:00"/>
    <n v="1.45"/>
    <s v="Secured"/>
    <x v="9"/>
    <n v="842"/>
    <s v="Prime"/>
    <s v="Normal"/>
    <s v="Normal"/>
  </r>
  <r>
    <s v="LN1736"/>
    <s v="C0350"/>
    <s v="B04"/>
    <x v="1"/>
    <n v="100000"/>
    <n v="0.22289999999999999"/>
    <d v="2020-04-15T00:00:00"/>
    <n v="36"/>
    <n v="20"/>
    <n v="0"/>
    <x v="0"/>
    <n v="3834.064217016276"/>
    <d v="2023-04-15T00:00:00"/>
    <n v="0"/>
    <s v="Undersecured"/>
    <x v="14"/>
    <n v="488"/>
    <s v="High Risk"/>
    <s v="High Risk Exposure"/>
    <s v="High"/>
  </r>
  <r>
    <s v="LN1737"/>
    <s v="C0265"/>
    <s v="B10"/>
    <x v="3"/>
    <n v="6000000"/>
    <n v="0.1421"/>
    <d v="2021-02-05T00:00:00"/>
    <n v="48"/>
    <n v="5"/>
    <n v="5640000"/>
    <x v="0"/>
    <n v="164591.61396255967"/>
    <d v="2025-02-05T00:00:00"/>
    <n v="0.94"/>
    <s v="Undersecured"/>
    <x v="3"/>
    <n v="834"/>
    <s v="Prime"/>
    <s v="High Risk Exposure"/>
    <s v="High"/>
  </r>
  <r>
    <s v="LN1738"/>
    <s v="C0446"/>
    <s v="B03"/>
    <x v="0"/>
    <n v="6000000"/>
    <n v="0.1406"/>
    <d v="2024-10-08T00:00:00"/>
    <n v="12"/>
    <n v="10"/>
    <n v="4440000"/>
    <x v="0"/>
    <n v="538892.10699526116"/>
    <d v="2025-10-08T00:00:00"/>
    <n v="0.74"/>
    <s v="Undersecured"/>
    <x v="7"/>
    <n v="751"/>
    <s v="Very Low Risk"/>
    <s v="High Risk Exposure"/>
    <s v="High"/>
  </r>
  <r>
    <s v="LN1739"/>
    <s v="C0658"/>
    <s v="B06"/>
    <x v="3"/>
    <n v="500000"/>
    <n v="0.14130000000000001"/>
    <d v="2021-06-05T00:00:00"/>
    <n v="60"/>
    <n v="5"/>
    <n v="390000"/>
    <x v="0"/>
    <n v="11667.851305500893"/>
    <d v="2026-06-05T00:00:00"/>
    <n v="0.78"/>
    <s v="Undersecured"/>
    <x v="6"/>
    <n v="333"/>
    <s v="High Risk"/>
    <s v="High Risk Exposure"/>
    <s v="High"/>
  </r>
  <r>
    <s v="LN1740"/>
    <s v="C0606"/>
    <s v="B02"/>
    <x v="0"/>
    <n v="6000000"/>
    <n v="0.17510000000000001"/>
    <d v="2020-09-03T00:00:00"/>
    <n v="36"/>
    <n v="0"/>
    <n v="5220000"/>
    <x v="0"/>
    <n v="215442.37666796992"/>
    <d v="2023-09-03T00:00:00"/>
    <n v="0.87"/>
    <s v="Undersecured"/>
    <x v="11"/>
    <n v="597"/>
    <s v="Medium Risk"/>
    <s v="High Risk Exposure"/>
    <s v="High"/>
  </r>
  <r>
    <s v="LN1741"/>
    <s v="C0357"/>
    <s v="B02"/>
    <x v="1"/>
    <n v="100000"/>
    <n v="0.27539999999999998"/>
    <d v="2023-05-13T00:00:00"/>
    <n v="36"/>
    <n v="120"/>
    <n v="0"/>
    <x v="1"/>
    <n v="4111.5468481100743"/>
    <d v="2026-05-13T00:00:00"/>
    <n v="0"/>
    <s v="Undersecured"/>
    <x v="11"/>
    <n v="510"/>
    <s v="High Risk"/>
    <s v="High Risk Exposure"/>
    <s v="Critical"/>
  </r>
  <r>
    <s v="LN1742"/>
    <s v="C0586"/>
    <s v="B11"/>
    <x v="0"/>
    <n v="6000000"/>
    <n v="0.18959999999999999"/>
    <d v="2022-08-21T00:00:00"/>
    <n v="60"/>
    <n v="0"/>
    <n v="6480000"/>
    <x v="0"/>
    <n v="155511.27933468329"/>
    <d v="2027-08-21T00:00:00"/>
    <n v="1.08"/>
    <s v="Secured"/>
    <x v="10"/>
    <n v="416"/>
    <s v="High Risk"/>
    <s v="High Risk Exposure"/>
    <s v="High"/>
  </r>
  <r>
    <s v="LN1743"/>
    <s v="C0550"/>
    <s v="B12"/>
    <x v="2"/>
    <n v="25000000"/>
    <n v="0.11260000000000001"/>
    <d v="2024-06-27T00:00:00"/>
    <n v="72"/>
    <n v="0"/>
    <n v="32500000"/>
    <x v="0"/>
    <n v="479187.85172225011"/>
    <d v="2030-06-27T00:00:00"/>
    <n v="1.3"/>
    <s v="Secured"/>
    <x v="12"/>
    <n v="565"/>
    <s v="High Risk"/>
    <s v="High Risk Exposure"/>
    <s v="High"/>
  </r>
  <r>
    <s v="LN1744"/>
    <s v="C0397"/>
    <s v="B07"/>
    <x v="1"/>
    <n v="500000"/>
    <n v="0.27950000000000003"/>
    <d v="2022-09-17T00:00:00"/>
    <n v="48"/>
    <n v="120"/>
    <n v="0"/>
    <x v="1"/>
    <n v="17411.771168883202"/>
    <d v="2026-09-17T00:00:00"/>
    <n v="0"/>
    <s v="Undersecured"/>
    <x v="0"/>
    <n v="333"/>
    <s v="High Risk"/>
    <s v="High Risk Exposure"/>
    <s v="Critical"/>
  </r>
  <r>
    <s v="LN1745"/>
    <s v="C0270"/>
    <s v="B03"/>
    <x v="2"/>
    <n v="25000000"/>
    <n v="0.1148"/>
    <d v="2022-02-25T00:00:00"/>
    <n v="36"/>
    <n v="45"/>
    <n v="15750000"/>
    <x v="2"/>
    <n v="824162.38447784865"/>
    <d v="2025-02-25T00:00:00"/>
    <n v="0.63"/>
    <s v="Undersecured"/>
    <x v="7"/>
    <n v="639"/>
    <s v="Medium Risk"/>
    <s v="High Risk Exposure"/>
    <s v="High"/>
  </r>
  <r>
    <s v="LN1746"/>
    <s v="C0525"/>
    <s v="B14"/>
    <x v="3"/>
    <n v="500000"/>
    <n v="0.1885"/>
    <d v="2023-06-03T00:00:00"/>
    <n v="36"/>
    <n v="120"/>
    <n v="480000"/>
    <x v="1"/>
    <n v="18290.112405703654"/>
    <d v="2026-06-03T00:00:00"/>
    <n v="0.96"/>
    <s v="Undersecured"/>
    <x v="13"/>
    <n v="557"/>
    <s v="High Risk"/>
    <s v="High Risk Exposure"/>
    <s v="Critical"/>
  </r>
  <r>
    <s v="LN1747"/>
    <s v="C0539"/>
    <s v="B15"/>
    <x v="1"/>
    <n v="250000"/>
    <n v="0.18179999999999999"/>
    <d v="2022-04-16T00:00:00"/>
    <n v="60"/>
    <n v="10"/>
    <n v="0"/>
    <x v="0"/>
    <n v="6372.8621559008216"/>
    <d v="2027-04-16T00:00:00"/>
    <n v="0"/>
    <s v="Undersecured"/>
    <x v="9"/>
    <n v="714"/>
    <s v="Low Risk"/>
    <s v="High Risk Exposure"/>
    <s v="High"/>
  </r>
  <r>
    <s v="LN1748"/>
    <s v="C0331"/>
    <s v="B11"/>
    <x v="0"/>
    <n v="6000000"/>
    <n v="0.19689999999999999"/>
    <d v="2022-04-11T00:00:00"/>
    <n v="24"/>
    <n v="120"/>
    <n v="5160000"/>
    <x v="1"/>
    <n v="304466.94010093116"/>
    <d v="2024-04-11T00:00:00"/>
    <n v="0.86"/>
    <s v="Undersecured"/>
    <x v="10"/>
    <n v="769"/>
    <s v="Very Low Risk"/>
    <s v="High Risk Exposure"/>
    <s v="Critical"/>
  </r>
  <r>
    <s v="LN1749"/>
    <s v="C0590"/>
    <s v="B09"/>
    <x v="0"/>
    <n v="6000000"/>
    <n v="0.16689999999999999"/>
    <d v="2025-10-26T00:00:00"/>
    <n v="24"/>
    <n v="20"/>
    <n v="5160000"/>
    <x v="0"/>
    <n v="295760.63442901487"/>
    <d v="2027-10-26T00:00:00"/>
    <n v="0.86"/>
    <s v="Undersecured"/>
    <x v="8"/>
    <n v="369"/>
    <s v="High Risk"/>
    <s v="High Risk Exposure"/>
    <s v="High"/>
  </r>
  <r>
    <s v="LN1750"/>
    <s v="C0407"/>
    <s v="B15"/>
    <x v="1"/>
    <n v="250000"/>
    <n v="0.17630000000000001"/>
    <d v="2020-11-25T00:00:00"/>
    <n v="60"/>
    <n v="0"/>
    <n v="0"/>
    <x v="0"/>
    <n v="6298.1445027389473"/>
    <d v="2025-11-25T00:00:00"/>
    <n v="0"/>
    <s v="Undersecured"/>
    <x v="9"/>
    <n v="813"/>
    <s v="Prime"/>
    <s v="High Risk Exposure"/>
    <s v="High"/>
  </r>
  <r>
    <s v="LN1751"/>
    <s v="C0127"/>
    <s v="B08"/>
    <x v="1"/>
    <n v="100000"/>
    <n v="0.27639999999999998"/>
    <d v="2020-06-21T00:00:00"/>
    <n v="60"/>
    <n v="0"/>
    <n v="0"/>
    <x v="0"/>
    <n v="3091.8998894627739"/>
    <d v="2025-06-21T00:00:00"/>
    <n v="0"/>
    <s v="Undersecured"/>
    <x v="5"/>
    <n v="822"/>
    <s v="Prime"/>
    <s v="High Risk Exposure"/>
    <s v="High"/>
  </r>
  <r>
    <s v="LN1752"/>
    <s v="C0171"/>
    <s v="B05"/>
    <x v="1"/>
    <n v="1000000"/>
    <n v="0.16120000000000001"/>
    <d v="2023-07-18T00:00:00"/>
    <n v="48"/>
    <n v="0"/>
    <n v="0"/>
    <x v="0"/>
    <n v="28401.776737071355"/>
    <d v="2027-07-18T00:00:00"/>
    <n v="0"/>
    <s v="Undersecured"/>
    <x v="4"/>
    <n v="382"/>
    <s v="High Risk"/>
    <s v="High Risk Exposure"/>
    <s v="High"/>
  </r>
  <r>
    <s v="LN1753"/>
    <s v="C0213"/>
    <s v="B04"/>
    <x v="2"/>
    <n v="25000000"/>
    <n v="0.1245"/>
    <d v="2025-01-16T00:00:00"/>
    <n v="12"/>
    <n v="20"/>
    <n v="26000000"/>
    <x v="0"/>
    <n v="2226486.0012407098"/>
    <d v="2026-01-16T00:00:00"/>
    <n v="1.04"/>
    <s v="Secured"/>
    <x v="14"/>
    <n v="654"/>
    <s v="Medium Risk"/>
    <s v="Normal"/>
    <s v="Normal"/>
  </r>
  <r>
    <s v="LN1754"/>
    <s v="C0697"/>
    <s v="B15"/>
    <x v="0"/>
    <n v="25000000"/>
    <n v="0.2359"/>
    <d v="2025-03-10T00:00:00"/>
    <n v="72"/>
    <n v="5"/>
    <n v="35250000"/>
    <x v="0"/>
    <n v="651962.4284813751"/>
    <d v="2031-03-10T00:00:00"/>
    <n v="1.41"/>
    <s v="Secured"/>
    <x v="9"/>
    <n v="389"/>
    <s v="High Risk"/>
    <s v="High Risk Exposure"/>
    <s v="High"/>
  </r>
  <r>
    <s v="LN1755"/>
    <s v="C0510"/>
    <s v="B10"/>
    <x v="1"/>
    <n v="1000000"/>
    <n v="0.25440000000000002"/>
    <d v="2025-10-03T00:00:00"/>
    <n v="72"/>
    <n v="120"/>
    <n v="0"/>
    <x v="1"/>
    <n v="27207.798552040244"/>
    <d v="2031-10-03T00:00:00"/>
    <n v="0"/>
    <s v="Undersecured"/>
    <x v="3"/>
    <n v="361"/>
    <s v="High Risk"/>
    <s v="High Risk Exposure"/>
    <s v="Critical"/>
  </r>
  <r>
    <s v="LN1756"/>
    <s v="C0108"/>
    <s v="B08"/>
    <x v="1"/>
    <n v="100000"/>
    <n v="0.21329999999999999"/>
    <d v="2021-10-21T00:00:00"/>
    <n v="60"/>
    <n v="0"/>
    <n v="0"/>
    <x v="0"/>
    <n v="2723.9323682862928"/>
    <d v="2026-10-21T00:00:00"/>
    <n v="0"/>
    <s v="Undersecured"/>
    <x v="5"/>
    <n v="833"/>
    <s v="Prime"/>
    <s v="High Risk Exposure"/>
    <s v="High"/>
  </r>
  <r>
    <s v="LN1757"/>
    <s v="C0115"/>
    <s v="B08"/>
    <x v="1"/>
    <n v="500000"/>
    <n v="0.20050000000000001"/>
    <d v="2023-10-25T00:00:00"/>
    <n v="12"/>
    <n v="20"/>
    <n v="0"/>
    <x v="0"/>
    <n v="46329.218739395154"/>
    <d v="2024-10-25T00:00:00"/>
    <n v="0"/>
    <s v="Undersecured"/>
    <x v="5"/>
    <n v="767"/>
    <s v="Very Low Risk"/>
    <s v="High Risk Exposure"/>
    <s v="High"/>
  </r>
  <r>
    <s v="LN1758"/>
    <s v="C0680"/>
    <s v="B15"/>
    <x v="1"/>
    <n v="1000000"/>
    <n v="0.184"/>
    <d v="2024-07-27T00:00:00"/>
    <n v="36"/>
    <n v="0"/>
    <n v="0"/>
    <x v="0"/>
    <n v="36353.371527752286"/>
    <d v="2027-07-27T00:00:00"/>
    <n v="0"/>
    <s v="Undersecured"/>
    <x v="9"/>
    <n v="633"/>
    <s v="Medium Risk"/>
    <s v="High Risk Exposure"/>
    <s v="High"/>
  </r>
  <r>
    <s v="LN1759"/>
    <s v="C0506"/>
    <s v="B07"/>
    <x v="3"/>
    <n v="3000000"/>
    <n v="0.18609999999999999"/>
    <d v="2024-08-09T00:00:00"/>
    <n v="12"/>
    <n v="120"/>
    <n v="3180000"/>
    <x v="1"/>
    <n v="275911.65047897812"/>
    <d v="2025-08-09T00:00:00"/>
    <n v="1.06"/>
    <s v="Secured"/>
    <x v="0"/>
    <n v="377"/>
    <s v="High Risk"/>
    <s v="High Risk Exposure"/>
    <s v="Critical"/>
  </r>
  <r>
    <s v="LN1760"/>
    <s v="C0042"/>
    <s v="B14"/>
    <x v="2"/>
    <n v="25000000"/>
    <n v="0.125"/>
    <d v="2021-08-20T00:00:00"/>
    <n v="48"/>
    <n v="0"/>
    <n v="14000000"/>
    <x v="0"/>
    <n v="664499.97229427961"/>
    <d v="2025-08-20T00:00:00"/>
    <n v="0.56000000000000005"/>
    <s v="Undersecured"/>
    <x v="13"/>
    <n v="778"/>
    <s v="Very Low Risk"/>
    <s v="High Risk Exposure"/>
    <s v="High"/>
  </r>
  <r>
    <s v="LN1761"/>
    <s v="C0388"/>
    <s v="B12"/>
    <x v="0"/>
    <n v="1000000"/>
    <n v="0.15329999999999999"/>
    <d v="2020-09-27T00:00:00"/>
    <n v="72"/>
    <n v="0"/>
    <n v="930000"/>
    <x v="0"/>
    <n v="21324.635641525485"/>
    <d v="2026-09-27T00:00:00"/>
    <n v="0.93"/>
    <s v="Undersecured"/>
    <x v="12"/>
    <n v="428"/>
    <s v="High Risk"/>
    <s v="High Risk Exposure"/>
    <s v="High"/>
  </r>
  <r>
    <s v="LN1762"/>
    <s v="C0480"/>
    <s v="B09"/>
    <x v="0"/>
    <n v="25000000"/>
    <n v="0.20580000000000001"/>
    <d v="2020-09-01T00:00:00"/>
    <n v="60"/>
    <n v="0"/>
    <n v="22500000"/>
    <x v="0"/>
    <n v="670440.8961032636"/>
    <d v="2025-09-01T00:00:00"/>
    <n v="0.9"/>
    <s v="Undersecured"/>
    <x v="8"/>
    <n v="493"/>
    <s v="High Risk"/>
    <s v="High Risk Exposure"/>
    <s v="High"/>
  </r>
  <r>
    <s v="LN1763"/>
    <s v="C0496"/>
    <s v="B01"/>
    <x v="3"/>
    <n v="500000"/>
    <n v="0.13869999999999999"/>
    <d v="2020-01-08T00:00:00"/>
    <n v="36"/>
    <n v="5"/>
    <n v="450000"/>
    <x v="0"/>
    <n v="17057.261973046578"/>
    <d v="2023-01-08T00:00:00"/>
    <n v="0.9"/>
    <s v="Undersecured"/>
    <x v="1"/>
    <n v="604"/>
    <s v="Medium Risk"/>
    <s v="High Risk Exposure"/>
    <s v="High"/>
  </r>
  <r>
    <s v="LN1764"/>
    <s v="C0513"/>
    <s v="B14"/>
    <x v="1"/>
    <n v="1000000"/>
    <n v="0.25040000000000001"/>
    <d v="2024-03-15T00:00:00"/>
    <n v="60"/>
    <n v="10"/>
    <n v="0"/>
    <x v="0"/>
    <n v="29374.778576841607"/>
    <d v="2029-03-15T00:00:00"/>
    <n v="0"/>
    <s v="Undersecured"/>
    <x v="13"/>
    <n v="825"/>
    <s v="Prime"/>
    <s v="High Risk Exposure"/>
    <s v="High"/>
  </r>
  <r>
    <s v="LN1765"/>
    <s v="C0192"/>
    <s v="B11"/>
    <x v="1"/>
    <n v="250000"/>
    <n v="0.19009999999999999"/>
    <d v="2021-08-22T00:00:00"/>
    <n v="24"/>
    <n v="5"/>
    <n v="0"/>
    <x v="0"/>
    <n v="12603.368963349038"/>
    <d v="2023-08-22T00:00:00"/>
    <n v="0"/>
    <s v="Undersecured"/>
    <x v="10"/>
    <n v="760"/>
    <s v="Very Low Risk"/>
    <s v="High Risk Exposure"/>
    <s v="High"/>
  </r>
  <r>
    <s v="LN1766"/>
    <s v="C0160"/>
    <s v="B05"/>
    <x v="2"/>
    <n v="80000000"/>
    <n v="0.106"/>
    <d v="2024-04-01T00:00:00"/>
    <n v="36"/>
    <n v="5"/>
    <n v="115200000"/>
    <x v="0"/>
    <n v="2603969.3514855723"/>
    <d v="2027-04-01T00:00:00"/>
    <n v="1.44"/>
    <s v="Secured"/>
    <x v="4"/>
    <n v="332"/>
    <s v="High Risk"/>
    <s v="High Risk Exposure"/>
    <s v="High"/>
  </r>
  <r>
    <s v="LN1767"/>
    <s v="C0110"/>
    <s v="B04"/>
    <x v="2"/>
    <n v="6000000"/>
    <n v="0.1321"/>
    <d v="2024-05-23T00:00:00"/>
    <n v="36"/>
    <n v="5"/>
    <n v="8820000"/>
    <x v="0"/>
    <n v="202771.14035837588"/>
    <d v="2027-05-23T00:00:00"/>
    <n v="1.47"/>
    <s v="Secured"/>
    <x v="14"/>
    <n v="549"/>
    <s v="High Risk"/>
    <s v="High Risk Exposure"/>
    <s v="High"/>
  </r>
  <r>
    <s v="LN1768"/>
    <s v="C0677"/>
    <s v="B02"/>
    <x v="0"/>
    <n v="6000000"/>
    <n v="0.21540000000000001"/>
    <d v="2022-06-28T00:00:00"/>
    <n v="60"/>
    <n v="0"/>
    <n v="5280000"/>
    <x v="0"/>
    <n v="164148.04637200531"/>
    <d v="2027-06-28T00:00:00"/>
    <n v="0.88"/>
    <s v="Undersecured"/>
    <x v="11"/>
    <n v="599"/>
    <s v="Medium Risk"/>
    <s v="High Risk Exposure"/>
    <s v="High"/>
  </r>
  <r>
    <s v="LN1769"/>
    <s v="C0075"/>
    <s v="B07"/>
    <x v="3"/>
    <n v="6000000"/>
    <n v="0.19919999999999999"/>
    <d v="2021-03-13T00:00:00"/>
    <n v="24"/>
    <n v="0"/>
    <n v="5400000"/>
    <x v="0"/>
    <n v="305140.37829636718"/>
    <d v="2023-03-13T00:00:00"/>
    <n v="0.9"/>
    <s v="Undersecured"/>
    <x v="0"/>
    <n v="753"/>
    <s v="Very Low Risk"/>
    <s v="High Risk Exposure"/>
    <s v="High"/>
  </r>
  <r>
    <s v="LN1770"/>
    <s v="C0203"/>
    <s v="B09"/>
    <x v="2"/>
    <n v="80000000"/>
    <n v="0.13189999999999999"/>
    <d v="2024-06-21T00:00:00"/>
    <n v="36"/>
    <n v="0"/>
    <n v="92000000"/>
    <x v="0"/>
    <n v="2702843.2540814336"/>
    <d v="2027-06-21T00:00:00"/>
    <n v="1.1499999999999999"/>
    <s v="Secured"/>
    <x v="8"/>
    <n v="625"/>
    <s v="Medium Risk"/>
    <s v="Normal"/>
    <s v="Normal"/>
  </r>
  <r>
    <s v="LN1771"/>
    <s v="C0146"/>
    <s v="B04"/>
    <x v="1"/>
    <n v="250000"/>
    <n v="0.2351"/>
    <d v="2025-02-11T00:00:00"/>
    <n v="12"/>
    <n v="20"/>
    <n v="0"/>
    <x v="0"/>
    <n v="23580.656310007529"/>
    <d v="2026-02-11T00:00:00"/>
    <n v="0"/>
    <s v="Undersecured"/>
    <x v="14"/>
    <n v="709"/>
    <s v="Low Risk"/>
    <s v="High Risk Exposure"/>
    <s v="High"/>
  </r>
  <r>
    <s v="LN1772"/>
    <s v="C0385"/>
    <s v="B05"/>
    <x v="3"/>
    <n v="3000000"/>
    <n v="0.1477"/>
    <d v="2024-06-02T00:00:00"/>
    <n v="12"/>
    <n v="0"/>
    <n v="2550000"/>
    <x v="0"/>
    <n v="270449.45360967354"/>
    <d v="2025-06-02T00:00:00"/>
    <n v="0.85"/>
    <s v="Undersecured"/>
    <x v="4"/>
    <n v="444"/>
    <s v="High Risk"/>
    <s v="High Risk Exposure"/>
    <s v="High"/>
  </r>
  <r>
    <s v="LN1773"/>
    <s v="C0696"/>
    <s v="B09"/>
    <x v="0"/>
    <n v="3000000"/>
    <n v="0.18890000000000001"/>
    <d v="2024-05-07T00:00:00"/>
    <n v="24"/>
    <n v="45"/>
    <n v="3120000"/>
    <x v="2"/>
    <n v="151065.56907342913"/>
    <d v="2026-05-07T00:00:00"/>
    <n v="1.04"/>
    <s v="Secured"/>
    <x v="8"/>
    <n v="719"/>
    <s v="Low Risk"/>
    <s v="High Risk Exposure"/>
    <s v="High"/>
  </r>
  <r>
    <s v="LN1774"/>
    <s v="C0122"/>
    <s v="B12"/>
    <x v="3"/>
    <n v="6000000"/>
    <n v="0.14449999999999999"/>
    <d v="2022-09-20T00:00:00"/>
    <n v="60"/>
    <n v="5"/>
    <n v="7800000"/>
    <x v="0"/>
    <n v="141013.23061377023"/>
    <d v="2027-09-20T00:00:00"/>
    <n v="1.3"/>
    <s v="Secured"/>
    <x v="12"/>
    <n v="680"/>
    <s v="Low Risk"/>
    <s v="Normal"/>
    <s v="Normal"/>
  </r>
  <r>
    <s v="LN1775"/>
    <s v="C0145"/>
    <s v="B09"/>
    <x v="3"/>
    <n v="1000000"/>
    <n v="0.1988"/>
    <d v="2024-05-22T00:00:00"/>
    <n v="72"/>
    <n v="0"/>
    <n v="1360000"/>
    <x v="0"/>
    <n v="23883.318458412337"/>
    <d v="2030-05-22T00:00:00"/>
    <n v="1.36"/>
    <s v="Secured"/>
    <x v="8"/>
    <n v="372"/>
    <s v="High Risk"/>
    <s v="High Risk Exposure"/>
    <s v="High"/>
  </r>
  <r>
    <s v="LN1776"/>
    <s v="C0546"/>
    <s v="B10"/>
    <x v="2"/>
    <n v="80000000"/>
    <n v="0.11"/>
    <d v="2025-03-24T00:00:00"/>
    <n v="60"/>
    <n v="5"/>
    <n v="63200000"/>
    <x v="0"/>
    <n v="1739393.8458114646"/>
    <d v="2030-03-24T00:00:00"/>
    <n v="0.79"/>
    <s v="Undersecured"/>
    <x v="3"/>
    <n v="397"/>
    <s v="High Risk"/>
    <s v="High Risk Exposure"/>
    <s v="High"/>
  </r>
  <r>
    <s v="LN1777"/>
    <s v="C0367"/>
    <s v="B14"/>
    <x v="2"/>
    <n v="6000000"/>
    <n v="0.1133"/>
    <d v="2024-12-08T00:00:00"/>
    <n v="24"/>
    <n v="20"/>
    <n v="6300000"/>
    <x v="0"/>
    <n v="280567.18062841933"/>
    <d v="2026-12-08T00:00:00"/>
    <n v="1.05"/>
    <s v="Secured"/>
    <x v="13"/>
    <n v="309"/>
    <s v="High Risk"/>
    <s v="High Risk Exposure"/>
    <s v="High"/>
  </r>
  <r>
    <s v="LN1778"/>
    <s v="C0523"/>
    <s v="B06"/>
    <x v="2"/>
    <n v="80000000"/>
    <n v="0.1012"/>
    <d v="2023-10-10T00:00:00"/>
    <n v="60"/>
    <n v="0"/>
    <n v="96800000"/>
    <x v="0"/>
    <n v="1704491.0204086283"/>
    <d v="2028-10-10T00:00:00"/>
    <n v="1.21"/>
    <s v="Secured"/>
    <x v="6"/>
    <n v="375"/>
    <s v="High Risk"/>
    <s v="High Risk Exposure"/>
    <s v="High"/>
  </r>
  <r>
    <s v="LN1779"/>
    <s v="C0140"/>
    <s v="B02"/>
    <x v="1"/>
    <n v="500000"/>
    <n v="0.16520000000000001"/>
    <d v="2020-06-01T00:00:00"/>
    <n v="36"/>
    <n v="90"/>
    <n v="0"/>
    <x v="2"/>
    <n v="17707.148624941241"/>
    <d v="2023-06-01T00:00:00"/>
    <n v="0"/>
    <s v="Undersecured"/>
    <x v="11"/>
    <n v="511"/>
    <s v="High Risk"/>
    <s v="High Risk Exposure"/>
    <s v="High"/>
  </r>
  <r>
    <s v="LN1780"/>
    <s v="C0599"/>
    <s v="B01"/>
    <x v="2"/>
    <n v="25000000"/>
    <n v="0.1371"/>
    <d v="2020-02-25T00:00:00"/>
    <n v="12"/>
    <n v="45"/>
    <n v="36750000"/>
    <x v="2"/>
    <n v="2241268.1023967685"/>
    <d v="2021-02-25T00:00:00"/>
    <n v="1.47"/>
    <s v="Secured"/>
    <x v="1"/>
    <n v="835"/>
    <s v="Prime"/>
    <s v="High Risk Exposure"/>
    <s v="High"/>
  </r>
  <r>
    <s v="LN1781"/>
    <s v="C0295"/>
    <s v="B04"/>
    <x v="2"/>
    <n v="25000000"/>
    <n v="0.1109"/>
    <d v="2021-11-16T00:00:00"/>
    <n v="36"/>
    <n v="0"/>
    <n v="18750000"/>
    <x v="0"/>
    <n v="819533.85704931465"/>
    <d v="2024-11-16T00:00:00"/>
    <n v="0.75"/>
    <s v="Undersecured"/>
    <x v="14"/>
    <n v="747"/>
    <s v="Very Low Risk"/>
    <s v="High Risk Exposure"/>
    <s v="High"/>
  </r>
  <r>
    <s v="LN1782"/>
    <s v="C0339"/>
    <s v="B04"/>
    <x v="1"/>
    <n v="1000000"/>
    <n v="0.2404"/>
    <d v="2022-03-16T00:00:00"/>
    <n v="60"/>
    <n v="5"/>
    <n v="0"/>
    <x v="0"/>
    <n v="28791.188052418795"/>
    <d v="2027-03-16T00:00:00"/>
    <n v="0"/>
    <s v="Undersecured"/>
    <x v="14"/>
    <n v="354"/>
    <s v="High Risk"/>
    <s v="High Risk Exposure"/>
    <s v="High"/>
  </r>
  <r>
    <s v="LN1783"/>
    <s v="C0575"/>
    <s v="B10"/>
    <x v="2"/>
    <n v="25000000"/>
    <n v="0.13600000000000001"/>
    <d v="2023-06-18T00:00:00"/>
    <n v="36"/>
    <n v="0"/>
    <n v="26750000"/>
    <x v="0"/>
    <n v="849591.88267002848"/>
    <d v="2026-06-18T00:00:00"/>
    <n v="1.07"/>
    <s v="Secured"/>
    <x v="3"/>
    <n v="803"/>
    <s v="Prime"/>
    <s v="Normal"/>
    <s v="Normal"/>
  </r>
  <r>
    <s v="LN1784"/>
    <s v="C0061"/>
    <s v="B07"/>
    <x v="0"/>
    <n v="25000000"/>
    <n v="0.21060000000000001"/>
    <d v="2024-11-16T00:00:00"/>
    <n v="60"/>
    <n v="0"/>
    <n v="24000000"/>
    <x v="0"/>
    <n v="677178.05684695346"/>
    <d v="2029-11-16T00:00:00"/>
    <n v="0.96"/>
    <s v="Undersecured"/>
    <x v="0"/>
    <n v="400"/>
    <s v="High Risk"/>
    <s v="High Risk Exposure"/>
    <s v="High"/>
  </r>
  <r>
    <s v="LN1785"/>
    <s v="C0524"/>
    <s v="B06"/>
    <x v="2"/>
    <n v="80000000"/>
    <n v="0.13089999999999999"/>
    <d v="2020-07-25T00:00:00"/>
    <n v="36"/>
    <n v="20"/>
    <n v="100000000"/>
    <x v="0"/>
    <n v="2698985.4365717098"/>
    <d v="2023-07-25T00:00:00"/>
    <n v="1.25"/>
    <s v="Secured"/>
    <x v="6"/>
    <n v="662"/>
    <s v="Medium Risk"/>
    <s v="Normal"/>
    <s v="Normal"/>
  </r>
  <r>
    <s v="LN1786"/>
    <s v="C0262"/>
    <s v="B08"/>
    <x v="1"/>
    <n v="1000000"/>
    <n v="0.26669999999999999"/>
    <d v="2023-06-12T00:00:00"/>
    <n v="24"/>
    <n v="10"/>
    <n v="0"/>
    <x v="0"/>
    <n v="54213.071868407045"/>
    <d v="2025-06-12T00:00:00"/>
    <n v="0"/>
    <s v="Undersecured"/>
    <x v="5"/>
    <n v="744"/>
    <s v="Very Low Risk"/>
    <s v="High Risk Exposure"/>
    <s v="High"/>
  </r>
  <r>
    <s v="LN1787"/>
    <s v="C0026"/>
    <s v="B10"/>
    <x v="3"/>
    <n v="6000000"/>
    <n v="0.1414"/>
    <d v="2024-12-12T00:00:00"/>
    <n v="36"/>
    <n v="5"/>
    <n v="7020000"/>
    <x v="0"/>
    <n v="205473.99515977051"/>
    <d v="2027-12-12T00:00:00"/>
    <n v="1.17"/>
    <s v="Secured"/>
    <x v="3"/>
    <n v="463"/>
    <s v="High Risk"/>
    <s v="High Risk Exposure"/>
    <s v="High"/>
  </r>
  <r>
    <s v="LN1788"/>
    <s v="C0297"/>
    <s v="B14"/>
    <x v="2"/>
    <n v="25000000"/>
    <n v="0.1144"/>
    <d v="2021-05-05T00:00:00"/>
    <n v="60"/>
    <n v="90"/>
    <n v="21000000"/>
    <x v="2"/>
    <n v="549062.44273380539"/>
    <d v="2026-05-05T00:00:00"/>
    <n v="0.84"/>
    <s v="Undersecured"/>
    <x v="13"/>
    <n v="500"/>
    <s v="High Risk"/>
    <s v="High Risk Exposure"/>
    <s v="High"/>
  </r>
  <r>
    <s v="LN1789"/>
    <s v="C0174"/>
    <s v="B03"/>
    <x v="2"/>
    <n v="6000000"/>
    <n v="9.5699999999999993E-2"/>
    <d v="2022-06-12T00:00:00"/>
    <n v="24"/>
    <n v="0"/>
    <n v="8460000"/>
    <x v="0"/>
    <n v="275680.27547052625"/>
    <d v="2024-06-12T00:00:00"/>
    <n v="1.41"/>
    <s v="Secured"/>
    <x v="7"/>
    <n v="451"/>
    <s v="High Risk"/>
    <s v="High Risk Exposure"/>
    <s v="High"/>
  </r>
  <r>
    <s v="LN1790"/>
    <s v="C0448"/>
    <s v="B02"/>
    <x v="2"/>
    <n v="6000000"/>
    <n v="0.1187"/>
    <d v="2022-03-09T00:00:00"/>
    <n v="36"/>
    <n v="20"/>
    <n v="6360000"/>
    <x v="0"/>
    <n v="198913.52084464094"/>
    <d v="2025-03-09T00:00:00"/>
    <n v="1.06"/>
    <s v="Secured"/>
    <x v="11"/>
    <n v="673"/>
    <s v="Low Risk"/>
    <s v="Normal"/>
    <s v="Normal"/>
  </r>
  <r>
    <s v="LN1791"/>
    <s v="C0539"/>
    <s v="B14"/>
    <x v="3"/>
    <n v="3000000"/>
    <n v="0.15859999999999999"/>
    <d v="2020-01-20T00:00:00"/>
    <n v="48"/>
    <n v="120"/>
    <n v="4470000"/>
    <x v="1"/>
    <n v="84805.892170773586"/>
    <d v="2024-01-20T00:00:00"/>
    <n v="1.49"/>
    <s v="Secured"/>
    <x v="13"/>
    <n v="714"/>
    <s v="Low Risk"/>
    <s v="High Risk Exposure"/>
    <s v="Critical"/>
  </r>
  <r>
    <s v="LN1792"/>
    <s v="C0455"/>
    <s v="B13"/>
    <x v="2"/>
    <n v="6000000"/>
    <n v="0.1017"/>
    <d v="2021-02-17T00:00:00"/>
    <n v="48"/>
    <n v="0"/>
    <n v="4560000"/>
    <x v="0"/>
    <n v="152665.81746943944"/>
    <d v="2025-02-17T00:00:00"/>
    <n v="0.76"/>
    <s v="Undersecured"/>
    <x v="2"/>
    <n v="411"/>
    <s v="High Risk"/>
    <s v="High Risk Exposure"/>
    <s v="High"/>
  </r>
  <r>
    <s v="LN1793"/>
    <s v="C0372"/>
    <s v="B11"/>
    <x v="3"/>
    <n v="3000000"/>
    <n v="0.1255"/>
    <d v="2022-11-08T00:00:00"/>
    <n v="72"/>
    <n v="120"/>
    <n v="3030000"/>
    <x v="1"/>
    <n v="59512.152595864543"/>
    <d v="2028-11-08T00:00:00"/>
    <n v="1.01"/>
    <s v="Secured"/>
    <x v="10"/>
    <n v="844"/>
    <s v="Prime"/>
    <s v="High Risk Exposure"/>
    <s v="Critical"/>
  </r>
  <r>
    <s v="LN1794"/>
    <s v="C0505"/>
    <s v="B04"/>
    <x v="3"/>
    <n v="3000000"/>
    <n v="0.12189999999999999"/>
    <d v="2021-08-22T00:00:00"/>
    <n v="36"/>
    <n v="0"/>
    <n v="3900000"/>
    <x v="0"/>
    <n v="99915.391910030303"/>
    <d v="2024-08-22T00:00:00"/>
    <n v="1.3"/>
    <s v="Secured"/>
    <x v="14"/>
    <n v="543"/>
    <s v="High Risk"/>
    <s v="High Risk Exposure"/>
    <s v="High"/>
  </r>
  <r>
    <s v="LN1795"/>
    <s v="C0576"/>
    <s v="B02"/>
    <x v="0"/>
    <n v="1000000"/>
    <n v="0.21779999999999999"/>
    <d v="2022-05-12T00:00:00"/>
    <n v="24"/>
    <n v="0"/>
    <n v="1400000"/>
    <x v="0"/>
    <n v="51769.576393482843"/>
    <d v="2024-05-12T00:00:00"/>
    <n v="1.4"/>
    <s v="Secured"/>
    <x v="11"/>
    <n v="758"/>
    <s v="Very Low Risk"/>
    <s v="Normal"/>
    <s v="Normal"/>
  </r>
  <r>
    <s v="LN1796"/>
    <s v="C0489"/>
    <s v="B04"/>
    <x v="3"/>
    <n v="1000000"/>
    <n v="0.16489999999999999"/>
    <d v="2025-06-23T00:00:00"/>
    <n v="48"/>
    <n v="0"/>
    <n v="670000"/>
    <x v="0"/>
    <n v="28591.862608704305"/>
    <d v="2029-06-23T00:00:00"/>
    <n v="0.67"/>
    <s v="Undersecured"/>
    <x v="14"/>
    <n v="690"/>
    <s v="Low Risk"/>
    <s v="High Risk Exposure"/>
    <s v="High"/>
  </r>
  <r>
    <s v="LN1797"/>
    <s v="C0409"/>
    <s v="B05"/>
    <x v="3"/>
    <n v="1000000"/>
    <n v="0.12759999999999999"/>
    <d v="2020-12-14T00:00:00"/>
    <n v="60"/>
    <n v="20"/>
    <n v="1480000"/>
    <x v="0"/>
    <n v="22630.40350852683"/>
    <d v="2025-12-14T00:00:00"/>
    <n v="1.48"/>
    <s v="Secured"/>
    <x v="4"/>
    <n v="324"/>
    <s v="High Risk"/>
    <s v="High Risk Exposure"/>
    <s v="High"/>
  </r>
  <r>
    <s v="LN1798"/>
    <s v="C0113"/>
    <s v="B05"/>
    <x v="3"/>
    <n v="3000000"/>
    <n v="0.18340000000000001"/>
    <d v="2023-11-06T00:00:00"/>
    <n v="12"/>
    <n v="120"/>
    <n v="1860000"/>
    <x v="1"/>
    <n v="275525.64350857411"/>
    <d v="2024-11-06T00:00:00"/>
    <n v="0.62"/>
    <s v="Undersecured"/>
    <x v="4"/>
    <n v="825"/>
    <s v="Prime"/>
    <s v="High Risk Exposure"/>
    <s v="Critical"/>
  </r>
  <r>
    <s v="LN1799"/>
    <s v="C0397"/>
    <s v="B12"/>
    <x v="0"/>
    <n v="25000000"/>
    <n v="0.23899999999999999"/>
    <d v="2020-01-15T00:00:00"/>
    <n v="60"/>
    <n v="0"/>
    <n v="30500000"/>
    <x v="0"/>
    <n v="717748.78275580879"/>
    <d v="2025-01-15T00:00:00"/>
    <n v="1.22"/>
    <s v="Secured"/>
    <x v="12"/>
    <n v="333"/>
    <s v="High Risk"/>
    <s v="High Risk Exposure"/>
    <s v="High"/>
  </r>
  <r>
    <s v="LN1800"/>
    <s v="C0414"/>
    <s v="B06"/>
    <x v="3"/>
    <n v="1000000"/>
    <n v="0.18920000000000001"/>
    <d v="2025-08-09T00:00:00"/>
    <n v="48"/>
    <n v="0"/>
    <n v="1310000"/>
    <x v="0"/>
    <n v="29857.919624378024"/>
    <d v="2029-08-09T00:00:00"/>
    <n v="1.31"/>
    <s v="Secured"/>
    <x v="6"/>
    <n v="708"/>
    <s v="Low Risk"/>
    <s v="Normal"/>
    <s v="Normal"/>
  </r>
  <r>
    <s v="LN1801"/>
    <s v="C0358"/>
    <s v="B12"/>
    <x v="2"/>
    <n v="25000000"/>
    <n v="0.13300000000000001"/>
    <d v="2022-06-10T00:00:00"/>
    <n v="72"/>
    <n v="5"/>
    <n v="29500000"/>
    <x v="0"/>
    <n v="505819.70930543786"/>
    <d v="2028-06-10T00:00:00"/>
    <n v="1.18"/>
    <s v="Secured"/>
    <x v="12"/>
    <n v="835"/>
    <s v="Prime"/>
    <s v="Normal"/>
    <s v="Normal"/>
  </r>
  <r>
    <s v="LN1802"/>
    <s v="C0533"/>
    <s v="B15"/>
    <x v="0"/>
    <n v="6000000"/>
    <n v="0.15060000000000001"/>
    <d v="2025-02-07T00:00:00"/>
    <n v="24"/>
    <n v="20"/>
    <n v="5220000"/>
    <x v="0"/>
    <n v="291090.95871047227"/>
    <d v="2027-02-07T00:00:00"/>
    <n v="0.87"/>
    <s v="Undersecured"/>
    <x v="9"/>
    <n v="797"/>
    <s v="Very Low Risk"/>
    <s v="High Risk Exposure"/>
    <s v="High"/>
  </r>
  <r>
    <s v="LN1803"/>
    <s v="C0063"/>
    <s v="B05"/>
    <x v="1"/>
    <n v="100000"/>
    <n v="0.22109999999999999"/>
    <d v="2020-10-04T00:00:00"/>
    <n v="36"/>
    <n v="10"/>
    <n v="0"/>
    <x v="0"/>
    <n v="3824.7383004855146"/>
    <d v="2023-10-04T00:00:00"/>
    <n v="0"/>
    <s v="Undersecured"/>
    <x v="4"/>
    <n v="808"/>
    <s v="Prime"/>
    <s v="High Risk Exposure"/>
    <s v="High"/>
  </r>
  <r>
    <s v="LN1804"/>
    <s v="C0631"/>
    <s v="B10"/>
    <x v="3"/>
    <n v="1000000"/>
    <n v="0.1452"/>
    <d v="2022-10-23T00:00:00"/>
    <n v="36"/>
    <n v="20"/>
    <n v="1480000"/>
    <x v="0"/>
    <n v="34430.732233092887"/>
    <d v="2025-10-23T00:00:00"/>
    <n v="1.48"/>
    <s v="Secured"/>
    <x v="3"/>
    <n v="799"/>
    <s v="Very Low Risk"/>
    <s v="Normal"/>
    <s v="Normal"/>
  </r>
  <r>
    <s v="LN1805"/>
    <s v="C0021"/>
    <s v="B12"/>
    <x v="3"/>
    <n v="3000000"/>
    <n v="0.15620000000000001"/>
    <d v="2024-08-09T00:00:00"/>
    <n v="60"/>
    <n v="5"/>
    <n v="4080000"/>
    <x v="0"/>
    <n v="72349.838440920255"/>
    <d v="2029-08-09T00:00:00"/>
    <n v="1.36"/>
    <s v="Secured"/>
    <x v="12"/>
    <n v="834"/>
    <s v="Prime"/>
    <s v="Normal"/>
    <s v="Normal"/>
  </r>
  <r>
    <s v="LN1806"/>
    <s v="C0617"/>
    <s v="B12"/>
    <x v="3"/>
    <n v="3000000"/>
    <n v="0.19120000000000001"/>
    <d v="2021-05-03T00:00:00"/>
    <n v="36"/>
    <n v="0"/>
    <n v="3720000"/>
    <x v="0"/>
    <n v="110150.16001895955"/>
    <d v="2024-05-03T00:00:00"/>
    <n v="1.24"/>
    <s v="Secured"/>
    <x v="12"/>
    <n v="681"/>
    <s v="Low Risk"/>
    <s v="Normal"/>
    <s v="Normal"/>
  </r>
  <r>
    <s v="LN1807"/>
    <s v="C0273"/>
    <s v="B15"/>
    <x v="0"/>
    <n v="25000000"/>
    <n v="0.21970000000000001"/>
    <d v="2023-11-01T00:00:00"/>
    <n v="24"/>
    <n v="10"/>
    <n v="27250000"/>
    <x v="0"/>
    <n v="1296583.5243586549"/>
    <d v="2025-11-01T00:00:00"/>
    <n v="1.0900000000000001"/>
    <s v="Secured"/>
    <x v="9"/>
    <n v="586"/>
    <s v="Medium Risk"/>
    <s v="Normal"/>
    <s v="Normal"/>
  </r>
  <r>
    <s v="LN1808"/>
    <s v="C0096"/>
    <s v="B04"/>
    <x v="2"/>
    <n v="80000000"/>
    <n v="9.2399999999999996E-2"/>
    <d v="2023-03-15T00:00:00"/>
    <n v="48"/>
    <n v="90"/>
    <n v="72000000"/>
    <x v="2"/>
    <n v="1999932.6934657074"/>
    <d v="2027-03-15T00:00:00"/>
    <n v="0.9"/>
    <s v="Undersecured"/>
    <x v="14"/>
    <n v="466"/>
    <s v="High Risk"/>
    <s v="High Risk Exposure"/>
    <s v="High"/>
  </r>
  <r>
    <s v="LN1809"/>
    <s v="C0059"/>
    <s v="B11"/>
    <x v="3"/>
    <n v="1000000"/>
    <n v="0.14929999999999999"/>
    <d v="2021-03-14T00:00:00"/>
    <n v="24"/>
    <n v="90"/>
    <n v="1280000"/>
    <x v="2"/>
    <n v="48453.396627137437"/>
    <d v="2023-03-14T00:00:00"/>
    <n v="1.28"/>
    <s v="Secured"/>
    <x v="10"/>
    <n v="482"/>
    <s v="High Risk"/>
    <s v="High Risk Exposure"/>
    <s v="High"/>
  </r>
  <r>
    <s v="LN1810"/>
    <s v="C0150"/>
    <s v="B10"/>
    <x v="0"/>
    <n v="25000000"/>
    <n v="0.2175"/>
    <d v="2022-10-22T00:00:00"/>
    <n v="24"/>
    <n v="90"/>
    <n v="30500000"/>
    <x v="2"/>
    <n v="1293869.5050340295"/>
    <d v="2024-10-22T00:00:00"/>
    <n v="1.22"/>
    <s v="Secured"/>
    <x v="3"/>
    <n v="610"/>
    <s v="Medium Risk"/>
    <s v="High Risk Exposure"/>
    <s v="High"/>
  </r>
  <r>
    <s v="LN1811"/>
    <s v="C0667"/>
    <s v="B09"/>
    <x v="3"/>
    <n v="6000000"/>
    <n v="0.18890000000000001"/>
    <d v="2024-04-28T00:00:00"/>
    <n v="12"/>
    <n v="0"/>
    <n v="4920000"/>
    <x v="0"/>
    <n v="552624.5285585518"/>
    <d v="2025-04-28T00:00:00"/>
    <n v="0.82"/>
    <s v="Undersecured"/>
    <x v="8"/>
    <n v="823"/>
    <s v="Prime"/>
    <s v="High Risk Exposure"/>
    <s v="High"/>
  </r>
  <r>
    <s v="LN1812"/>
    <s v="C0163"/>
    <s v="B04"/>
    <x v="2"/>
    <n v="6000000"/>
    <n v="0.11509999999999999"/>
    <d v="2020-05-14T00:00:00"/>
    <n v="24"/>
    <n v="0"/>
    <n v="5220000"/>
    <x v="0"/>
    <n v="281069.83066403639"/>
    <d v="2022-05-14T00:00:00"/>
    <n v="0.87"/>
    <s v="Undersecured"/>
    <x v="14"/>
    <n v="673"/>
    <s v="Low Risk"/>
    <s v="High Risk Exposure"/>
    <s v="High"/>
  </r>
  <r>
    <s v="LN1813"/>
    <s v="C0397"/>
    <s v="B08"/>
    <x v="0"/>
    <n v="6000000"/>
    <n v="0.22720000000000001"/>
    <d v="2025-09-25T00:00:00"/>
    <n v="48"/>
    <n v="0"/>
    <n v="7860000"/>
    <x v="0"/>
    <n v="191389.55121532097"/>
    <d v="2029-09-25T00:00:00"/>
    <n v="1.31"/>
    <s v="Secured"/>
    <x v="5"/>
    <n v="333"/>
    <s v="High Risk"/>
    <s v="High Risk Exposure"/>
    <s v="High"/>
  </r>
  <r>
    <s v="LN1814"/>
    <s v="C0080"/>
    <s v="B09"/>
    <x v="1"/>
    <n v="500000"/>
    <n v="0.26419999999999999"/>
    <d v="2020-05-24T00:00:00"/>
    <n v="12"/>
    <n v="5"/>
    <n v="0"/>
    <x v="0"/>
    <n v="47867.313897496169"/>
    <d v="2021-05-24T00:00:00"/>
    <n v="0"/>
    <s v="Undersecured"/>
    <x v="8"/>
    <n v="626"/>
    <s v="Medium Risk"/>
    <s v="High Risk Exposure"/>
    <s v="High"/>
  </r>
  <r>
    <s v="LN1815"/>
    <s v="C0200"/>
    <s v="B08"/>
    <x v="3"/>
    <n v="500000"/>
    <n v="0.15540000000000001"/>
    <d v="2023-12-20T00:00:00"/>
    <n v="36"/>
    <n v="0"/>
    <n v="500000"/>
    <x v="0"/>
    <n v="17465.176213847437"/>
    <d v="2026-12-20T00:00:00"/>
    <n v="1"/>
    <s v="Secured"/>
    <x v="5"/>
    <n v="635"/>
    <s v="Medium Risk"/>
    <s v="Normal"/>
    <s v="Normal"/>
  </r>
  <r>
    <s v="LN1816"/>
    <s v="C0620"/>
    <s v="B02"/>
    <x v="2"/>
    <n v="80000000"/>
    <n v="0.1193"/>
    <d v="2024-01-07T00:00:00"/>
    <n v="72"/>
    <n v="0"/>
    <n v="118400000"/>
    <x v="0"/>
    <n v="1561104.7855388036"/>
    <d v="2030-01-07T00:00:00"/>
    <n v="1.48"/>
    <s v="Secured"/>
    <x v="11"/>
    <n v="653"/>
    <s v="Medium Risk"/>
    <s v="Normal"/>
    <s v="Normal"/>
  </r>
  <r>
    <s v="LN1817"/>
    <s v="C0328"/>
    <s v="B08"/>
    <x v="2"/>
    <n v="80000000"/>
    <n v="0.1057"/>
    <d v="2023-04-03T00:00:00"/>
    <n v="72"/>
    <n v="10"/>
    <n v="66400000"/>
    <x v="0"/>
    <n v="1505165.3139017571"/>
    <d v="2029-04-03T00:00:00"/>
    <n v="0.83"/>
    <s v="Undersecured"/>
    <x v="5"/>
    <n v="820"/>
    <s v="Prime"/>
    <s v="High Risk Exposure"/>
    <s v="High"/>
  </r>
  <r>
    <s v="LN1818"/>
    <s v="C0627"/>
    <s v="B15"/>
    <x v="2"/>
    <n v="6000000"/>
    <n v="0.11219999999999999"/>
    <d v="2021-03-02T00:00:00"/>
    <n v="60"/>
    <n v="0"/>
    <n v="7020000"/>
    <x v="0"/>
    <n v="131113.79869552926"/>
    <d v="2026-03-02T00:00:00"/>
    <n v="1.17"/>
    <s v="Secured"/>
    <x v="9"/>
    <n v="541"/>
    <s v="High Risk"/>
    <s v="High Risk Exposure"/>
    <s v="High"/>
  </r>
  <r>
    <s v="LN1819"/>
    <s v="C0094"/>
    <s v="B01"/>
    <x v="0"/>
    <n v="1000000"/>
    <n v="0.23719999999999999"/>
    <d v="2021-02-09T00:00:00"/>
    <n v="60"/>
    <n v="0"/>
    <n v="770000"/>
    <x v="0"/>
    <n v="28605.673163383799"/>
    <d v="2026-02-09T00:00:00"/>
    <n v="0.77"/>
    <s v="Undersecured"/>
    <x v="1"/>
    <n v="711"/>
    <s v="Low Risk"/>
    <s v="High Risk Exposure"/>
    <s v="High"/>
  </r>
  <r>
    <s v="LN1820"/>
    <s v="C0605"/>
    <s v="B02"/>
    <x v="0"/>
    <n v="25000000"/>
    <n v="0.15809999999999999"/>
    <d v="2025-06-24T00:00:00"/>
    <n v="72"/>
    <n v="10"/>
    <n v="35750000"/>
    <x v="0"/>
    <n v="539684.15792136267"/>
    <d v="2031-06-24T00:00:00"/>
    <n v="1.43"/>
    <s v="Secured"/>
    <x v="11"/>
    <n v="459"/>
    <s v="High Risk"/>
    <s v="High Risk Exposure"/>
    <s v="High"/>
  </r>
  <r>
    <s v="LN1821"/>
    <s v="C0081"/>
    <s v="B14"/>
    <x v="0"/>
    <n v="3000000"/>
    <n v="0.2077"/>
    <d v="2020-01-16T00:00:00"/>
    <n v="36"/>
    <n v="90"/>
    <n v="3450000"/>
    <x v="2"/>
    <n v="112671.23946238399"/>
    <d v="2023-01-16T00:00:00"/>
    <n v="1.1499999999999999"/>
    <s v="Secured"/>
    <x v="13"/>
    <n v="609"/>
    <s v="Medium Risk"/>
    <s v="High Risk Exposure"/>
    <s v="High"/>
  </r>
  <r>
    <s v="LN1822"/>
    <s v="C0367"/>
    <s v="B11"/>
    <x v="3"/>
    <n v="500000"/>
    <n v="0.13539999999999999"/>
    <d v="2023-11-18T00:00:00"/>
    <n v="24"/>
    <n v="0"/>
    <n v="350000"/>
    <x v="0"/>
    <n v="23897.929563193"/>
    <d v="2025-11-18T00:00:00"/>
    <n v="0.7"/>
    <s v="Undersecured"/>
    <x v="10"/>
    <n v="309"/>
    <s v="High Risk"/>
    <s v="High Risk Exposure"/>
    <s v="High"/>
  </r>
  <r>
    <s v="LN1823"/>
    <s v="C0458"/>
    <s v="B09"/>
    <x v="0"/>
    <n v="25000000"/>
    <n v="0.19350000000000001"/>
    <d v="2025-02-18T00:00:00"/>
    <n v="60"/>
    <n v="0"/>
    <n v="29500000"/>
    <x v="0"/>
    <n v="653337.86463710922"/>
    <d v="2030-02-18T00:00:00"/>
    <n v="1.18"/>
    <s v="Secured"/>
    <x v="8"/>
    <n v="698"/>
    <s v="Low Risk"/>
    <s v="Normal"/>
    <s v="Normal"/>
  </r>
  <r>
    <s v="LN1824"/>
    <s v="C0440"/>
    <s v="B11"/>
    <x v="1"/>
    <n v="250000"/>
    <n v="0.20319999999999999"/>
    <d v="2022-06-10T00:00:00"/>
    <n v="72"/>
    <n v="120"/>
    <n v="0"/>
    <x v="1"/>
    <n v="6034.6691784225832"/>
    <d v="2028-06-10T00:00:00"/>
    <n v="0"/>
    <s v="Undersecured"/>
    <x v="10"/>
    <n v="734"/>
    <s v="Low Risk"/>
    <s v="High Risk Exposure"/>
    <s v="Critical"/>
  </r>
  <r>
    <s v="LN1825"/>
    <s v="C0493"/>
    <s v="B06"/>
    <x v="3"/>
    <n v="1000000"/>
    <n v="0.1943"/>
    <d v="2022-11-10T00:00:00"/>
    <n v="24"/>
    <n v="90"/>
    <n v="890000"/>
    <x v="2"/>
    <n v="50617.780133555061"/>
    <d v="2024-11-10T00:00:00"/>
    <n v="0.89"/>
    <s v="Undersecured"/>
    <x v="6"/>
    <n v="377"/>
    <s v="High Risk"/>
    <s v="High Risk Exposure"/>
    <s v="High"/>
  </r>
  <r>
    <s v="LN1826"/>
    <s v="C0041"/>
    <s v="B13"/>
    <x v="3"/>
    <n v="500000"/>
    <n v="0.1827"/>
    <d v="2024-11-17T00:00:00"/>
    <n v="48"/>
    <n v="45"/>
    <n v="715000"/>
    <x v="2"/>
    <n v="14758.137227507179"/>
    <d v="2028-11-17T00:00:00"/>
    <n v="1.43"/>
    <s v="Secured"/>
    <x v="2"/>
    <n v="838"/>
    <s v="Prime"/>
    <s v="High Risk Exposure"/>
    <s v="High"/>
  </r>
  <r>
    <s v="LN1827"/>
    <s v="C0389"/>
    <s v="B07"/>
    <x v="1"/>
    <n v="500000"/>
    <n v="0.1867"/>
    <d v="2025-09-05T00:00:00"/>
    <n v="12"/>
    <n v="20"/>
    <n v="0"/>
    <x v="0"/>
    <n v="45999.578283825613"/>
    <d v="2026-09-05T00:00:00"/>
    <n v="0"/>
    <s v="Undersecured"/>
    <x v="0"/>
    <n v="751"/>
    <s v="Very Low Risk"/>
    <s v="High Risk Exposure"/>
    <s v="High"/>
  </r>
  <r>
    <s v="LN1828"/>
    <s v="C0402"/>
    <s v="B10"/>
    <x v="1"/>
    <n v="250000"/>
    <n v="0.21970000000000001"/>
    <d v="2021-09-07T00:00:00"/>
    <n v="72"/>
    <n v="10"/>
    <n v="0"/>
    <x v="0"/>
    <n v="6277.0808041779419"/>
    <d v="2027-09-07T00:00:00"/>
    <n v="0"/>
    <s v="Undersecured"/>
    <x v="3"/>
    <n v="316"/>
    <s v="High Risk"/>
    <s v="High Risk Exposure"/>
    <s v="High"/>
  </r>
  <r>
    <s v="LN1829"/>
    <s v="C0237"/>
    <s v="B13"/>
    <x v="0"/>
    <n v="25000000"/>
    <n v="0.22140000000000001"/>
    <d v="2022-11-15T00:00:00"/>
    <n v="36"/>
    <n v="90"/>
    <n v="34000000"/>
    <x v="2"/>
    <n v="956572.93678064167"/>
    <d v="2025-11-15T00:00:00"/>
    <n v="1.36"/>
    <s v="Secured"/>
    <x v="2"/>
    <n v="821"/>
    <s v="Prime"/>
    <s v="High Risk Exposure"/>
    <s v="High"/>
  </r>
  <r>
    <s v="LN1830"/>
    <s v="C0199"/>
    <s v="B10"/>
    <x v="3"/>
    <n v="6000000"/>
    <n v="0.14249999999999999"/>
    <d v="2023-11-07T00:00:00"/>
    <n v="48"/>
    <n v="120"/>
    <n v="4800000"/>
    <x v="1"/>
    <n v="164712.29732451768"/>
    <d v="2027-11-07T00:00:00"/>
    <n v="0.8"/>
    <s v="Undersecured"/>
    <x v="3"/>
    <n v="451"/>
    <s v="High Risk"/>
    <s v="High Risk Exposure"/>
    <s v="Critical"/>
  </r>
  <r>
    <s v="LN1831"/>
    <s v="C0517"/>
    <s v="B14"/>
    <x v="0"/>
    <n v="3000000"/>
    <n v="0.1988"/>
    <d v="2020-01-05T00:00:00"/>
    <n v="24"/>
    <n v="120"/>
    <n v="3390000"/>
    <x v="1"/>
    <n v="152511.59893379471"/>
    <d v="2022-01-05T00:00:00"/>
    <n v="1.1299999999999999"/>
    <s v="Secured"/>
    <x v="13"/>
    <n v="430"/>
    <s v="High Risk"/>
    <s v="High Risk Exposure"/>
    <s v="Critical"/>
  </r>
  <r>
    <s v="LN1832"/>
    <s v="C0555"/>
    <s v="B10"/>
    <x v="1"/>
    <n v="500000"/>
    <n v="0.1701"/>
    <d v="2024-06-01T00:00:00"/>
    <n v="48"/>
    <n v="5"/>
    <n v="0"/>
    <x v="0"/>
    <n v="14430.108108801929"/>
    <d v="2028-06-01T00:00:00"/>
    <n v="0"/>
    <s v="Undersecured"/>
    <x v="3"/>
    <n v="642"/>
    <s v="Medium Risk"/>
    <s v="High Risk Exposure"/>
    <s v="High"/>
  </r>
  <r>
    <s v="LN1833"/>
    <s v="C0343"/>
    <s v="B11"/>
    <x v="1"/>
    <n v="100000"/>
    <n v="0.2492"/>
    <d v="2024-08-14T00:00:00"/>
    <n v="12"/>
    <n v="20"/>
    <n v="0"/>
    <x v="0"/>
    <n v="9500.5385791922199"/>
    <d v="2025-08-14T00:00:00"/>
    <n v="0"/>
    <s v="Undersecured"/>
    <x v="10"/>
    <n v="655"/>
    <s v="Medium Risk"/>
    <s v="High Risk Exposure"/>
    <s v="High"/>
  </r>
  <r>
    <s v="LN1834"/>
    <s v="C0332"/>
    <s v="B14"/>
    <x v="2"/>
    <n v="6000000"/>
    <n v="0.1348"/>
    <d v="2024-03-16T00:00:00"/>
    <n v="36"/>
    <n v="90"/>
    <n v="3300000"/>
    <x v="2"/>
    <n v="203553.68741665728"/>
    <d v="2027-03-16T00:00:00"/>
    <n v="0.55000000000000004"/>
    <s v="Undersecured"/>
    <x v="13"/>
    <n v="701"/>
    <s v="Low Risk"/>
    <s v="High Risk Exposure"/>
    <s v="High"/>
  </r>
  <r>
    <s v="LN1835"/>
    <s v="C0271"/>
    <s v="B04"/>
    <x v="3"/>
    <n v="6000000"/>
    <n v="0.1918"/>
    <d v="2020-06-21T00:00:00"/>
    <n v="36"/>
    <n v="0"/>
    <n v="5160000"/>
    <x v="0"/>
    <n v="220482.54754824034"/>
    <d v="2023-06-21T00:00:00"/>
    <n v="0.86"/>
    <s v="Undersecured"/>
    <x v="14"/>
    <n v="654"/>
    <s v="Medium Risk"/>
    <s v="High Risk Exposure"/>
    <s v="High"/>
  </r>
  <r>
    <s v="LN1836"/>
    <s v="C0048"/>
    <s v="B06"/>
    <x v="2"/>
    <n v="80000000"/>
    <n v="0.13239999999999999"/>
    <d v="2025-09-22T00:00:00"/>
    <n v="24"/>
    <n v="0"/>
    <n v="102400000"/>
    <x v="0"/>
    <n v="3812370.4161661528"/>
    <d v="2027-09-22T00:00:00"/>
    <n v="1.28"/>
    <s v="Secured"/>
    <x v="6"/>
    <n v="850"/>
    <s v="Prime"/>
    <s v="Normal"/>
    <s v="Normal"/>
  </r>
  <r>
    <s v="LN1837"/>
    <s v="C0171"/>
    <s v="B02"/>
    <x v="2"/>
    <n v="6000000"/>
    <n v="0.1114"/>
    <d v="2025-07-20T00:00:00"/>
    <n v="48"/>
    <n v="10"/>
    <n v="3060000"/>
    <x v="0"/>
    <n v="155481.3809499263"/>
    <d v="2029-07-20T00:00:00"/>
    <n v="0.51"/>
    <s v="Undersecured"/>
    <x v="11"/>
    <n v="382"/>
    <s v="High Risk"/>
    <s v="High Risk Exposure"/>
    <s v="High"/>
  </r>
  <r>
    <s v="LN1838"/>
    <s v="C0132"/>
    <s v="B10"/>
    <x v="0"/>
    <n v="3000000"/>
    <n v="0.22919999999999999"/>
    <d v="2024-08-09T00:00:00"/>
    <n v="12"/>
    <n v="0"/>
    <n v="2700000"/>
    <x v="0"/>
    <n v="282113.15068300627"/>
    <d v="2025-08-09T00:00:00"/>
    <n v="0.9"/>
    <s v="Undersecured"/>
    <x v="3"/>
    <n v="444"/>
    <s v="High Risk"/>
    <s v="High Risk Exposure"/>
    <s v="High"/>
  </r>
  <r>
    <s v="LN1839"/>
    <s v="C0186"/>
    <s v="B13"/>
    <x v="0"/>
    <n v="25000000"/>
    <n v="0.2215"/>
    <d v="2021-07-02T00:00:00"/>
    <n v="72"/>
    <n v="5"/>
    <n v="19000000"/>
    <x v="0"/>
    <n v="630381.01593173994"/>
    <d v="2027-07-02T00:00:00"/>
    <n v="0.76"/>
    <s v="Undersecured"/>
    <x v="2"/>
    <n v="808"/>
    <s v="Prime"/>
    <s v="High Risk Exposure"/>
    <s v="High"/>
  </r>
  <r>
    <s v="LN1840"/>
    <s v="C0290"/>
    <s v="B02"/>
    <x v="0"/>
    <n v="3000000"/>
    <n v="0.2142"/>
    <d v="2023-07-06T00:00:00"/>
    <n v="24"/>
    <n v="5"/>
    <n v="3720000"/>
    <x v="0"/>
    <n v="154776.53856800529"/>
    <d v="2025-07-06T00:00:00"/>
    <n v="1.24"/>
    <s v="Secured"/>
    <x v="11"/>
    <n v="478"/>
    <s v="High Risk"/>
    <s v="High Risk Exposure"/>
    <s v="High"/>
  </r>
  <r>
    <s v="LN1841"/>
    <s v="C0108"/>
    <s v="B15"/>
    <x v="3"/>
    <n v="6000000"/>
    <n v="0.16420000000000001"/>
    <d v="2024-01-22T00:00:00"/>
    <n v="60"/>
    <n v="0"/>
    <n v="7500000"/>
    <x v="0"/>
    <n v="147250.67864911864"/>
    <d v="2029-01-22T00:00:00"/>
    <n v="1.25"/>
    <s v="Secured"/>
    <x v="9"/>
    <n v="833"/>
    <s v="Prime"/>
    <s v="Normal"/>
    <s v="Normal"/>
  </r>
  <r>
    <s v="LN1842"/>
    <s v="C0097"/>
    <s v="B08"/>
    <x v="1"/>
    <n v="100000"/>
    <n v="0.20599999999999999"/>
    <d v="2024-02-24T00:00:00"/>
    <n v="48"/>
    <n v="10"/>
    <n v="0"/>
    <x v="0"/>
    <n v="3075.0953718546311"/>
    <d v="2028-02-24T00:00:00"/>
    <n v="0"/>
    <s v="Undersecured"/>
    <x v="5"/>
    <n v="595"/>
    <s v="Medium Risk"/>
    <s v="High Risk Exposure"/>
    <s v="High"/>
  </r>
  <r>
    <s v="LN1843"/>
    <s v="C0159"/>
    <s v="B05"/>
    <x v="2"/>
    <n v="6000000"/>
    <n v="0.1104"/>
    <d v="2022-01-11T00:00:00"/>
    <n v="48"/>
    <n v="0"/>
    <n v="8100000"/>
    <x v="0"/>
    <n v="155189.7127105954"/>
    <d v="2026-01-11T00:00:00"/>
    <n v="1.35"/>
    <s v="Secured"/>
    <x v="4"/>
    <n v="844"/>
    <s v="Prime"/>
    <s v="Normal"/>
    <s v="Normal"/>
  </r>
  <r>
    <s v="LN1844"/>
    <s v="C0386"/>
    <s v="B03"/>
    <x v="3"/>
    <n v="500000"/>
    <n v="0.193"/>
    <d v="2024-11-14T00:00:00"/>
    <n v="36"/>
    <n v="0"/>
    <n v="620000"/>
    <x v="0"/>
    <n v="18403.938131362149"/>
    <d v="2027-11-14T00:00:00"/>
    <n v="1.24"/>
    <s v="Secured"/>
    <x v="7"/>
    <n v="830"/>
    <s v="Prime"/>
    <s v="Normal"/>
    <s v="Normal"/>
  </r>
  <r>
    <s v="LN1845"/>
    <s v="C0120"/>
    <s v="B06"/>
    <x v="2"/>
    <n v="80000000"/>
    <n v="0.1052"/>
    <d v="2024-08-01T00:00:00"/>
    <n v="72"/>
    <n v="0"/>
    <n v="76800000"/>
    <x v="0"/>
    <n v="1503130.9145731044"/>
    <d v="2030-08-01T00:00:00"/>
    <n v="0.96"/>
    <s v="Undersecured"/>
    <x v="6"/>
    <n v="357"/>
    <s v="High Risk"/>
    <s v="High Risk Exposure"/>
    <s v="High"/>
  </r>
  <r>
    <s v="LN1846"/>
    <s v="C0521"/>
    <s v="B08"/>
    <x v="3"/>
    <n v="1000000"/>
    <n v="0.1845"/>
    <d v="2023-10-12T00:00:00"/>
    <n v="12"/>
    <n v="20"/>
    <n v="980000"/>
    <x v="0"/>
    <n v="91894.290046430731"/>
    <d v="2024-10-12T00:00:00"/>
    <n v="0.98"/>
    <s v="Undersecured"/>
    <x v="5"/>
    <n v="309"/>
    <s v="High Risk"/>
    <s v="High Risk Exposure"/>
    <s v="High"/>
  </r>
  <r>
    <s v="LN1847"/>
    <s v="C0546"/>
    <s v="B02"/>
    <x v="3"/>
    <n v="3000000"/>
    <n v="0.1782"/>
    <d v="2022-01-08T00:00:00"/>
    <n v="48"/>
    <n v="45"/>
    <n v="3780000"/>
    <x v="2"/>
    <n v="87843.076113577408"/>
    <d v="2026-01-08T00:00:00"/>
    <n v="1.26"/>
    <s v="Secured"/>
    <x v="11"/>
    <n v="397"/>
    <s v="High Risk"/>
    <s v="High Risk Exposure"/>
    <s v="High"/>
  </r>
  <r>
    <s v="LN1848"/>
    <s v="C0090"/>
    <s v="B02"/>
    <x v="2"/>
    <n v="25000000"/>
    <n v="0.11459999999999999"/>
    <d v="2022-12-21T00:00:00"/>
    <n v="12"/>
    <n v="0"/>
    <n v="14250000"/>
    <x v="0"/>
    <n v="2214909.2435582825"/>
    <d v="2023-12-21T00:00:00"/>
    <n v="0.56999999999999995"/>
    <s v="Undersecured"/>
    <x v="11"/>
    <n v="718"/>
    <s v="Low Risk"/>
    <s v="High Risk Exposure"/>
    <s v="High"/>
  </r>
  <r>
    <s v="LN1849"/>
    <s v="C0670"/>
    <s v="B04"/>
    <x v="3"/>
    <n v="3000000"/>
    <n v="0.1623"/>
    <d v="2021-08-16T00:00:00"/>
    <n v="48"/>
    <n v="0"/>
    <n v="3960000"/>
    <x v="0"/>
    <n v="85374.642324216868"/>
    <d v="2025-08-16T00:00:00"/>
    <n v="1.32"/>
    <s v="Secured"/>
    <x v="14"/>
    <n v="616"/>
    <s v="Medium Risk"/>
    <s v="Normal"/>
    <s v="Normal"/>
  </r>
  <r>
    <s v="LN1850"/>
    <s v="C0489"/>
    <s v="B08"/>
    <x v="1"/>
    <n v="250000"/>
    <n v="0.2107"/>
    <d v="2021-05-09T00:00:00"/>
    <n v="24"/>
    <n v="0"/>
    <n v="0"/>
    <x v="0"/>
    <n v="12855.00996826785"/>
    <d v="2023-05-09T00:00:00"/>
    <n v="0"/>
    <s v="Undersecured"/>
    <x v="5"/>
    <n v="690"/>
    <s v="Low Risk"/>
    <s v="High Risk Exposure"/>
    <s v="High"/>
  </r>
  <r>
    <s v="LN1851"/>
    <s v="C0256"/>
    <s v="B04"/>
    <x v="0"/>
    <n v="25000000"/>
    <n v="0.1421"/>
    <d v="2025-10-21T00:00:00"/>
    <n v="36"/>
    <n v="0"/>
    <n v="25750000"/>
    <x v="0"/>
    <n v="856992.83631996729"/>
    <d v="2028-10-21T00:00:00"/>
    <n v="1.03"/>
    <s v="Secured"/>
    <x v="14"/>
    <n v="541"/>
    <s v="High Risk"/>
    <s v="High Risk Exposure"/>
    <s v="High"/>
  </r>
  <r>
    <s v="LN1852"/>
    <s v="C0265"/>
    <s v="B10"/>
    <x v="2"/>
    <n v="6000000"/>
    <n v="0.1129"/>
    <d v="2023-08-21T00:00:00"/>
    <n v="36"/>
    <n v="0"/>
    <n v="4920000"/>
    <x v="0"/>
    <n v="197257.3278702723"/>
    <d v="2026-08-21T00:00:00"/>
    <n v="0.82"/>
    <s v="Undersecured"/>
    <x v="3"/>
    <n v="834"/>
    <s v="Prime"/>
    <s v="High Risk Exposure"/>
    <s v="High"/>
  </r>
  <r>
    <s v="LN1853"/>
    <s v="C0540"/>
    <s v="B07"/>
    <x v="1"/>
    <n v="250000"/>
    <n v="0.27979999999999999"/>
    <d v="2022-07-08T00:00:00"/>
    <n v="12"/>
    <n v="20"/>
    <n v="0"/>
    <x v="0"/>
    <n v="24124.050975914059"/>
    <d v="2023-07-08T00:00:00"/>
    <n v="0"/>
    <s v="Undersecured"/>
    <x v="0"/>
    <n v="823"/>
    <s v="Prime"/>
    <s v="High Risk Exposure"/>
    <s v="High"/>
  </r>
  <r>
    <s v="LN1854"/>
    <s v="C0448"/>
    <s v="B14"/>
    <x v="2"/>
    <n v="25000000"/>
    <n v="0.1066"/>
    <d v="2021-07-17T00:00:00"/>
    <n v="36"/>
    <n v="5"/>
    <n v="18250000"/>
    <x v="0"/>
    <n v="814448.51134728326"/>
    <d v="2024-07-17T00:00:00"/>
    <n v="0.73"/>
    <s v="Undersecured"/>
    <x v="13"/>
    <n v="673"/>
    <s v="Low Risk"/>
    <s v="High Risk Exposure"/>
    <s v="High"/>
  </r>
  <r>
    <s v="LN1855"/>
    <s v="C0385"/>
    <s v="B01"/>
    <x v="1"/>
    <n v="100000"/>
    <n v="0.25969999999999999"/>
    <d v="2025-09-05T00:00:00"/>
    <n v="72"/>
    <n v="5"/>
    <n v="0"/>
    <x v="0"/>
    <n v="2753.5433345917641"/>
    <d v="2031-09-05T00:00:00"/>
    <n v="0"/>
    <s v="Undersecured"/>
    <x v="1"/>
    <n v="444"/>
    <s v="High Risk"/>
    <s v="High Risk Exposure"/>
    <s v="High"/>
  </r>
  <r>
    <s v="LN1856"/>
    <s v="C0167"/>
    <s v="B09"/>
    <x v="0"/>
    <n v="3000000"/>
    <n v="0.19409999999999999"/>
    <d v="2022-01-08T00:00:00"/>
    <n v="12"/>
    <n v="10"/>
    <n v="4230000"/>
    <x v="0"/>
    <n v="277057.09900622931"/>
    <d v="2023-01-08T00:00:00"/>
    <n v="1.41"/>
    <s v="Secured"/>
    <x v="8"/>
    <n v="490"/>
    <s v="High Risk"/>
    <s v="High Risk Exposure"/>
    <s v="High"/>
  </r>
  <r>
    <s v="LN1857"/>
    <s v="C0569"/>
    <s v="B15"/>
    <x v="1"/>
    <n v="500000"/>
    <n v="0.23530000000000001"/>
    <d v="2020-06-10T00:00:00"/>
    <n v="12"/>
    <n v="120"/>
    <n v="0"/>
    <x v="1"/>
    <n v="47166.145640312621"/>
    <d v="2021-06-10T00:00:00"/>
    <n v="0"/>
    <s v="Undersecured"/>
    <x v="9"/>
    <n v="469"/>
    <s v="High Risk"/>
    <s v="High Risk Exposure"/>
    <s v="Critical"/>
  </r>
  <r>
    <s v="LN1858"/>
    <s v="C0623"/>
    <s v="B05"/>
    <x v="1"/>
    <n v="250000"/>
    <n v="0.21199999999999999"/>
    <d v="2021-07-26T00:00:00"/>
    <n v="48"/>
    <n v="5"/>
    <n v="0"/>
    <x v="0"/>
    <n v="7768.3421910192392"/>
    <d v="2025-07-26T00:00:00"/>
    <n v="0"/>
    <s v="Undersecured"/>
    <x v="4"/>
    <n v="726"/>
    <s v="Low Risk"/>
    <s v="High Risk Exposure"/>
    <s v="High"/>
  </r>
  <r>
    <s v="LN1859"/>
    <s v="C0284"/>
    <s v="B14"/>
    <x v="1"/>
    <n v="500000"/>
    <n v="0.22500000000000001"/>
    <d v="2021-02-07T00:00:00"/>
    <n v="12"/>
    <n v="120"/>
    <n v="0"/>
    <x v="1"/>
    <n v="46917.591825194046"/>
    <d v="2022-02-07T00:00:00"/>
    <n v="0"/>
    <s v="Undersecured"/>
    <x v="13"/>
    <n v="777"/>
    <s v="Very Low Risk"/>
    <s v="High Risk Exposure"/>
    <s v="Critical"/>
  </r>
  <r>
    <s v="LN1860"/>
    <s v="C0634"/>
    <s v="B10"/>
    <x v="3"/>
    <n v="3000000"/>
    <n v="0.14449999999999999"/>
    <d v="2025-04-10T00:00:00"/>
    <n v="72"/>
    <n v="20"/>
    <n v="4290000"/>
    <x v="0"/>
    <n v="62542.417133776798"/>
    <d v="2031-04-10T00:00:00"/>
    <n v="1.43"/>
    <s v="Secured"/>
    <x v="3"/>
    <n v="816"/>
    <s v="Prime"/>
    <s v="Normal"/>
    <s v="Normal"/>
  </r>
  <r>
    <s v="LN1861"/>
    <s v="C0113"/>
    <s v="B15"/>
    <x v="3"/>
    <n v="3000000"/>
    <n v="0.13159999999999999"/>
    <d v="2021-03-28T00:00:00"/>
    <n v="36"/>
    <n v="45"/>
    <n v="2220000"/>
    <x v="2"/>
    <n v="101313.20887548072"/>
    <d v="2024-03-28T00:00:00"/>
    <n v="0.74"/>
    <s v="Undersecured"/>
    <x v="9"/>
    <n v="825"/>
    <s v="Prime"/>
    <s v="High Risk Exposure"/>
    <s v="High"/>
  </r>
  <r>
    <s v="LN1862"/>
    <s v="C0581"/>
    <s v="B06"/>
    <x v="0"/>
    <n v="3000000"/>
    <n v="0.23569999999999999"/>
    <d v="2020-07-11T00:00:00"/>
    <n v="24"/>
    <n v="0"/>
    <n v="1500000"/>
    <x v="0"/>
    <n v="157970.17207588232"/>
    <d v="2022-07-11T00:00:00"/>
    <n v="0.5"/>
    <s v="Undersecured"/>
    <x v="6"/>
    <n v="474"/>
    <s v="High Risk"/>
    <s v="High Risk Exposure"/>
    <s v="High"/>
  </r>
  <r>
    <s v="LN1863"/>
    <s v="C0169"/>
    <s v="B05"/>
    <x v="0"/>
    <n v="6000000"/>
    <n v="0.22589999999999999"/>
    <d v="2020-01-15T00:00:00"/>
    <n v="12"/>
    <n v="10"/>
    <n v="4920000"/>
    <x v="0"/>
    <n v="563271.38289857481"/>
    <d v="2021-01-15T00:00:00"/>
    <n v="0.82"/>
    <s v="Undersecured"/>
    <x v="4"/>
    <n v="737"/>
    <s v="Low Risk"/>
    <s v="High Risk Exposure"/>
    <s v="High"/>
  </r>
  <r>
    <s v="LN1864"/>
    <s v="C0670"/>
    <s v="B11"/>
    <x v="2"/>
    <n v="25000000"/>
    <n v="0.1285"/>
    <d v="2023-06-05T00:00:00"/>
    <n v="36"/>
    <n v="120"/>
    <n v="23000000"/>
    <x v="1"/>
    <n v="840543.70149425627"/>
    <d v="2026-06-05T00:00:00"/>
    <n v="0.92"/>
    <s v="Undersecured"/>
    <x v="10"/>
    <n v="616"/>
    <s v="Medium Risk"/>
    <s v="High Risk Exposure"/>
    <s v="Critical"/>
  </r>
  <r>
    <s v="LN1865"/>
    <s v="C0339"/>
    <s v="B01"/>
    <x v="3"/>
    <n v="3000000"/>
    <n v="0.12759999999999999"/>
    <d v="2024-05-14T00:00:00"/>
    <n v="12"/>
    <n v="45"/>
    <n v="1650000"/>
    <x v="2"/>
    <n v="267614.14555134531"/>
    <d v="2025-05-14T00:00:00"/>
    <n v="0.55000000000000004"/>
    <s v="Undersecured"/>
    <x v="1"/>
    <n v="354"/>
    <s v="High Risk"/>
    <s v="High Risk Exposure"/>
    <s v="High"/>
  </r>
  <r>
    <s v="LN1866"/>
    <s v="C0564"/>
    <s v="B11"/>
    <x v="2"/>
    <n v="6000000"/>
    <n v="0.1193"/>
    <d v="2023-11-03T00:00:00"/>
    <n v="72"/>
    <n v="45"/>
    <n v="5340000"/>
    <x v="2"/>
    <n v="117082.85891541028"/>
    <d v="2029-11-03T00:00:00"/>
    <n v="0.89"/>
    <s v="Undersecured"/>
    <x v="10"/>
    <n v="595"/>
    <s v="Medium Risk"/>
    <s v="High Risk Exposure"/>
    <s v="High"/>
  </r>
  <r>
    <s v="LN1867"/>
    <s v="C0158"/>
    <s v="B11"/>
    <x v="1"/>
    <n v="100000"/>
    <n v="0.21790000000000001"/>
    <d v="2020-01-12T00:00:00"/>
    <n v="36"/>
    <n v="90"/>
    <n v="0"/>
    <x v="2"/>
    <n v="3808.1899440046964"/>
    <d v="2023-01-12T00:00:00"/>
    <n v="0"/>
    <s v="Undersecured"/>
    <x v="10"/>
    <n v="614"/>
    <s v="Medium Risk"/>
    <s v="High Risk Exposure"/>
    <s v="High"/>
  </r>
  <r>
    <s v="LN1868"/>
    <s v="C0698"/>
    <s v="B09"/>
    <x v="2"/>
    <n v="6000000"/>
    <n v="0.13730000000000001"/>
    <d v="2020-12-23T00:00:00"/>
    <n v="72"/>
    <n v="90"/>
    <n v="4740000"/>
    <x v="2"/>
    <n v="122768.65109933759"/>
    <d v="2026-12-23T00:00:00"/>
    <n v="0.79"/>
    <s v="Undersecured"/>
    <x v="8"/>
    <n v="500"/>
    <s v="High Risk"/>
    <s v="High Risk Exposure"/>
    <s v="High"/>
  </r>
  <r>
    <s v="LN1869"/>
    <s v="C0360"/>
    <s v="B14"/>
    <x v="1"/>
    <n v="250000"/>
    <n v="0.16669999999999999"/>
    <d v="2022-08-19T00:00:00"/>
    <n v="72"/>
    <n v="45"/>
    <n v="0"/>
    <x v="2"/>
    <n v="5515.5989763048256"/>
    <d v="2028-08-19T00:00:00"/>
    <n v="0"/>
    <s v="Undersecured"/>
    <x v="13"/>
    <n v="585"/>
    <s v="Medium Risk"/>
    <s v="High Risk Exposure"/>
    <s v="High"/>
  </r>
  <r>
    <s v="LN1870"/>
    <s v="C0615"/>
    <s v="B06"/>
    <x v="2"/>
    <n v="6000000"/>
    <n v="0.1031"/>
    <d v="2022-11-17T00:00:00"/>
    <n v="48"/>
    <n v="45"/>
    <n v="4560000"/>
    <x v="2"/>
    <n v="153070.31018042358"/>
    <d v="2026-11-17T00:00:00"/>
    <n v="0.76"/>
    <s v="Undersecured"/>
    <x v="6"/>
    <n v="763"/>
    <s v="Very Low Risk"/>
    <s v="High Risk Exposure"/>
    <s v="High"/>
  </r>
  <r>
    <s v="LN1871"/>
    <s v="C0305"/>
    <s v="B10"/>
    <x v="1"/>
    <n v="1000000"/>
    <n v="0.17449999999999999"/>
    <d v="2024-09-28T00:00:00"/>
    <n v="36"/>
    <n v="0"/>
    <n v="0"/>
    <x v="0"/>
    <n v="35877.087413345689"/>
    <d v="2027-09-28T00:00:00"/>
    <n v="0"/>
    <s v="Undersecured"/>
    <x v="3"/>
    <n v="654"/>
    <s v="Medium Risk"/>
    <s v="High Risk Exposure"/>
    <s v="High"/>
  </r>
  <r>
    <s v="LN1872"/>
    <s v="C0054"/>
    <s v="B03"/>
    <x v="2"/>
    <n v="80000000"/>
    <n v="0.1227"/>
    <d v="2020-11-01T00:00:00"/>
    <n v="72"/>
    <n v="45"/>
    <n v="99200000"/>
    <x v="2"/>
    <n v="1575270.6783509185"/>
    <d v="2026-11-01T00:00:00"/>
    <n v="1.24"/>
    <s v="Secured"/>
    <x v="7"/>
    <n v="347"/>
    <s v="High Risk"/>
    <s v="High Risk Exposure"/>
    <s v="High"/>
  </r>
  <r>
    <s v="LN1873"/>
    <s v="C0436"/>
    <s v="B15"/>
    <x v="0"/>
    <n v="1000000"/>
    <n v="0.17100000000000001"/>
    <d v="2021-12-16T00:00:00"/>
    <n v="72"/>
    <n v="0"/>
    <n v="1450000"/>
    <x v="0"/>
    <n v="22301.967099899684"/>
    <d v="2027-12-16T00:00:00"/>
    <n v="1.45"/>
    <s v="Secured"/>
    <x v="9"/>
    <n v="467"/>
    <s v="High Risk"/>
    <s v="High Risk Exposure"/>
    <s v="High"/>
  </r>
  <r>
    <s v="LN1874"/>
    <s v="C0617"/>
    <s v="B13"/>
    <x v="3"/>
    <n v="3000000"/>
    <n v="0.1366"/>
    <d v="2021-02-14T00:00:00"/>
    <n v="24"/>
    <n v="90"/>
    <n v="3150000"/>
    <x v="2"/>
    <n v="143557.25676550926"/>
    <d v="2023-02-14T00:00:00"/>
    <n v="1.05"/>
    <s v="Secured"/>
    <x v="2"/>
    <n v="681"/>
    <s v="Low Risk"/>
    <s v="High Risk Exposure"/>
    <s v="High"/>
  </r>
  <r>
    <s v="LN1875"/>
    <s v="C0319"/>
    <s v="B15"/>
    <x v="3"/>
    <n v="6000000"/>
    <n v="0.16289999999999999"/>
    <d v="2025-02-15T00:00:00"/>
    <n v="24"/>
    <n v="120"/>
    <n v="7680000"/>
    <x v="1"/>
    <n v="294610.72980312479"/>
    <d v="2027-02-15T00:00:00"/>
    <n v="1.28"/>
    <s v="Secured"/>
    <x v="9"/>
    <n v="502"/>
    <s v="High Risk"/>
    <s v="High Risk Exposure"/>
    <s v="Critical"/>
  </r>
  <r>
    <s v="LN1876"/>
    <s v="C0376"/>
    <s v="B06"/>
    <x v="2"/>
    <n v="80000000"/>
    <n v="0.1346"/>
    <d v="2023-08-17T00:00:00"/>
    <n v="48"/>
    <n v="10"/>
    <n v="97600000"/>
    <x v="0"/>
    <n v="2164509.4341028002"/>
    <d v="2027-08-17T00:00:00"/>
    <n v="1.22"/>
    <s v="Secured"/>
    <x v="6"/>
    <n v="828"/>
    <s v="Prime"/>
    <s v="Normal"/>
    <s v="Normal"/>
  </r>
  <r>
    <s v="LN1877"/>
    <s v="C0020"/>
    <s v="B11"/>
    <x v="1"/>
    <n v="100000"/>
    <n v="0.1978"/>
    <d v="2023-06-16T00:00:00"/>
    <n v="48"/>
    <n v="0"/>
    <n v="0"/>
    <x v="0"/>
    <n v="3031.3270731559292"/>
    <d v="2027-06-16T00:00:00"/>
    <n v="0"/>
    <s v="Undersecured"/>
    <x v="10"/>
    <n v="389"/>
    <s v="High Risk"/>
    <s v="High Risk Exposure"/>
    <s v="High"/>
  </r>
  <r>
    <s v="LN1878"/>
    <s v="C0102"/>
    <s v="B09"/>
    <x v="0"/>
    <n v="1000000"/>
    <n v="0.21529999999999999"/>
    <d v="2020-07-03T00:00:00"/>
    <n v="60"/>
    <n v="45"/>
    <n v="780000"/>
    <x v="2"/>
    <n v="27352.350063257021"/>
    <d v="2025-07-03T00:00:00"/>
    <n v="0.78"/>
    <s v="Undersecured"/>
    <x v="8"/>
    <n v="444"/>
    <s v="High Risk"/>
    <s v="High Risk Exposure"/>
    <s v="High"/>
  </r>
  <r>
    <s v="LN1879"/>
    <s v="C0603"/>
    <s v="B13"/>
    <x v="1"/>
    <n v="250000"/>
    <n v="0.24129999999999999"/>
    <d v="2025-04-11T00:00:00"/>
    <n v="60"/>
    <n v="5"/>
    <n v="0"/>
    <x v="0"/>
    <n v="7210.8680840251054"/>
    <d v="2030-04-11T00:00:00"/>
    <n v="0"/>
    <s v="Undersecured"/>
    <x v="2"/>
    <n v="802"/>
    <s v="Prime"/>
    <s v="High Risk Exposure"/>
    <s v="High"/>
  </r>
  <r>
    <s v="LN1880"/>
    <s v="C0057"/>
    <s v="B01"/>
    <x v="0"/>
    <n v="3000000"/>
    <n v="0.16309999999999999"/>
    <d v="2021-11-20T00:00:00"/>
    <n v="24"/>
    <n v="20"/>
    <n v="3870000"/>
    <x v="0"/>
    <n v="147334.08187151633"/>
    <d v="2023-11-20T00:00:00"/>
    <n v="1.29"/>
    <s v="Secured"/>
    <x v="1"/>
    <n v="712"/>
    <s v="Low Risk"/>
    <s v="Normal"/>
    <s v="Normal"/>
  </r>
  <r>
    <s v="LN1881"/>
    <s v="C0395"/>
    <s v="B04"/>
    <x v="3"/>
    <n v="3000000"/>
    <n v="0.1817"/>
    <d v="2025-01-17T00:00:00"/>
    <n v="24"/>
    <n v="90"/>
    <n v="2460000"/>
    <x v="2"/>
    <n v="150018.84260013676"/>
    <d v="2027-01-17T00:00:00"/>
    <n v="0.82"/>
    <s v="Undersecured"/>
    <x v="14"/>
    <n v="320"/>
    <s v="High Risk"/>
    <s v="High Risk Exposure"/>
    <s v="High"/>
  </r>
  <r>
    <s v="LN1882"/>
    <s v="C0361"/>
    <s v="B07"/>
    <x v="1"/>
    <n v="500000"/>
    <n v="0.16450000000000001"/>
    <d v="2025-06-05T00:00:00"/>
    <n v="12"/>
    <n v="10"/>
    <n v="0"/>
    <x v="0"/>
    <n v="45471.971740239089"/>
    <d v="2026-06-05T00:00:00"/>
    <n v="0"/>
    <s v="Undersecured"/>
    <x v="0"/>
    <n v="545"/>
    <s v="High Risk"/>
    <s v="High Risk Exposure"/>
    <s v="High"/>
  </r>
  <r>
    <s v="LN1883"/>
    <s v="C0305"/>
    <s v="B07"/>
    <x v="0"/>
    <n v="3000000"/>
    <n v="0.1401"/>
    <d v="2025-02-11T00:00:00"/>
    <n v="36"/>
    <n v="0"/>
    <n v="1890000"/>
    <x v="0"/>
    <n v="102547.46059919546"/>
    <d v="2028-02-11T00:00:00"/>
    <n v="0.63"/>
    <s v="Undersecured"/>
    <x v="0"/>
    <n v="654"/>
    <s v="Medium Risk"/>
    <s v="High Risk Exposure"/>
    <s v="High"/>
  </r>
  <r>
    <s v="LN1884"/>
    <s v="C0164"/>
    <s v="B06"/>
    <x v="1"/>
    <n v="500000"/>
    <n v="0.16889999999999999"/>
    <d v="2021-08-21T00:00:00"/>
    <n v="60"/>
    <n v="0"/>
    <n v="0"/>
    <x v="0"/>
    <n v="12396.733816400778"/>
    <d v="2026-08-21T00:00:00"/>
    <n v="0"/>
    <s v="Undersecured"/>
    <x v="6"/>
    <n v="712"/>
    <s v="Low Risk"/>
    <s v="High Risk Exposure"/>
    <s v="High"/>
  </r>
  <r>
    <s v="LN1885"/>
    <s v="C0083"/>
    <s v="B10"/>
    <x v="2"/>
    <n v="80000000"/>
    <n v="0.1361"/>
    <d v="2025-02-11T00:00:00"/>
    <n v="24"/>
    <n v="0"/>
    <n v="105600000"/>
    <x v="0"/>
    <n v="3826307.808307461"/>
    <d v="2027-02-11T00:00:00"/>
    <n v="1.32"/>
    <s v="Secured"/>
    <x v="3"/>
    <n v="316"/>
    <s v="High Risk"/>
    <s v="High Risk Exposure"/>
    <s v="High"/>
  </r>
  <r>
    <s v="LN1886"/>
    <s v="C0254"/>
    <s v="B02"/>
    <x v="2"/>
    <n v="6000000"/>
    <n v="0.1057"/>
    <d v="2021-11-22T00:00:00"/>
    <n v="12"/>
    <n v="0"/>
    <n v="3180000"/>
    <x v="0"/>
    <n v="529087.26133152132"/>
    <d v="2022-11-22T00:00:00"/>
    <n v="0.53"/>
    <s v="Undersecured"/>
    <x v="11"/>
    <n v="850"/>
    <s v="Prime"/>
    <s v="High Risk Exposure"/>
    <s v="High"/>
  </r>
  <r>
    <s v="LN1887"/>
    <s v="C0548"/>
    <s v="B12"/>
    <x v="1"/>
    <n v="250000"/>
    <n v="0.27860000000000001"/>
    <d v="2024-10-02T00:00:00"/>
    <n v="36"/>
    <n v="0"/>
    <n v="0"/>
    <x v="0"/>
    <n v="10321.997226719501"/>
    <d v="2027-10-02T00:00:00"/>
    <n v="0"/>
    <s v="Undersecured"/>
    <x v="12"/>
    <n v="696"/>
    <s v="Low Risk"/>
    <s v="High Risk Exposure"/>
    <s v="High"/>
  </r>
  <r>
    <s v="LN1888"/>
    <s v="C0381"/>
    <s v="B13"/>
    <x v="3"/>
    <n v="6000000"/>
    <n v="0.19570000000000001"/>
    <d v="2021-05-20T00:00:00"/>
    <n v="60"/>
    <n v="90"/>
    <n v="8460000"/>
    <x v="2"/>
    <n v="157531.16373483496"/>
    <d v="2026-05-20T00:00:00"/>
    <n v="1.41"/>
    <s v="Secured"/>
    <x v="2"/>
    <n v="350"/>
    <s v="High Risk"/>
    <s v="High Risk Exposure"/>
    <s v="High"/>
  </r>
  <r>
    <s v="LN1889"/>
    <s v="C0339"/>
    <s v="B11"/>
    <x v="3"/>
    <n v="3000000"/>
    <n v="0.15690000000000001"/>
    <d v="2023-10-19T00:00:00"/>
    <n v="36"/>
    <n v="90"/>
    <n v="2580000"/>
    <x v="2"/>
    <n v="105012.53146200255"/>
    <d v="2026-10-19T00:00:00"/>
    <n v="0.86"/>
    <s v="Undersecured"/>
    <x v="10"/>
    <n v="354"/>
    <s v="High Risk"/>
    <s v="High Risk Exposure"/>
    <s v="High"/>
  </r>
  <r>
    <s v="LN1890"/>
    <s v="C0011"/>
    <s v="B06"/>
    <x v="1"/>
    <n v="100000"/>
    <n v="0.27889999999999998"/>
    <d v="2020-01-03T00:00:00"/>
    <n v="72"/>
    <n v="0"/>
    <n v="0"/>
    <x v="0"/>
    <n v="2873.7247285599788"/>
    <d v="2026-01-03T00:00:00"/>
    <n v="0"/>
    <s v="Undersecured"/>
    <x v="6"/>
    <n v="390"/>
    <s v="High Risk"/>
    <s v="High Risk Exposure"/>
    <s v="High"/>
  </r>
  <r>
    <s v="LN1891"/>
    <s v="C0069"/>
    <s v="B01"/>
    <x v="3"/>
    <n v="3000000"/>
    <n v="0.16089999999999999"/>
    <d v="2020-06-16T00:00:00"/>
    <n v="24"/>
    <n v="5"/>
    <n v="3510000"/>
    <x v="0"/>
    <n v="147018.37271359266"/>
    <d v="2022-06-16T00:00:00"/>
    <n v="1.17"/>
    <s v="Secured"/>
    <x v="1"/>
    <n v="450"/>
    <s v="High Risk"/>
    <s v="High Risk Exposure"/>
    <s v="High"/>
  </r>
  <r>
    <s v="LN1892"/>
    <s v="C0233"/>
    <s v="B11"/>
    <x v="0"/>
    <n v="3000000"/>
    <n v="0.20319999999999999"/>
    <d v="2023-12-06T00:00:00"/>
    <n v="12"/>
    <n v="0"/>
    <n v="2010000"/>
    <x v="0"/>
    <n v="278363.17771469575"/>
    <d v="2024-12-06T00:00:00"/>
    <n v="0.67"/>
    <s v="Undersecured"/>
    <x v="10"/>
    <n v="805"/>
    <s v="Prime"/>
    <s v="High Risk Exposure"/>
    <s v="High"/>
  </r>
  <r>
    <s v="LN1893"/>
    <s v="C0452"/>
    <s v="B15"/>
    <x v="1"/>
    <n v="100000"/>
    <n v="0.19689999999999999"/>
    <d v="2025-02-06T00:00:00"/>
    <n v="60"/>
    <n v="120"/>
    <n v="0"/>
    <x v="1"/>
    <n v="2632.1690475536411"/>
    <d v="2030-02-06T00:00:00"/>
    <n v="0"/>
    <s v="Undersecured"/>
    <x v="9"/>
    <n v="578"/>
    <s v="High Risk"/>
    <s v="High Risk Exposure"/>
    <s v="Critical"/>
  </r>
  <r>
    <s v="LN1894"/>
    <s v="C0667"/>
    <s v="B06"/>
    <x v="2"/>
    <n v="80000000"/>
    <n v="0.1108"/>
    <d v="2024-04-12T00:00:00"/>
    <n v="24"/>
    <n v="0"/>
    <n v="112000000"/>
    <x v="0"/>
    <n v="3731599.1055099652"/>
    <d v="2026-04-12T00:00:00"/>
    <n v="1.4"/>
    <s v="Secured"/>
    <x v="6"/>
    <n v="823"/>
    <s v="Prime"/>
    <s v="Normal"/>
    <s v="Normal"/>
  </r>
  <r>
    <s v="LN1895"/>
    <s v="C0192"/>
    <s v="B09"/>
    <x v="1"/>
    <n v="100000"/>
    <n v="0.2092"/>
    <d v="2024-10-13T00:00:00"/>
    <n v="24"/>
    <n v="20"/>
    <n v="0"/>
    <x v="0"/>
    <n v="5134.6365275550115"/>
    <d v="2026-10-13T00:00:00"/>
    <n v="0"/>
    <s v="Undersecured"/>
    <x v="8"/>
    <n v="760"/>
    <s v="Very Low Risk"/>
    <s v="High Risk Exposure"/>
    <s v="High"/>
  </r>
  <r>
    <s v="LN1896"/>
    <s v="C0483"/>
    <s v="B09"/>
    <x v="1"/>
    <n v="1000000"/>
    <n v="0.22889999999999999"/>
    <d v="2020-10-23T00:00:00"/>
    <n v="72"/>
    <n v="0"/>
    <n v="0"/>
    <x v="0"/>
    <n v="25657.109470536278"/>
    <d v="2026-10-23T00:00:00"/>
    <n v="0"/>
    <s v="Undersecured"/>
    <x v="8"/>
    <n v="665"/>
    <s v="Medium Risk"/>
    <s v="High Risk Exposure"/>
    <s v="High"/>
  </r>
  <r>
    <s v="LN1897"/>
    <s v="C0218"/>
    <s v="B05"/>
    <x v="1"/>
    <n v="250000"/>
    <n v="0.2424"/>
    <d v="2021-10-11T00:00:00"/>
    <n v="60"/>
    <n v="90"/>
    <n v="0"/>
    <x v="2"/>
    <n v="7226.8599327387192"/>
    <d v="2026-10-11T00:00:00"/>
    <n v="0"/>
    <s v="Undersecured"/>
    <x v="4"/>
    <n v="304"/>
    <s v="High Risk"/>
    <s v="High Risk Exposure"/>
    <s v="High"/>
  </r>
  <r>
    <s v="LN1898"/>
    <s v="C0255"/>
    <s v="B09"/>
    <x v="3"/>
    <n v="6000000"/>
    <n v="0.1487"/>
    <d v="2022-11-18T00:00:00"/>
    <n v="12"/>
    <n v="45"/>
    <n v="3240000"/>
    <x v="2"/>
    <n v="541181.88359510119"/>
    <d v="2023-11-18T00:00:00"/>
    <n v="0.54"/>
    <s v="Undersecured"/>
    <x v="8"/>
    <n v="682"/>
    <s v="Low Risk"/>
    <s v="High Risk Exposure"/>
    <s v="High"/>
  </r>
  <r>
    <s v="LN1899"/>
    <s v="C0311"/>
    <s v="B13"/>
    <x v="3"/>
    <n v="1000000"/>
    <n v="0.17419999999999999"/>
    <d v="2022-06-08T00:00:00"/>
    <n v="72"/>
    <n v="90"/>
    <n v="800000"/>
    <x v="2"/>
    <n v="22481.136269184401"/>
    <d v="2028-06-08T00:00:00"/>
    <n v="0.8"/>
    <s v="Undersecured"/>
    <x v="2"/>
    <n v="370"/>
    <s v="High Risk"/>
    <s v="High Risk Exposure"/>
    <s v="High"/>
  </r>
  <r>
    <s v="LN1900"/>
    <s v="C0572"/>
    <s v="B15"/>
    <x v="3"/>
    <n v="6000000"/>
    <n v="0.16370000000000001"/>
    <d v="2023-08-14T00:00:00"/>
    <n v="60"/>
    <n v="5"/>
    <n v="4680000"/>
    <x v="0"/>
    <n v="147090.52284835686"/>
    <d v="2028-08-14T00:00:00"/>
    <n v="0.78"/>
    <s v="Undersecured"/>
    <x v="9"/>
    <n v="816"/>
    <s v="Prime"/>
    <s v="High Risk Exposure"/>
    <s v="High"/>
  </r>
  <r>
    <s v="LN1901"/>
    <s v="C0651"/>
    <s v="B02"/>
    <x v="1"/>
    <n v="250000"/>
    <n v="0.19489999999999999"/>
    <d v="2023-11-10T00:00:00"/>
    <n v="48"/>
    <n v="120"/>
    <n v="0"/>
    <x v="1"/>
    <n v="7539.8249182205209"/>
    <d v="2027-11-10T00:00:00"/>
    <n v="0"/>
    <s v="Undersecured"/>
    <x v="11"/>
    <n v="600"/>
    <s v="Medium Risk"/>
    <s v="High Risk Exposure"/>
    <s v="Critical"/>
  </r>
  <r>
    <s v="LN1902"/>
    <s v="C0174"/>
    <s v="B12"/>
    <x v="1"/>
    <n v="1000000"/>
    <n v="0.26219999999999999"/>
    <d v="2022-02-13T00:00:00"/>
    <n v="12"/>
    <n v="45"/>
    <n v="0"/>
    <x v="2"/>
    <n v="95637.222998410522"/>
    <d v="2023-02-13T00:00:00"/>
    <n v="0"/>
    <s v="Undersecured"/>
    <x v="12"/>
    <n v="451"/>
    <s v="High Risk"/>
    <s v="High Risk Exposure"/>
    <s v="High"/>
  </r>
  <r>
    <s v="LN1903"/>
    <s v="C0184"/>
    <s v="B12"/>
    <x v="1"/>
    <n v="250000"/>
    <n v="0.16500000000000001"/>
    <d v="2020-04-27T00:00:00"/>
    <n v="36"/>
    <n v="0"/>
    <n v="0"/>
    <x v="0"/>
    <n v="8851.0956375057413"/>
    <d v="2023-04-27T00:00:00"/>
    <n v="0"/>
    <s v="Undersecured"/>
    <x v="12"/>
    <n v="707"/>
    <s v="Low Risk"/>
    <s v="High Risk Exposure"/>
    <s v="High"/>
  </r>
  <r>
    <s v="LN1904"/>
    <s v="C0598"/>
    <s v="B13"/>
    <x v="1"/>
    <n v="250000"/>
    <n v="0.25419999999999998"/>
    <d v="2023-02-05T00:00:00"/>
    <n v="12"/>
    <n v="20"/>
    <n v="0"/>
    <x v="0"/>
    <n v="23812.033629950765"/>
    <d v="2024-02-05T00:00:00"/>
    <n v="0"/>
    <s v="Undersecured"/>
    <x v="2"/>
    <n v="627"/>
    <s v="Medium Risk"/>
    <s v="High Risk Exposure"/>
    <s v="High"/>
  </r>
  <r>
    <s v="LN1905"/>
    <s v="C0466"/>
    <s v="B03"/>
    <x v="0"/>
    <n v="25000000"/>
    <n v="0.16969999999999999"/>
    <d v="2020-08-11T00:00:00"/>
    <n v="60"/>
    <n v="0"/>
    <n v="28000000"/>
    <x v="0"/>
    <n v="620911.19409171108"/>
    <d v="2025-08-11T00:00:00"/>
    <n v="1.1200000000000001"/>
    <s v="Secured"/>
    <x v="7"/>
    <n v="368"/>
    <s v="High Risk"/>
    <s v="High Risk Exposure"/>
    <s v="High"/>
  </r>
  <r>
    <s v="LN1906"/>
    <s v="C0028"/>
    <s v="B13"/>
    <x v="3"/>
    <n v="6000000"/>
    <n v="0.14280000000000001"/>
    <d v="2024-08-01T00:00:00"/>
    <n v="12"/>
    <n v="45"/>
    <n v="9000000"/>
    <x v="2"/>
    <n v="539513.4951547035"/>
    <d v="2025-08-01T00:00:00"/>
    <n v="1.5"/>
    <s v="Secured"/>
    <x v="2"/>
    <n v="797"/>
    <s v="Very Low Risk"/>
    <s v="High Risk Exposure"/>
    <s v="High"/>
  </r>
  <r>
    <s v="LN1907"/>
    <s v="C0413"/>
    <s v="B05"/>
    <x v="1"/>
    <n v="1000000"/>
    <n v="0.20799999999999999"/>
    <d v="2024-09-06T00:00:00"/>
    <n v="36"/>
    <n v="0"/>
    <n v="0"/>
    <x v="0"/>
    <n v="37572.457782806508"/>
    <d v="2027-09-06T00:00:00"/>
    <n v="0"/>
    <s v="Undersecured"/>
    <x v="4"/>
    <n v="455"/>
    <s v="High Risk"/>
    <s v="High Risk Exposure"/>
    <s v="High"/>
  </r>
  <r>
    <s v="LN1908"/>
    <s v="C0465"/>
    <s v="B05"/>
    <x v="1"/>
    <n v="500000"/>
    <n v="0.2419"/>
    <d v="2020-02-11T00:00:00"/>
    <n v="48"/>
    <n v="10"/>
    <n v="0"/>
    <x v="0"/>
    <n v="16353.481591019337"/>
    <d v="2024-02-11T00:00:00"/>
    <n v="0"/>
    <s v="Undersecured"/>
    <x v="4"/>
    <n v="358"/>
    <s v="High Risk"/>
    <s v="High Risk Exposure"/>
    <s v="High"/>
  </r>
  <r>
    <s v="LN1909"/>
    <s v="C0361"/>
    <s v="B12"/>
    <x v="1"/>
    <n v="100000"/>
    <n v="0.25750000000000001"/>
    <d v="2025-10-13T00:00:00"/>
    <n v="72"/>
    <n v="5"/>
    <n v="0"/>
    <x v="0"/>
    <n v="2739.921492322293"/>
    <d v="2031-10-13T00:00:00"/>
    <n v="0"/>
    <s v="Undersecured"/>
    <x v="12"/>
    <n v="545"/>
    <s v="High Risk"/>
    <s v="High Risk Exposure"/>
    <s v="High"/>
  </r>
  <r>
    <s v="LN1910"/>
    <s v="C0395"/>
    <s v="B09"/>
    <x v="3"/>
    <n v="500000"/>
    <n v="0.1464"/>
    <d v="2022-04-20T00:00:00"/>
    <n v="12"/>
    <n v="0"/>
    <n v="705000"/>
    <x v="0"/>
    <n v="45044.263261700675"/>
    <d v="2023-04-20T00:00:00"/>
    <n v="1.41"/>
    <s v="Secured"/>
    <x v="8"/>
    <n v="320"/>
    <s v="High Risk"/>
    <s v="High Risk Exposure"/>
    <s v="High"/>
  </r>
  <r>
    <s v="LN1911"/>
    <s v="C0227"/>
    <s v="B07"/>
    <x v="0"/>
    <n v="6000000"/>
    <n v="0.191"/>
    <d v="2023-01-08T00:00:00"/>
    <n v="36"/>
    <n v="0"/>
    <n v="3180000"/>
    <x v="0"/>
    <n v="220239.59642968766"/>
    <d v="2026-01-08T00:00:00"/>
    <n v="0.53"/>
    <s v="Undersecured"/>
    <x v="0"/>
    <n v="660"/>
    <s v="Medium Risk"/>
    <s v="High Risk Exposure"/>
    <s v="High"/>
  </r>
  <r>
    <s v="LN1912"/>
    <s v="C0426"/>
    <s v="B06"/>
    <x v="2"/>
    <n v="80000000"/>
    <n v="9.5500000000000002E-2"/>
    <d v="2024-01-18T00:00:00"/>
    <n v="48"/>
    <n v="45"/>
    <n v="100800000"/>
    <x v="2"/>
    <n v="2011761.6426891561"/>
    <d v="2028-01-18T00:00:00"/>
    <n v="1.26"/>
    <s v="Secured"/>
    <x v="6"/>
    <n v="487"/>
    <s v="High Risk"/>
    <s v="High Risk Exposure"/>
    <s v="High"/>
  </r>
  <r>
    <s v="LN1913"/>
    <s v="C0294"/>
    <s v="B13"/>
    <x v="3"/>
    <n v="1000000"/>
    <n v="0.12"/>
    <d v="2022-09-02T00:00:00"/>
    <n v="12"/>
    <n v="120"/>
    <n v="1350000"/>
    <x v="1"/>
    <n v="88848.788678341691"/>
    <d v="2023-09-02T00:00:00"/>
    <n v="1.35"/>
    <s v="Secured"/>
    <x v="2"/>
    <n v="804"/>
    <s v="Prime"/>
    <s v="High Risk Exposure"/>
    <s v="Critical"/>
  </r>
  <r>
    <s v="LN1914"/>
    <s v="C0295"/>
    <s v="B12"/>
    <x v="0"/>
    <n v="6000000"/>
    <n v="0.23749999999999999"/>
    <d v="2021-05-20T00:00:00"/>
    <n v="12"/>
    <n v="90"/>
    <n v="7860000"/>
    <x v="2"/>
    <n v="566631.91739320045"/>
    <d v="2022-05-20T00:00:00"/>
    <n v="1.31"/>
    <s v="Secured"/>
    <x v="12"/>
    <n v="747"/>
    <s v="Very Low Risk"/>
    <s v="High Risk Exposure"/>
    <s v="High"/>
  </r>
  <r>
    <s v="LN1915"/>
    <s v="C0692"/>
    <s v="B08"/>
    <x v="0"/>
    <n v="25000000"/>
    <n v="0.20380000000000001"/>
    <d v="2025-06-25T00:00:00"/>
    <n v="36"/>
    <n v="0"/>
    <n v="30250000"/>
    <x v="0"/>
    <n v="933937.16061063146"/>
    <d v="2028-06-25T00:00:00"/>
    <n v="1.21"/>
    <s v="Secured"/>
    <x v="5"/>
    <n v="350"/>
    <s v="High Risk"/>
    <s v="High Risk Exposure"/>
    <s v="High"/>
  </r>
  <r>
    <s v="LN1916"/>
    <s v="C0525"/>
    <s v="B10"/>
    <x v="2"/>
    <n v="25000000"/>
    <n v="0.1138"/>
    <d v="2023-06-03T00:00:00"/>
    <n v="48"/>
    <n v="0"/>
    <n v="16750000"/>
    <x v="0"/>
    <n v="650761.24609367514"/>
    <d v="2027-06-03T00:00:00"/>
    <n v="0.67"/>
    <s v="Undersecured"/>
    <x v="3"/>
    <n v="557"/>
    <s v="High Risk"/>
    <s v="High Risk Exposure"/>
    <s v="High"/>
  </r>
  <r>
    <s v="LN1917"/>
    <s v="C0174"/>
    <s v="B10"/>
    <x v="3"/>
    <n v="6000000"/>
    <n v="0.1734"/>
    <d v="2022-01-16T00:00:00"/>
    <n v="48"/>
    <n v="45"/>
    <n v="6060000"/>
    <x v="2"/>
    <n v="174187.47913513918"/>
    <d v="2026-01-16T00:00:00"/>
    <n v="1.01"/>
    <s v="Secured"/>
    <x v="3"/>
    <n v="451"/>
    <s v="High Risk"/>
    <s v="High Risk Exposure"/>
    <s v="High"/>
  </r>
  <r>
    <s v="LN1918"/>
    <s v="C0245"/>
    <s v="B07"/>
    <x v="3"/>
    <n v="500000"/>
    <n v="0.19389999999999999"/>
    <d v="2023-08-26T00:00:00"/>
    <n v="36"/>
    <n v="90"/>
    <n v="300000"/>
    <x v="2"/>
    <n v="18426.751094730851"/>
    <d v="2026-08-26T00:00:00"/>
    <n v="0.6"/>
    <s v="Undersecured"/>
    <x v="0"/>
    <n v="366"/>
    <s v="High Risk"/>
    <s v="High Risk Exposure"/>
    <s v="High"/>
  </r>
  <r>
    <s v="LN1919"/>
    <s v="C0058"/>
    <s v="B11"/>
    <x v="0"/>
    <n v="6000000"/>
    <n v="0.1706"/>
    <d v="2022-02-09T00:00:00"/>
    <n v="72"/>
    <n v="0"/>
    <n v="6840000"/>
    <x v="0"/>
    <n v="133677.74329011317"/>
    <d v="2028-02-09T00:00:00"/>
    <n v="1.1399999999999999"/>
    <s v="Secured"/>
    <x v="10"/>
    <n v="777"/>
    <s v="Very Low Risk"/>
    <s v="Normal"/>
    <s v="Normal"/>
  </r>
  <r>
    <s v="LN1920"/>
    <s v="C0513"/>
    <s v="B01"/>
    <x v="1"/>
    <n v="500000"/>
    <n v="0.2293"/>
    <d v="2025-09-08T00:00:00"/>
    <n v="48"/>
    <n v="90"/>
    <n v="0"/>
    <x v="2"/>
    <n v="16006.565862208845"/>
    <d v="2029-09-08T00:00:00"/>
    <n v="0"/>
    <s v="Undersecured"/>
    <x v="1"/>
    <n v="825"/>
    <s v="Prime"/>
    <s v="High Risk Exposure"/>
    <s v="High"/>
  </r>
  <r>
    <s v="LN1921"/>
    <s v="C0439"/>
    <s v="B04"/>
    <x v="0"/>
    <n v="25000000"/>
    <n v="0.23300000000000001"/>
    <d v="2025-05-28T00:00:00"/>
    <n v="36"/>
    <n v="120"/>
    <n v="20750000"/>
    <x v="1"/>
    <n v="971656.40517463535"/>
    <d v="2028-05-28T00:00:00"/>
    <n v="0.83"/>
    <s v="Undersecured"/>
    <x v="14"/>
    <n v="466"/>
    <s v="High Risk"/>
    <s v="High Risk Exposure"/>
    <s v="Critical"/>
  </r>
  <r>
    <s v="LN1922"/>
    <s v="C0333"/>
    <s v="B11"/>
    <x v="1"/>
    <n v="1000000"/>
    <n v="0.26779999999999998"/>
    <d v="2023-09-27T00:00:00"/>
    <n v="12"/>
    <n v="45"/>
    <n v="0"/>
    <x v="2"/>
    <n v="95910.090062380084"/>
    <d v="2024-09-27T00:00:00"/>
    <n v="0"/>
    <s v="Undersecured"/>
    <x v="10"/>
    <n v="577"/>
    <s v="High Risk"/>
    <s v="High Risk Exposure"/>
    <s v="High"/>
  </r>
  <r>
    <s v="LN1923"/>
    <s v="C0422"/>
    <s v="B15"/>
    <x v="3"/>
    <n v="1000000"/>
    <n v="0.16170000000000001"/>
    <d v="2023-12-23T00:00:00"/>
    <n v="12"/>
    <n v="5"/>
    <n v="1120000"/>
    <x v="0"/>
    <n v="90811.324782736498"/>
    <d v="2024-12-23T00:00:00"/>
    <n v="1.1200000000000001"/>
    <s v="Secured"/>
    <x v="9"/>
    <n v="653"/>
    <s v="Medium Risk"/>
    <s v="Normal"/>
    <s v="Normal"/>
  </r>
  <r>
    <s v="LN1924"/>
    <s v="C0227"/>
    <s v="B15"/>
    <x v="0"/>
    <n v="1000000"/>
    <n v="0.183"/>
    <d v="2025-08-08T00:00:00"/>
    <n v="12"/>
    <n v="0"/>
    <n v="1320000"/>
    <x v="0"/>
    <n v="91822.827427259414"/>
    <d v="2026-08-08T00:00:00"/>
    <n v="1.32"/>
    <s v="Secured"/>
    <x v="9"/>
    <n v="660"/>
    <s v="Medium Risk"/>
    <s v="Normal"/>
    <s v="Normal"/>
  </r>
  <r>
    <s v="LN1925"/>
    <s v="C0527"/>
    <s v="B05"/>
    <x v="1"/>
    <n v="1000000"/>
    <n v="0.23749999999999999"/>
    <d v="2020-08-08T00:00:00"/>
    <n v="60"/>
    <n v="10"/>
    <n v="0"/>
    <x v="0"/>
    <n v="28623.039628148432"/>
    <d v="2025-08-08T00:00:00"/>
    <n v="0"/>
    <s v="Undersecured"/>
    <x v="4"/>
    <n v="340"/>
    <s v="High Risk"/>
    <s v="High Risk Exposure"/>
    <s v="High"/>
  </r>
  <r>
    <s v="LN1926"/>
    <s v="C0434"/>
    <s v="B09"/>
    <x v="1"/>
    <n v="250000"/>
    <n v="0.25190000000000001"/>
    <d v="2021-06-01T00:00:00"/>
    <n v="72"/>
    <n v="0"/>
    <n v="0"/>
    <x v="0"/>
    <n v="6763.4705929535285"/>
    <d v="2027-06-01T00:00:00"/>
    <n v="0"/>
    <s v="Undersecured"/>
    <x v="8"/>
    <n v="473"/>
    <s v="High Risk"/>
    <s v="High Risk Exposure"/>
    <s v="High"/>
  </r>
  <r>
    <s v="LN1927"/>
    <s v="C0626"/>
    <s v="B01"/>
    <x v="1"/>
    <n v="250000"/>
    <n v="0.223"/>
    <d v="2024-12-26T00:00:00"/>
    <n v="72"/>
    <n v="5"/>
    <n v="0"/>
    <x v="0"/>
    <n v="6326.1269183630329"/>
    <d v="2030-12-26T00:00:00"/>
    <n v="0"/>
    <s v="Undersecured"/>
    <x v="1"/>
    <n v="795"/>
    <s v="Very Low Risk"/>
    <s v="High Risk Exposure"/>
    <s v="High"/>
  </r>
  <r>
    <s v="LN1928"/>
    <s v="C0151"/>
    <s v="B05"/>
    <x v="1"/>
    <n v="100000"/>
    <n v="0.1673"/>
    <d v="2021-02-27T00:00:00"/>
    <n v="36"/>
    <n v="45"/>
    <n v="0"/>
    <x v="2"/>
    <n v="3551.8497727285098"/>
    <d v="2024-02-27T00:00:00"/>
    <n v="0"/>
    <s v="Undersecured"/>
    <x v="4"/>
    <n v="813"/>
    <s v="Prime"/>
    <s v="High Risk Exposure"/>
    <s v="High"/>
  </r>
  <r>
    <s v="LN1929"/>
    <s v="C0017"/>
    <s v="B02"/>
    <x v="2"/>
    <n v="80000000"/>
    <n v="0.1101"/>
    <d v="2020-10-24T00:00:00"/>
    <n v="36"/>
    <n v="45"/>
    <n v="102400000"/>
    <x v="2"/>
    <n v="2619476.2363854623"/>
    <d v="2023-10-24T00:00:00"/>
    <n v="1.28"/>
    <s v="Secured"/>
    <x v="11"/>
    <n v="622"/>
    <s v="Medium Risk"/>
    <s v="High Risk Exposure"/>
    <s v="High"/>
  </r>
  <r>
    <s v="LN1930"/>
    <s v="C0416"/>
    <s v="B15"/>
    <x v="2"/>
    <n v="6000000"/>
    <n v="0.1353"/>
    <d v="2025-10-19T00:00:00"/>
    <n v="48"/>
    <n v="20"/>
    <n v="7320000"/>
    <x v="0"/>
    <n v="162547.76877213118"/>
    <d v="2029-10-19T00:00:00"/>
    <n v="1.22"/>
    <s v="Secured"/>
    <x v="9"/>
    <n v="626"/>
    <s v="Medium Risk"/>
    <s v="Normal"/>
    <s v="Normal"/>
  </r>
  <r>
    <s v="LN1931"/>
    <s v="C0057"/>
    <s v="B01"/>
    <x v="3"/>
    <n v="500000"/>
    <n v="0.13420000000000001"/>
    <d v="2023-08-01T00:00:00"/>
    <n v="72"/>
    <n v="10"/>
    <n v="705000"/>
    <x v="0"/>
    <n v="10148.227872368185"/>
    <d v="2029-08-01T00:00:00"/>
    <n v="1.41"/>
    <s v="Secured"/>
    <x v="1"/>
    <n v="712"/>
    <s v="Low Risk"/>
    <s v="Normal"/>
    <s v="Normal"/>
  </r>
  <r>
    <s v="LN1932"/>
    <s v="C0286"/>
    <s v="B12"/>
    <x v="0"/>
    <n v="1000000"/>
    <n v="0.17460000000000001"/>
    <d v="2021-02-03T00:00:00"/>
    <n v="24"/>
    <n v="20"/>
    <n v="560000"/>
    <x v="0"/>
    <n v="49663.576536824272"/>
    <d v="2023-02-03T00:00:00"/>
    <n v="0.56000000000000005"/>
    <s v="Undersecured"/>
    <x v="12"/>
    <n v="422"/>
    <s v="High Risk"/>
    <s v="High Risk Exposure"/>
    <s v="High"/>
  </r>
  <r>
    <s v="LN1933"/>
    <s v="C0351"/>
    <s v="B10"/>
    <x v="2"/>
    <n v="6000000"/>
    <n v="0.13519999999999999"/>
    <d v="2024-08-16T00:00:00"/>
    <n v="72"/>
    <n v="0"/>
    <n v="4920000"/>
    <x v="0"/>
    <n v="122097.57877544385"/>
    <d v="2030-08-16T00:00:00"/>
    <n v="0.82"/>
    <s v="Undersecured"/>
    <x v="3"/>
    <n v="797"/>
    <s v="Very Low Risk"/>
    <s v="High Risk Exposure"/>
    <s v="High"/>
  </r>
  <r>
    <s v="LN1934"/>
    <s v="C0140"/>
    <s v="B06"/>
    <x v="3"/>
    <n v="3000000"/>
    <n v="0.17469999999999999"/>
    <d v="2022-04-19T00:00:00"/>
    <n v="12"/>
    <n v="90"/>
    <n v="3120000"/>
    <x v="2"/>
    <n v="274283.8430282881"/>
    <d v="2023-04-19T00:00:00"/>
    <n v="1.04"/>
    <s v="Secured"/>
    <x v="6"/>
    <n v="511"/>
    <s v="High Risk"/>
    <s v="High Risk Exposure"/>
    <s v="High"/>
  </r>
  <r>
    <s v="LN1935"/>
    <s v="C0361"/>
    <s v="B09"/>
    <x v="0"/>
    <n v="25000000"/>
    <n v="0.1794"/>
    <d v="2025-04-17T00:00:00"/>
    <n v="12"/>
    <n v="20"/>
    <n v="20500000"/>
    <x v="0"/>
    <n v="2291286.0130176595"/>
    <d v="2026-04-17T00:00:00"/>
    <n v="0.82"/>
    <s v="Undersecured"/>
    <x v="8"/>
    <n v="545"/>
    <s v="High Risk"/>
    <s v="High Risk Exposure"/>
    <s v="High"/>
  </r>
  <r>
    <s v="LN1936"/>
    <s v="C0217"/>
    <s v="B07"/>
    <x v="0"/>
    <n v="25000000"/>
    <n v="0.2349"/>
    <d v="2021-12-20T00:00:00"/>
    <n v="12"/>
    <n v="0"/>
    <n v="18500000"/>
    <x v="0"/>
    <n v="2357823.9933104306"/>
    <d v="2022-12-20T00:00:00"/>
    <n v="0.74"/>
    <s v="Undersecured"/>
    <x v="0"/>
    <n v="841"/>
    <s v="Prime"/>
    <s v="High Risk Exposure"/>
    <s v="High"/>
  </r>
  <r>
    <s v="LN1937"/>
    <s v="C0118"/>
    <s v="B01"/>
    <x v="3"/>
    <n v="500000"/>
    <n v="0.1419"/>
    <d v="2023-05-12T00:00:00"/>
    <n v="60"/>
    <n v="5"/>
    <n v="685000"/>
    <x v="0"/>
    <n v="11683.435610384309"/>
    <d v="2028-05-12T00:00:00"/>
    <n v="1.37"/>
    <s v="Secured"/>
    <x v="1"/>
    <n v="790"/>
    <s v="Very Low Risk"/>
    <s v="Normal"/>
    <s v="Normal"/>
  </r>
  <r>
    <s v="LN1938"/>
    <s v="C0650"/>
    <s v="B01"/>
    <x v="0"/>
    <n v="6000000"/>
    <n v="0.1462"/>
    <d v="2025-12-03T00:00:00"/>
    <n v="48"/>
    <n v="90"/>
    <n v="3120000"/>
    <x v="2"/>
    <n v="165831.02157854949"/>
    <d v="2029-12-03T00:00:00"/>
    <n v="0.52"/>
    <s v="Undersecured"/>
    <x v="1"/>
    <n v="325"/>
    <s v="High Risk"/>
    <s v="High Risk Exposure"/>
    <s v="High"/>
  </r>
  <r>
    <s v="LN1939"/>
    <s v="C0090"/>
    <s v="B13"/>
    <x v="3"/>
    <n v="3000000"/>
    <n v="0.12720000000000001"/>
    <d v="2024-10-03T00:00:00"/>
    <n v="36"/>
    <n v="45"/>
    <n v="2820000"/>
    <x v="2"/>
    <n v="100677.73438202287"/>
    <d v="2027-10-03T00:00:00"/>
    <n v="0.94"/>
    <s v="Undersecured"/>
    <x v="2"/>
    <n v="718"/>
    <s v="Low Risk"/>
    <s v="High Risk Exposure"/>
    <s v="High"/>
  </r>
  <r>
    <s v="LN1940"/>
    <s v="C0038"/>
    <s v="B12"/>
    <x v="2"/>
    <n v="6000000"/>
    <n v="0.1129"/>
    <d v="2023-06-11T00:00:00"/>
    <n v="48"/>
    <n v="120"/>
    <n v="3300000"/>
    <x v="1"/>
    <n v="155919.48741091829"/>
    <d v="2027-06-11T00:00:00"/>
    <n v="0.55000000000000004"/>
    <s v="Undersecured"/>
    <x v="12"/>
    <n v="456"/>
    <s v="High Risk"/>
    <s v="High Risk Exposure"/>
    <s v="Critical"/>
  </r>
  <r>
    <s v="LN1941"/>
    <s v="C0559"/>
    <s v="B12"/>
    <x v="2"/>
    <n v="6000000"/>
    <n v="0.1089"/>
    <d v="2022-06-11T00:00:00"/>
    <n v="72"/>
    <n v="20"/>
    <n v="6660000"/>
    <x v="0"/>
    <n v="113866.71503458708"/>
    <d v="2028-06-11T00:00:00"/>
    <n v="1.1100000000000001"/>
    <s v="Secured"/>
    <x v="12"/>
    <n v="320"/>
    <s v="High Risk"/>
    <s v="High Risk Exposure"/>
    <s v="High"/>
  </r>
  <r>
    <s v="LN1942"/>
    <s v="C0076"/>
    <s v="B14"/>
    <x v="1"/>
    <n v="500000"/>
    <n v="0.23219999999999999"/>
    <d v="2021-01-02T00:00:00"/>
    <n v="72"/>
    <n v="0"/>
    <n v="0"/>
    <x v="0"/>
    <n v="12927.676915436436"/>
    <d v="2027-01-02T00:00:00"/>
    <n v="0"/>
    <s v="Undersecured"/>
    <x v="13"/>
    <n v="434"/>
    <s v="High Risk"/>
    <s v="High Risk Exposure"/>
    <s v="High"/>
  </r>
  <r>
    <s v="LN1943"/>
    <s v="C0139"/>
    <s v="B13"/>
    <x v="1"/>
    <n v="500000"/>
    <n v="0.16539999999999999"/>
    <d v="2022-03-18T00:00:00"/>
    <n v="60"/>
    <n v="120"/>
    <n v="0"/>
    <x v="1"/>
    <n v="12302.953514841129"/>
    <d v="2027-03-18T00:00:00"/>
    <n v="0"/>
    <s v="Undersecured"/>
    <x v="2"/>
    <n v="625"/>
    <s v="Medium Risk"/>
    <s v="High Risk Exposure"/>
    <s v="Critical"/>
  </r>
  <r>
    <s v="LN1944"/>
    <s v="C0648"/>
    <s v="B11"/>
    <x v="3"/>
    <n v="1000000"/>
    <n v="0.14929999999999999"/>
    <d v="2020-12-17T00:00:00"/>
    <n v="72"/>
    <n v="20"/>
    <n v="1350000"/>
    <x v="0"/>
    <n v="21107.017279111216"/>
    <d v="2026-12-17T00:00:00"/>
    <n v="1.35"/>
    <s v="Secured"/>
    <x v="10"/>
    <n v="794"/>
    <s v="Very Low Risk"/>
    <s v="Normal"/>
    <s v="Normal"/>
  </r>
  <r>
    <s v="LN1945"/>
    <s v="C0632"/>
    <s v="B07"/>
    <x v="1"/>
    <n v="250000"/>
    <n v="0.2427"/>
    <d v="2021-04-08T00:00:00"/>
    <n v="36"/>
    <n v="0"/>
    <n v="0"/>
    <x v="0"/>
    <n v="9843.6893995944465"/>
    <d v="2024-04-08T00:00:00"/>
    <n v="0"/>
    <s v="Undersecured"/>
    <x v="0"/>
    <n v="580"/>
    <s v="Medium Risk"/>
    <s v="High Risk Exposure"/>
    <s v="High"/>
  </r>
  <r>
    <s v="LN1946"/>
    <s v="C0031"/>
    <s v="B12"/>
    <x v="1"/>
    <n v="100000"/>
    <n v="0.25950000000000001"/>
    <d v="2024-11-22T00:00:00"/>
    <n v="48"/>
    <n v="0"/>
    <n v="0"/>
    <x v="0"/>
    <n v="3368.9182574430047"/>
    <d v="2028-11-22T00:00:00"/>
    <n v="0"/>
    <s v="Undersecured"/>
    <x v="12"/>
    <n v="602"/>
    <s v="Medium Risk"/>
    <s v="High Risk Exposure"/>
    <s v="High"/>
  </r>
  <r>
    <s v="LN1947"/>
    <s v="C0131"/>
    <s v="B15"/>
    <x v="3"/>
    <n v="6000000"/>
    <n v="0.1633"/>
    <d v="2025-05-13T00:00:00"/>
    <n v="72"/>
    <n v="0"/>
    <n v="6360000"/>
    <x v="0"/>
    <n v="131243.61565566011"/>
    <d v="2031-05-13T00:00:00"/>
    <n v="1.06"/>
    <s v="Secured"/>
    <x v="9"/>
    <n v="324"/>
    <s v="High Risk"/>
    <s v="High Risk Exposure"/>
    <s v="High"/>
  </r>
  <r>
    <s v="LN1948"/>
    <s v="C0407"/>
    <s v="B09"/>
    <x v="3"/>
    <n v="500000"/>
    <n v="0.18290000000000001"/>
    <d v="2024-07-05T00:00:00"/>
    <n v="36"/>
    <n v="0"/>
    <n v="605000"/>
    <x v="0"/>
    <n v="18149.020043633969"/>
    <d v="2027-07-05T00:00:00"/>
    <n v="1.21"/>
    <s v="Secured"/>
    <x v="8"/>
    <n v="813"/>
    <s v="Prime"/>
    <s v="Normal"/>
    <s v="Normal"/>
  </r>
  <r>
    <s v="LN1949"/>
    <s v="C0617"/>
    <s v="B09"/>
    <x v="3"/>
    <n v="6000000"/>
    <n v="0.18479999999999999"/>
    <d v="2020-02-22T00:00:00"/>
    <n v="72"/>
    <n v="0"/>
    <n v="7680000"/>
    <x v="0"/>
    <n v="138479.86189633285"/>
    <d v="2026-02-22T00:00:00"/>
    <n v="1.28"/>
    <s v="Secured"/>
    <x v="8"/>
    <n v="681"/>
    <s v="Low Risk"/>
    <s v="Normal"/>
    <s v="Normal"/>
  </r>
  <r>
    <s v="LN1950"/>
    <s v="C0024"/>
    <s v="B12"/>
    <x v="2"/>
    <n v="25000000"/>
    <n v="9.8500000000000004E-2"/>
    <d v="2023-03-10T00:00:00"/>
    <n v="72"/>
    <n v="90"/>
    <n v="16750000"/>
    <x v="2"/>
    <n v="461257.12159637728"/>
    <d v="2029-03-10T00:00:00"/>
    <n v="0.67"/>
    <s v="Undersecured"/>
    <x v="12"/>
    <n v="338"/>
    <s v="High Risk"/>
    <s v="High Risk Exposure"/>
    <s v="High"/>
  </r>
  <r>
    <s v="LN1951"/>
    <s v="C0617"/>
    <s v="B13"/>
    <x v="3"/>
    <n v="6000000"/>
    <n v="0.16070000000000001"/>
    <d v="2024-09-08T00:00:00"/>
    <n v="60"/>
    <n v="0"/>
    <n v="3840000"/>
    <x v="0"/>
    <n v="146131.59624999407"/>
    <d v="2029-09-08T00:00:00"/>
    <n v="0.64"/>
    <s v="Undersecured"/>
    <x v="2"/>
    <n v="681"/>
    <s v="Low Risk"/>
    <s v="High Risk Exposure"/>
    <s v="High"/>
  </r>
  <r>
    <s v="LN1952"/>
    <s v="C0629"/>
    <s v="B01"/>
    <x v="2"/>
    <n v="80000000"/>
    <n v="0.1246"/>
    <d v="2022-01-09T00:00:00"/>
    <n v="12"/>
    <n v="0"/>
    <n v="78400000"/>
    <x v="0"/>
    <n v="7125129.9448508387"/>
    <d v="2023-01-09T00:00:00"/>
    <n v="0.98"/>
    <s v="Undersecured"/>
    <x v="1"/>
    <n v="502"/>
    <s v="High Risk"/>
    <s v="High Risk Exposure"/>
    <s v="High"/>
  </r>
  <r>
    <s v="LN1953"/>
    <s v="C0459"/>
    <s v="B11"/>
    <x v="1"/>
    <n v="500000"/>
    <n v="0.1603"/>
    <d v="2024-05-02T00:00:00"/>
    <n v="60"/>
    <n v="5"/>
    <n v="0"/>
    <x v="0"/>
    <n v="12166.999982344096"/>
    <d v="2029-05-02T00:00:00"/>
    <n v="0"/>
    <s v="Undersecured"/>
    <x v="10"/>
    <n v="502"/>
    <s v="High Risk"/>
    <s v="High Risk Exposure"/>
    <s v="High"/>
  </r>
  <r>
    <s v="LN1954"/>
    <s v="C0400"/>
    <s v="B06"/>
    <x v="0"/>
    <n v="1000000"/>
    <n v="0.21490000000000001"/>
    <d v="2021-10-13T00:00:00"/>
    <n v="36"/>
    <n v="0"/>
    <n v="620000"/>
    <x v="0"/>
    <n v="37927.120047346987"/>
    <d v="2024-10-13T00:00:00"/>
    <n v="0.62"/>
    <s v="Undersecured"/>
    <x v="6"/>
    <n v="441"/>
    <s v="High Risk"/>
    <s v="High Risk Exposure"/>
    <s v="High"/>
  </r>
  <r>
    <s v="LN1955"/>
    <s v="C0357"/>
    <s v="B07"/>
    <x v="1"/>
    <n v="1000000"/>
    <n v="0.17330000000000001"/>
    <d v="2023-12-28T00:00:00"/>
    <n v="48"/>
    <n v="90"/>
    <n v="0"/>
    <x v="2"/>
    <n v="29026.05548488937"/>
    <d v="2027-12-28T00:00:00"/>
    <n v="0"/>
    <s v="Undersecured"/>
    <x v="0"/>
    <n v="510"/>
    <s v="High Risk"/>
    <s v="High Risk Exposure"/>
    <s v="High"/>
  </r>
  <r>
    <s v="LN1956"/>
    <s v="C0467"/>
    <s v="B08"/>
    <x v="0"/>
    <n v="25000000"/>
    <n v="0.14580000000000001"/>
    <d v="2023-08-14T00:00:00"/>
    <n v="24"/>
    <n v="120"/>
    <n v="17000000"/>
    <x v="1"/>
    <n v="1207183.4471849031"/>
    <d v="2025-08-14T00:00:00"/>
    <n v="0.68"/>
    <s v="Undersecured"/>
    <x v="5"/>
    <n v="303"/>
    <s v="High Risk"/>
    <s v="High Risk Exposure"/>
    <s v="Critical"/>
  </r>
  <r>
    <s v="LN1957"/>
    <s v="C0469"/>
    <s v="B04"/>
    <x v="0"/>
    <n v="3000000"/>
    <n v="0.20710000000000001"/>
    <d v="2020-05-16T00:00:00"/>
    <n v="24"/>
    <n v="0"/>
    <n v="2880000"/>
    <x v="0"/>
    <n v="153729.96372393882"/>
    <d v="2022-05-16T00:00:00"/>
    <n v="0.96"/>
    <s v="Undersecured"/>
    <x v="14"/>
    <n v="760"/>
    <s v="Very Low Risk"/>
    <s v="High Risk Exposure"/>
    <s v="High"/>
  </r>
  <r>
    <s v="LN1958"/>
    <s v="C0192"/>
    <s v="B07"/>
    <x v="0"/>
    <n v="6000000"/>
    <n v="0.23300000000000001"/>
    <d v="2020-10-15T00:00:00"/>
    <n v="12"/>
    <n v="45"/>
    <n v="6780000"/>
    <x v="2"/>
    <n v="565326.98397603631"/>
    <d v="2021-10-15T00:00:00"/>
    <n v="1.1299999999999999"/>
    <s v="Secured"/>
    <x v="0"/>
    <n v="760"/>
    <s v="Very Low Risk"/>
    <s v="High Risk Exposure"/>
    <s v="High"/>
  </r>
  <r>
    <s v="LN1959"/>
    <s v="C0376"/>
    <s v="B01"/>
    <x v="2"/>
    <n v="25000000"/>
    <n v="9.7500000000000003E-2"/>
    <d v="2022-08-18T00:00:00"/>
    <n v="12"/>
    <n v="0"/>
    <n v="32750000"/>
    <x v="0"/>
    <n v="2194991.4240177772"/>
    <d v="2023-08-18T00:00:00"/>
    <n v="1.31"/>
    <s v="Secured"/>
    <x v="1"/>
    <n v="828"/>
    <s v="Prime"/>
    <s v="Normal"/>
    <s v="Normal"/>
  </r>
  <r>
    <s v="LN1960"/>
    <s v="C0108"/>
    <s v="B06"/>
    <x v="2"/>
    <n v="6000000"/>
    <n v="0.1215"/>
    <d v="2022-11-07T00:00:00"/>
    <n v="12"/>
    <n v="10"/>
    <n v="6360000"/>
    <x v="0"/>
    <n v="533513.85168808466"/>
    <d v="2023-11-07T00:00:00"/>
    <n v="1.06"/>
    <s v="Secured"/>
    <x v="6"/>
    <n v="833"/>
    <s v="Prime"/>
    <s v="Normal"/>
    <s v="Normal"/>
  </r>
  <r>
    <s v="LN1961"/>
    <s v="C0414"/>
    <s v="B09"/>
    <x v="2"/>
    <n v="6000000"/>
    <n v="9.3700000000000006E-2"/>
    <d v="2021-05-12T00:00:00"/>
    <n v="36"/>
    <n v="0"/>
    <n v="4260000"/>
    <x v="0"/>
    <n v="191833.29047836812"/>
    <d v="2024-05-12T00:00:00"/>
    <n v="0.71"/>
    <s v="Undersecured"/>
    <x v="8"/>
    <n v="708"/>
    <s v="Low Risk"/>
    <s v="High Risk Exposure"/>
    <s v="High"/>
  </r>
  <r>
    <s v="LN1962"/>
    <s v="C0134"/>
    <s v="B05"/>
    <x v="3"/>
    <n v="6000000"/>
    <n v="0.14940000000000001"/>
    <d v="2023-01-19T00:00:00"/>
    <n v="24"/>
    <n v="0"/>
    <n v="5880000"/>
    <x v="0"/>
    <n v="290748.87612342695"/>
    <d v="2025-01-19T00:00:00"/>
    <n v="0.98"/>
    <s v="Undersecured"/>
    <x v="4"/>
    <n v="447"/>
    <s v="High Risk"/>
    <s v="High Risk Exposure"/>
    <s v="High"/>
  </r>
  <r>
    <s v="LN1963"/>
    <s v="C0100"/>
    <s v="B08"/>
    <x v="0"/>
    <n v="1000000"/>
    <n v="0.19989999999999999"/>
    <d v="2022-12-08T00:00:00"/>
    <n v="12"/>
    <n v="45"/>
    <n v="670000"/>
    <x v="2"/>
    <n v="92629.719982787923"/>
    <d v="2023-12-08T00:00:00"/>
    <n v="0.67"/>
    <s v="Undersecured"/>
    <x v="5"/>
    <n v="554"/>
    <s v="High Risk"/>
    <s v="High Risk Exposure"/>
    <s v="High"/>
  </r>
  <r>
    <s v="LN1964"/>
    <s v="C0643"/>
    <s v="B12"/>
    <x v="2"/>
    <n v="6000000"/>
    <n v="9.5600000000000004E-2"/>
    <d v="2020-03-21T00:00:00"/>
    <n v="36"/>
    <n v="10"/>
    <n v="5160000"/>
    <x v="0"/>
    <n v="192366.02633374801"/>
    <d v="2023-03-21T00:00:00"/>
    <n v="0.86"/>
    <s v="Undersecured"/>
    <x v="12"/>
    <n v="634"/>
    <s v="Medium Risk"/>
    <s v="High Risk Exposure"/>
    <s v="High"/>
  </r>
  <r>
    <s v="LN1965"/>
    <s v="C0020"/>
    <s v="B05"/>
    <x v="0"/>
    <n v="1000000"/>
    <n v="0.2162"/>
    <d v="2020-11-24T00:00:00"/>
    <n v="24"/>
    <n v="90"/>
    <n v="1310000"/>
    <x v="2"/>
    <n v="51690.690927807227"/>
    <d v="2022-11-24T00:00:00"/>
    <n v="1.31"/>
    <s v="Secured"/>
    <x v="4"/>
    <n v="389"/>
    <s v="High Risk"/>
    <s v="High Risk Exposure"/>
    <s v="High"/>
  </r>
  <r>
    <s v="LN1966"/>
    <s v="C0404"/>
    <s v="B08"/>
    <x v="2"/>
    <n v="80000000"/>
    <n v="9.1600000000000001E-2"/>
    <d v="2021-11-01T00:00:00"/>
    <n v="48"/>
    <n v="0"/>
    <n v="45600000"/>
    <x v="0"/>
    <n v="1996886.8181664424"/>
    <d v="2025-11-01T00:00:00"/>
    <n v="0.56999999999999995"/>
    <s v="Undersecured"/>
    <x v="5"/>
    <n v="766"/>
    <s v="Very Low Risk"/>
    <s v="High Risk Exposure"/>
    <s v="High"/>
  </r>
  <r>
    <s v="LN1967"/>
    <s v="C0498"/>
    <s v="B08"/>
    <x v="0"/>
    <n v="3000000"/>
    <n v="0.156"/>
    <d v="2020-03-10T00:00:00"/>
    <n v="36"/>
    <n v="0"/>
    <n v="2640000"/>
    <x v="0"/>
    <n v="104879.61458498264"/>
    <d v="2023-03-10T00:00:00"/>
    <n v="0.88"/>
    <s v="Undersecured"/>
    <x v="5"/>
    <n v="309"/>
    <s v="High Risk"/>
    <s v="High Risk Exposure"/>
    <s v="High"/>
  </r>
  <r>
    <s v="LN1968"/>
    <s v="C0063"/>
    <s v="B13"/>
    <x v="0"/>
    <n v="1000000"/>
    <n v="0.1862"/>
    <d v="2021-12-03T00:00:00"/>
    <n v="48"/>
    <n v="0"/>
    <n v="890000"/>
    <x v="0"/>
    <n v="29699.967390456492"/>
    <d v="2025-12-03T00:00:00"/>
    <n v="0.89"/>
    <s v="Undersecured"/>
    <x v="2"/>
    <n v="808"/>
    <s v="Prime"/>
    <s v="High Risk Exposure"/>
    <s v="High"/>
  </r>
  <r>
    <s v="LN1969"/>
    <s v="C0550"/>
    <s v="B07"/>
    <x v="2"/>
    <n v="6000000"/>
    <n v="0.10440000000000001"/>
    <d v="2021-03-07T00:00:00"/>
    <n v="60"/>
    <n v="5"/>
    <n v="6000000"/>
    <x v="0"/>
    <n v="128785.13744454829"/>
    <d v="2026-03-07T00:00:00"/>
    <n v="1"/>
    <s v="Secured"/>
    <x v="0"/>
    <n v="565"/>
    <s v="High Risk"/>
    <s v="High Risk Exposure"/>
    <s v="High"/>
  </r>
  <r>
    <s v="LN1970"/>
    <s v="C0632"/>
    <s v="B05"/>
    <x v="0"/>
    <n v="1000000"/>
    <n v="0.20499999999999999"/>
    <d v="2020-06-11T00:00:00"/>
    <n v="12"/>
    <n v="0"/>
    <n v="530000"/>
    <x v="0"/>
    <n v="92873.972441365477"/>
    <d v="2021-06-11T00:00:00"/>
    <n v="0.53"/>
    <s v="Undersecured"/>
    <x v="4"/>
    <n v="580"/>
    <s v="Medium Risk"/>
    <s v="High Risk Exposure"/>
    <s v="High"/>
  </r>
  <r>
    <s v="LN1971"/>
    <s v="C0116"/>
    <s v="B11"/>
    <x v="1"/>
    <n v="250000"/>
    <n v="0.20669999999999999"/>
    <d v="2022-09-22T00:00:00"/>
    <n v="24"/>
    <n v="10"/>
    <n v="0"/>
    <x v="0"/>
    <n v="12805.926772997464"/>
    <d v="2024-09-22T00:00:00"/>
    <n v="0"/>
    <s v="Undersecured"/>
    <x v="10"/>
    <n v="587"/>
    <s v="Medium Risk"/>
    <s v="High Risk Exposure"/>
    <s v="High"/>
  </r>
  <r>
    <s v="LN1972"/>
    <s v="C0035"/>
    <s v="B01"/>
    <x v="3"/>
    <n v="1000000"/>
    <n v="0.1547"/>
    <d v="2025-09-16T00:00:00"/>
    <n v="36"/>
    <n v="0"/>
    <n v="1060000"/>
    <x v="0"/>
    <n v="34895.931665216085"/>
    <d v="2028-09-16T00:00:00"/>
    <n v="1.06"/>
    <s v="Secured"/>
    <x v="1"/>
    <n v="696"/>
    <s v="Low Risk"/>
    <s v="Normal"/>
    <s v="Normal"/>
  </r>
  <r>
    <s v="LN1973"/>
    <s v="C0339"/>
    <s v="B01"/>
    <x v="2"/>
    <n v="25000000"/>
    <n v="0.13070000000000001"/>
    <d v="2022-04-19T00:00:00"/>
    <n v="24"/>
    <n v="90"/>
    <n v="25000000"/>
    <x v="2"/>
    <n v="1189367.717159858"/>
    <d v="2024-04-19T00:00:00"/>
    <n v="1"/>
    <s v="Secured"/>
    <x v="1"/>
    <n v="354"/>
    <s v="High Risk"/>
    <s v="High Risk Exposure"/>
    <s v="High"/>
  </r>
  <r>
    <s v="LN1974"/>
    <s v="C0497"/>
    <s v="B10"/>
    <x v="2"/>
    <n v="80000000"/>
    <n v="0.1162"/>
    <d v="2025-06-08T00:00:00"/>
    <n v="12"/>
    <n v="0"/>
    <n v="102400000"/>
    <x v="0"/>
    <n v="7093689.5416380018"/>
    <d v="2026-06-08T00:00:00"/>
    <n v="1.28"/>
    <s v="Secured"/>
    <x v="3"/>
    <n v="426"/>
    <s v="High Risk"/>
    <s v="High Risk Exposure"/>
    <s v="High"/>
  </r>
  <r>
    <s v="LN1975"/>
    <s v="C0249"/>
    <s v="B07"/>
    <x v="1"/>
    <n v="1000000"/>
    <n v="0.27579999999999999"/>
    <d v="2020-09-20T00:00:00"/>
    <n v="36"/>
    <n v="0"/>
    <n v="0"/>
    <x v="0"/>
    <n v="41137.012459790225"/>
    <d v="2023-09-20T00:00:00"/>
    <n v="0"/>
    <s v="Undersecured"/>
    <x v="0"/>
    <n v="424"/>
    <s v="High Risk"/>
    <s v="High Risk Exposure"/>
    <s v="High"/>
  </r>
  <r>
    <s v="LN1976"/>
    <s v="C0344"/>
    <s v="B09"/>
    <x v="3"/>
    <n v="500000"/>
    <n v="0.1404"/>
    <d v="2024-07-10T00:00:00"/>
    <n v="12"/>
    <n v="0"/>
    <n v="330000"/>
    <x v="0"/>
    <n v="44902.969719974324"/>
    <d v="2025-07-10T00:00:00"/>
    <n v="0.66"/>
    <s v="Undersecured"/>
    <x v="8"/>
    <n v="572"/>
    <s v="High Risk"/>
    <s v="High Risk Exposure"/>
    <s v="High"/>
  </r>
  <r>
    <s v="LN1977"/>
    <s v="C0193"/>
    <s v="B13"/>
    <x v="3"/>
    <n v="1000000"/>
    <n v="0.18720000000000001"/>
    <d v="2021-07-19T00:00:00"/>
    <n v="48"/>
    <n v="20"/>
    <n v="1250000"/>
    <x v="0"/>
    <n v="29752.566789397635"/>
    <d v="2025-07-19T00:00:00"/>
    <n v="1.25"/>
    <s v="Secured"/>
    <x v="2"/>
    <n v="637"/>
    <s v="Medium Risk"/>
    <s v="Normal"/>
    <s v="Normal"/>
  </r>
  <r>
    <s v="LN1978"/>
    <s v="C0371"/>
    <s v="B15"/>
    <x v="1"/>
    <n v="500000"/>
    <n v="0.22489999999999999"/>
    <d v="2023-01-23T00:00:00"/>
    <n v="24"/>
    <n v="120"/>
    <n v="0"/>
    <x v="1"/>
    <n v="26060.224239476229"/>
    <d v="2025-01-23T00:00:00"/>
    <n v="0"/>
    <s v="Undersecured"/>
    <x v="9"/>
    <n v="625"/>
    <s v="Medium Risk"/>
    <s v="High Risk Exposure"/>
    <s v="Critical"/>
  </r>
  <r>
    <s v="LN1979"/>
    <s v="C0079"/>
    <s v="B07"/>
    <x v="2"/>
    <n v="6000000"/>
    <n v="0.112"/>
    <d v="2020-12-15T00:00:00"/>
    <n v="48"/>
    <n v="120"/>
    <n v="7440000"/>
    <x v="1"/>
    <n v="155656.53656566839"/>
    <d v="2024-12-15T00:00:00"/>
    <n v="1.24"/>
    <s v="Secured"/>
    <x v="0"/>
    <n v="589"/>
    <s v="Medium Risk"/>
    <s v="High Risk Exposure"/>
    <s v="Critical"/>
  </r>
  <r>
    <s v="LN1980"/>
    <s v="C0465"/>
    <s v="B15"/>
    <x v="2"/>
    <n v="25000000"/>
    <n v="0.11849999999999999"/>
    <d v="2020-12-04T00:00:00"/>
    <n v="12"/>
    <n v="120"/>
    <n v="26000000"/>
    <x v="1"/>
    <n v="2219465.8151275315"/>
    <d v="2021-12-04T00:00:00"/>
    <n v="1.04"/>
    <s v="Secured"/>
    <x v="9"/>
    <n v="358"/>
    <s v="High Risk"/>
    <s v="High Risk Exposure"/>
    <s v="Critical"/>
  </r>
  <r>
    <s v="LN1981"/>
    <s v="C0235"/>
    <s v="B07"/>
    <x v="1"/>
    <n v="250000"/>
    <n v="0.27400000000000002"/>
    <d v="2022-11-16T00:00:00"/>
    <n v="48"/>
    <n v="0"/>
    <n v="0"/>
    <x v="0"/>
    <n v="8627.4205325981657"/>
    <d v="2026-11-16T00:00:00"/>
    <n v="0"/>
    <s v="Undersecured"/>
    <x v="0"/>
    <n v="325"/>
    <s v="High Risk"/>
    <s v="High Risk Exposure"/>
    <s v="High"/>
  </r>
  <r>
    <s v="LN1982"/>
    <s v="C0654"/>
    <s v="B15"/>
    <x v="0"/>
    <n v="3000000"/>
    <n v="0.19350000000000001"/>
    <d v="2023-05-04T00:00:00"/>
    <n v="12"/>
    <n v="90"/>
    <n v="2400000"/>
    <x v="2"/>
    <n v="276971.1009835584"/>
    <d v="2024-05-04T00:00:00"/>
    <n v="0.8"/>
    <s v="Undersecured"/>
    <x v="9"/>
    <n v="511"/>
    <s v="High Risk"/>
    <s v="High Risk Exposure"/>
    <s v="High"/>
  </r>
  <r>
    <s v="LN1983"/>
    <s v="C0090"/>
    <s v="B13"/>
    <x v="1"/>
    <n v="100000"/>
    <n v="0.2477"/>
    <d v="2022-01-04T00:00:00"/>
    <n v="12"/>
    <n v="0"/>
    <n v="0"/>
    <x v="0"/>
    <n v="9493.2625962883103"/>
    <d v="2023-01-04T00:00:00"/>
    <n v="0"/>
    <s v="Undersecured"/>
    <x v="2"/>
    <n v="718"/>
    <s v="Low Risk"/>
    <s v="High Risk Exposure"/>
    <s v="High"/>
  </r>
  <r>
    <s v="LN1984"/>
    <s v="C0152"/>
    <s v="B09"/>
    <x v="1"/>
    <n v="500000"/>
    <n v="0.19289999999999999"/>
    <d v="2023-04-18T00:00:00"/>
    <n v="60"/>
    <n v="0"/>
    <n v="0"/>
    <x v="0"/>
    <n v="13050.190619629318"/>
    <d v="2028-04-18T00:00:00"/>
    <n v="0"/>
    <s v="Undersecured"/>
    <x v="8"/>
    <n v="831"/>
    <s v="Prime"/>
    <s v="High Risk Exposure"/>
    <s v="High"/>
  </r>
  <r>
    <s v="LN1985"/>
    <s v="C0507"/>
    <s v="B07"/>
    <x v="1"/>
    <n v="100000"/>
    <n v="0.25319999999999998"/>
    <d v="2022-04-28T00:00:00"/>
    <n v="72"/>
    <n v="45"/>
    <n v="0"/>
    <x v="2"/>
    <n v="2713.3868303627678"/>
    <d v="2028-04-28T00:00:00"/>
    <n v="0"/>
    <s v="Undersecured"/>
    <x v="0"/>
    <n v="734"/>
    <s v="Low Risk"/>
    <s v="High Risk Exposure"/>
    <s v="High"/>
  </r>
  <r>
    <s v="LN1986"/>
    <s v="C0634"/>
    <s v="B03"/>
    <x v="1"/>
    <n v="100000"/>
    <n v="0.1958"/>
    <d v="2020-07-03T00:00:00"/>
    <n v="36"/>
    <n v="5"/>
    <n v="0"/>
    <x v="0"/>
    <n v="3694.9928161790162"/>
    <d v="2023-07-03T00:00:00"/>
    <n v="0"/>
    <s v="Undersecured"/>
    <x v="7"/>
    <n v="816"/>
    <s v="Prime"/>
    <s v="High Risk Exposure"/>
    <s v="High"/>
  </r>
  <r>
    <s v="LN1987"/>
    <s v="C0521"/>
    <s v="B08"/>
    <x v="0"/>
    <n v="3000000"/>
    <n v="0.22789999999999999"/>
    <d v="2023-01-13T00:00:00"/>
    <n v="60"/>
    <n v="20"/>
    <n v="1560000"/>
    <x v="0"/>
    <n v="84209.846750864934"/>
    <d v="2028-01-13T00:00:00"/>
    <n v="0.52"/>
    <s v="Undersecured"/>
    <x v="5"/>
    <n v="309"/>
    <s v="High Risk"/>
    <s v="High Risk Exposure"/>
    <s v="High"/>
  </r>
  <r>
    <s v="LN1988"/>
    <s v="C0562"/>
    <s v="B05"/>
    <x v="2"/>
    <n v="6000000"/>
    <n v="0.1191"/>
    <d v="2020-11-12T00:00:00"/>
    <n v="24"/>
    <n v="5"/>
    <n v="4920000"/>
    <x v="0"/>
    <n v="282188.72303208435"/>
    <d v="2022-11-12T00:00:00"/>
    <n v="0.82"/>
    <s v="Undersecured"/>
    <x v="4"/>
    <n v="610"/>
    <s v="Medium Risk"/>
    <s v="High Risk Exposure"/>
    <s v="High"/>
  </r>
  <r>
    <s v="LN1989"/>
    <s v="C0350"/>
    <s v="B14"/>
    <x v="0"/>
    <n v="25000000"/>
    <n v="0.15440000000000001"/>
    <d v="2024-01-13T00:00:00"/>
    <n v="72"/>
    <n v="0"/>
    <n v="16500000"/>
    <x v="0"/>
    <n v="534617.29981865746"/>
    <d v="2030-01-13T00:00:00"/>
    <n v="0.66"/>
    <s v="Undersecured"/>
    <x v="13"/>
    <n v="488"/>
    <s v="High Risk"/>
    <s v="High Risk Exposure"/>
    <s v="High"/>
  </r>
  <r>
    <s v="LN1990"/>
    <s v="C0471"/>
    <s v="B09"/>
    <x v="2"/>
    <n v="6000000"/>
    <n v="0.1308"/>
    <d v="2024-05-03T00:00:00"/>
    <n v="60"/>
    <n v="10"/>
    <n v="3540000"/>
    <x v="0"/>
    <n v="136764.28078465106"/>
    <d v="2029-05-03T00:00:00"/>
    <n v="0.59"/>
    <s v="Undersecured"/>
    <x v="8"/>
    <n v="499"/>
    <s v="High Risk"/>
    <s v="High Risk Exposure"/>
    <s v="High"/>
  </r>
  <r>
    <s v="LN1991"/>
    <s v="C0256"/>
    <s v="B14"/>
    <x v="0"/>
    <n v="6000000"/>
    <n v="0.2203"/>
    <d v="2023-03-19T00:00:00"/>
    <n v="12"/>
    <n v="90"/>
    <n v="7740000"/>
    <x v="2"/>
    <n v="561652.9108070347"/>
    <d v="2024-03-19T00:00:00"/>
    <n v="1.29"/>
    <s v="Secured"/>
    <x v="13"/>
    <n v="541"/>
    <s v="High Risk"/>
    <s v="High Risk Exposure"/>
    <s v="High"/>
  </r>
  <r>
    <s v="LN1992"/>
    <s v="C0102"/>
    <s v="B01"/>
    <x v="1"/>
    <n v="250000"/>
    <n v="0.17730000000000001"/>
    <d v="2020-06-13T00:00:00"/>
    <n v="72"/>
    <n v="90"/>
    <n v="0"/>
    <x v="2"/>
    <n v="5663.8555311765595"/>
    <d v="2026-06-13T00:00:00"/>
    <n v="0"/>
    <s v="Undersecured"/>
    <x v="1"/>
    <n v="444"/>
    <s v="High Risk"/>
    <s v="High Risk Exposure"/>
    <s v="High"/>
  </r>
  <r>
    <s v="LN1993"/>
    <s v="C0226"/>
    <s v="B10"/>
    <x v="2"/>
    <n v="25000000"/>
    <n v="0.12230000000000001"/>
    <d v="2023-09-22T00:00:00"/>
    <n v="12"/>
    <n v="5"/>
    <n v="34000000"/>
    <x v="0"/>
    <n v="2223910.5154308523"/>
    <d v="2024-09-22T00:00:00"/>
    <n v="1.36"/>
    <s v="Secured"/>
    <x v="3"/>
    <n v="554"/>
    <s v="High Risk"/>
    <s v="High Risk Exposure"/>
    <s v="High"/>
  </r>
  <r>
    <s v="LN1994"/>
    <s v="C0096"/>
    <s v="B04"/>
    <x v="1"/>
    <n v="1000000"/>
    <n v="0.27329999999999999"/>
    <d v="2025-11-03T00:00:00"/>
    <n v="24"/>
    <n v="0"/>
    <n v="0"/>
    <x v="0"/>
    <n v="54547.669820710747"/>
    <d v="2027-11-03T00:00:00"/>
    <n v="0"/>
    <s v="Undersecured"/>
    <x v="14"/>
    <n v="466"/>
    <s v="High Risk"/>
    <s v="High Risk Exposure"/>
    <s v="High"/>
  </r>
  <r>
    <s v="LN1995"/>
    <s v="C0693"/>
    <s v="B02"/>
    <x v="0"/>
    <n v="6000000"/>
    <n v="0.19089999999999999"/>
    <d v="2020-09-26T00:00:00"/>
    <n v="60"/>
    <n v="0"/>
    <n v="4140000"/>
    <x v="0"/>
    <n v="155940.58666971273"/>
    <d v="2025-09-26T00:00:00"/>
    <n v="0.69"/>
    <s v="Undersecured"/>
    <x v="11"/>
    <n v="459"/>
    <s v="High Risk"/>
    <s v="High Risk Exposure"/>
    <s v="High"/>
  </r>
  <r>
    <s v="LN1996"/>
    <s v="C0517"/>
    <s v="B01"/>
    <x v="2"/>
    <n v="25000000"/>
    <n v="0.1203"/>
    <d v="2023-05-19T00:00:00"/>
    <n v="48"/>
    <n v="0"/>
    <n v="35250000"/>
    <x v="0"/>
    <n v="658714.18928322778"/>
    <d v="2027-05-19T00:00:00"/>
    <n v="1.41"/>
    <s v="Secured"/>
    <x v="1"/>
    <n v="430"/>
    <s v="High Risk"/>
    <s v="High Risk Exposure"/>
    <s v="High"/>
  </r>
  <r>
    <s v="LN1997"/>
    <s v="C0387"/>
    <s v="B14"/>
    <x v="0"/>
    <n v="3000000"/>
    <n v="0.23380000000000001"/>
    <d v="2020-09-16T00:00:00"/>
    <n v="12"/>
    <n v="90"/>
    <n v="3510000"/>
    <x v="2"/>
    <n v="282779.4269052103"/>
    <d v="2021-09-16T00:00:00"/>
    <n v="1.17"/>
    <s v="Secured"/>
    <x v="13"/>
    <n v="718"/>
    <s v="Low Risk"/>
    <s v="High Risk Exposure"/>
    <s v="High"/>
  </r>
  <r>
    <s v="LN1998"/>
    <s v="C0613"/>
    <s v="B07"/>
    <x v="3"/>
    <n v="3000000"/>
    <n v="0.1527"/>
    <d v="2025-01-17T00:00:00"/>
    <n v="72"/>
    <n v="90"/>
    <n v="2760000"/>
    <x v="2"/>
    <n v="63875.747996106424"/>
    <d v="2031-01-17T00:00:00"/>
    <n v="0.92"/>
    <s v="Undersecured"/>
    <x v="0"/>
    <n v="764"/>
    <s v="Very Low Risk"/>
    <s v="High Risk Exposure"/>
    <s v="High"/>
  </r>
  <r>
    <s v="LN1999"/>
    <s v="C0478"/>
    <s v="B12"/>
    <x v="2"/>
    <n v="80000000"/>
    <n v="0.1216"/>
    <d v="2023-11-14T00:00:00"/>
    <n v="12"/>
    <n v="10"/>
    <n v="113600000"/>
    <x v="0"/>
    <n v="7113892.4378841519"/>
    <d v="2024-11-14T00:00:00"/>
    <n v="1.42"/>
    <s v="Secured"/>
    <x v="12"/>
    <n v="343"/>
    <s v="High Risk"/>
    <s v="High Risk Exposure"/>
    <s v="High"/>
  </r>
  <r>
    <s v="LN2000"/>
    <s v="C0022"/>
    <s v="B06"/>
    <x v="3"/>
    <n v="6000000"/>
    <n v="0.19389999999999999"/>
    <d v="2022-02-15T00:00:00"/>
    <n v="72"/>
    <n v="5"/>
    <n v="5280000"/>
    <x v="0"/>
    <n v="141603.33494610581"/>
    <d v="2028-02-15T00:00:00"/>
    <n v="0.88"/>
    <s v="Undersecured"/>
    <x v="6"/>
    <n v="601"/>
    <s v="Medium Risk"/>
    <s v="High Risk Exposure"/>
    <s v="High"/>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E1AEEB-224D-40E5-BCDC-0829CC0FFBFF}" name="Portfolio Composition Pivo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rowHeaderCaption="Loan Type">
  <location ref="A69:B74" firstHeaderRow="1" firstDataRow="1" firstDataCol="1"/>
  <pivotFields count="20">
    <pivotField showAll="0"/>
    <pivotField showAll="0"/>
    <pivotField showAll="0"/>
    <pivotField axis="axisRow" showAll="0" sortType="descending">
      <items count="5">
        <item x="3"/>
        <item x="2"/>
        <item x="1"/>
        <item x="0"/>
        <item t="default"/>
      </items>
      <autoSortScope>
        <pivotArea dataOnly="0" outline="0" fieldPosition="0">
          <references count="1">
            <reference field="4294967294" count="1" selected="0">
              <x v="0"/>
            </reference>
          </references>
        </pivotArea>
      </autoSortScope>
    </pivotField>
    <pivotField dataField="1" numFmtId="164" showAll="0"/>
    <pivotField numFmtId="9" showAll="0"/>
    <pivotField numFmtId="14" showAll="0"/>
    <pivotField showAll="0"/>
    <pivotField showAll="0"/>
    <pivotField numFmtId="164" showAll="0"/>
    <pivotField showAll="0"/>
    <pivotField numFmtId="164" showAll="0"/>
    <pivotField numFmtId="14" showAll="0"/>
    <pivotField numFmtId="2" showAll="0"/>
    <pivotField showAll="0"/>
    <pivotField showAll="0">
      <items count="16">
        <item x="5"/>
        <item x="8"/>
        <item x="4"/>
        <item x="3"/>
        <item x="12"/>
        <item x="13"/>
        <item x="10"/>
        <item x="7"/>
        <item x="2"/>
        <item x="14"/>
        <item x="9"/>
        <item x="6"/>
        <item x="0"/>
        <item x="11"/>
        <item x="1"/>
        <item t="default"/>
      </items>
    </pivotField>
    <pivotField showAll="0"/>
    <pivotField showAll="0"/>
    <pivotField showAll="0"/>
    <pivotField showAll="0"/>
  </pivotFields>
  <rowFields count="1">
    <field x="3"/>
  </rowFields>
  <rowItems count="5">
    <i>
      <x v="1"/>
    </i>
    <i>
      <x v="3"/>
    </i>
    <i>
      <x/>
    </i>
    <i>
      <x v="2"/>
    </i>
    <i t="grand">
      <x/>
    </i>
  </rowItems>
  <colItems count="1">
    <i/>
  </colItems>
  <dataFields count="1">
    <dataField name="Total Loan Amount" fld="4" baseField="0" baseItem="0" numFmtId="167"/>
  </dataFields>
  <formats count="1">
    <format dxfId="7">
      <pivotArea outline="0" collapsedLevelsAreSubtotals="1" fieldPosition="0"/>
    </format>
  </format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 count="1" selected="0">
            <x v="1"/>
          </reference>
        </references>
      </pivotArea>
    </chartFormat>
    <chartFormat chart="0" format="2">
      <pivotArea type="data" outline="0" fieldPosition="0">
        <references count="2">
          <reference field="4294967294" count="1" selected="0">
            <x v="0"/>
          </reference>
          <reference field="3" count="1" selected="0">
            <x v="3"/>
          </reference>
        </references>
      </pivotArea>
    </chartFormat>
    <chartFormat chart="0" format="3">
      <pivotArea type="data" outline="0" fieldPosition="0">
        <references count="2">
          <reference field="4294967294" count="1" selected="0">
            <x v="0"/>
          </reference>
          <reference field="3" count="1" selected="0">
            <x v="0"/>
          </reference>
        </references>
      </pivotArea>
    </chartFormat>
    <chartFormat chart="0" format="4">
      <pivotArea type="data" outline="0" fieldPosition="0">
        <references count="2">
          <reference field="4294967294" count="1" selected="0">
            <x v="0"/>
          </reference>
          <reference field="3" count="1" selected="0">
            <x v="2"/>
          </reference>
        </references>
      </pivotArea>
    </chartFormat>
    <chartFormat chart="2" format="10" series="1">
      <pivotArea type="data" outline="0" fieldPosition="0">
        <references count="1">
          <reference field="4294967294" count="1" selected="0">
            <x v="0"/>
          </reference>
        </references>
      </pivotArea>
    </chartFormat>
    <chartFormat chart="2" format="11">
      <pivotArea type="data" outline="0" fieldPosition="0">
        <references count="2">
          <reference field="4294967294" count="1" selected="0">
            <x v="0"/>
          </reference>
          <reference field="3" count="1" selected="0">
            <x v="1"/>
          </reference>
        </references>
      </pivotArea>
    </chartFormat>
    <chartFormat chart="2" format="12">
      <pivotArea type="data" outline="0" fieldPosition="0">
        <references count="2">
          <reference field="4294967294" count="1" selected="0">
            <x v="0"/>
          </reference>
          <reference field="3" count="1" selected="0">
            <x v="3"/>
          </reference>
        </references>
      </pivotArea>
    </chartFormat>
    <chartFormat chart="2" format="13">
      <pivotArea type="data" outline="0" fieldPosition="0">
        <references count="2">
          <reference field="4294967294" count="1" selected="0">
            <x v="0"/>
          </reference>
          <reference field="3" count="1" selected="0">
            <x v="0"/>
          </reference>
        </references>
      </pivotArea>
    </chartFormat>
    <chartFormat chart="2" format="14">
      <pivotArea type="data" outline="0" fieldPosition="0">
        <references count="2">
          <reference field="4294967294" count="1" selected="0">
            <x v="0"/>
          </reference>
          <reference field="3" count="1" selected="0">
            <x v="2"/>
          </reference>
        </references>
      </pivotArea>
    </chartFormat>
    <chartFormat chart="3" format="15" series="1">
      <pivotArea type="data" outline="0" fieldPosition="0">
        <references count="1">
          <reference field="4294967294" count="1" selected="0">
            <x v="0"/>
          </reference>
        </references>
      </pivotArea>
    </chartFormat>
    <chartFormat chart="3" format="16">
      <pivotArea type="data" outline="0" fieldPosition="0">
        <references count="2">
          <reference field="4294967294" count="1" selected="0">
            <x v="0"/>
          </reference>
          <reference field="3" count="1" selected="0">
            <x v="1"/>
          </reference>
        </references>
      </pivotArea>
    </chartFormat>
    <chartFormat chart="3" format="17">
      <pivotArea type="data" outline="0" fieldPosition="0">
        <references count="2">
          <reference field="4294967294" count="1" selected="0">
            <x v="0"/>
          </reference>
          <reference field="3" count="1" selected="0">
            <x v="3"/>
          </reference>
        </references>
      </pivotArea>
    </chartFormat>
    <chartFormat chart="3" format="18">
      <pivotArea type="data" outline="0" fieldPosition="0">
        <references count="2">
          <reference field="4294967294" count="1" selected="0">
            <x v="0"/>
          </reference>
          <reference field="3" count="1" selected="0">
            <x v="0"/>
          </reference>
        </references>
      </pivotArea>
    </chartFormat>
    <chartFormat chart="3" format="19">
      <pivotArea type="data" outline="0" fieldPosition="0">
        <references count="2">
          <reference field="4294967294" count="1" selected="0">
            <x v="0"/>
          </reference>
          <reference field="3" count="1" selected="0">
            <x v="2"/>
          </reference>
        </references>
      </pivotArea>
    </chartFormat>
    <chartFormat chart="4" format="20" series="1">
      <pivotArea type="data" outline="0" fieldPosition="0">
        <references count="1">
          <reference field="4294967294" count="1" selected="0">
            <x v="0"/>
          </reference>
        </references>
      </pivotArea>
    </chartFormat>
    <chartFormat chart="4" format="21">
      <pivotArea type="data" outline="0" fieldPosition="0">
        <references count="2">
          <reference field="4294967294" count="1" selected="0">
            <x v="0"/>
          </reference>
          <reference field="3" count="1" selected="0">
            <x v="1"/>
          </reference>
        </references>
      </pivotArea>
    </chartFormat>
    <chartFormat chart="4" format="22">
      <pivotArea type="data" outline="0" fieldPosition="0">
        <references count="2">
          <reference field="4294967294" count="1" selected="0">
            <x v="0"/>
          </reference>
          <reference field="3" count="1" selected="0">
            <x v="3"/>
          </reference>
        </references>
      </pivotArea>
    </chartFormat>
    <chartFormat chart="4" format="23">
      <pivotArea type="data" outline="0" fieldPosition="0">
        <references count="2">
          <reference field="4294967294" count="1" selected="0">
            <x v="0"/>
          </reference>
          <reference field="3" count="1" selected="0">
            <x v="0"/>
          </reference>
        </references>
      </pivotArea>
    </chartFormat>
    <chartFormat chart="4" format="24">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B44150D-F043-469F-B8F7-F45C50455211}" name="Default Exposure Pivo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rowHeaderCaption="Branch Name">
  <location ref="D50:E66" firstHeaderRow="1" firstDataRow="1" firstDataCol="1" rowPageCount="1" colPageCount="1"/>
  <pivotFields count="20">
    <pivotField showAll="0"/>
    <pivotField showAll="0"/>
    <pivotField showAll="0"/>
    <pivotField showAll="0">
      <items count="5">
        <item x="3"/>
        <item x="2"/>
        <item x="1"/>
        <item x="0"/>
        <item t="default"/>
      </items>
    </pivotField>
    <pivotField dataField="1" numFmtId="164" showAll="0"/>
    <pivotField numFmtId="9" showAll="0"/>
    <pivotField numFmtId="14" showAll="0"/>
    <pivotField showAll="0"/>
    <pivotField showAll="0"/>
    <pivotField numFmtId="164" showAll="0"/>
    <pivotField axis="axisPage" showAll="0">
      <items count="4">
        <item x="1"/>
        <item x="0"/>
        <item x="2"/>
        <item t="default"/>
      </items>
    </pivotField>
    <pivotField numFmtId="164" showAll="0"/>
    <pivotField numFmtId="14" showAll="0"/>
    <pivotField numFmtId="2" showAll="0"/>
    <pivotField showAll="0"/>
    <pivotField axis="axisRow" showAll="0" sortType="descending">
      <items count="16">
        <item x="5"/>
        <item x="8"/>
        <item x="4"/>
        <item x="3"/>
        <item x="12"/>
        <item x="13"/>
        <item x="10"/>
        <item x="7"/>
        <item x="2"/>
        <item x="14"/>
        <item x="9"/>
        <item x="6"/>
        <item x="0"/>
        <item x="11"/>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15"/>
  </rowFields>
  <rowItems count="16">
    <i>
      <x v="1"/>
    </i>
    <i>
      <x v="2"/>
    </i>
    <i>
      <x/>
    </i>
    <i>
      <x v="11"/>
    </i>
    <i>
      <x v="7"/>
    </i>
    <i>
      <x v="13"/>
    </i>
    <i>
      <x v="3"/>
    </i>
    <i>
      <x v="12"/>
    </i>
    <i>
      <x v="4"/>
    </i>
    <i>
      <x v="10"/>
    </i>
    <i>
      <x v="14"/>
    </i>
    <i>
      <x v="9"/>
    </i>
    <i>
      <x v="6"/>
    </i>
    <i>
      <x v="8"/>
    </i>
    <i>
      <x v="5"/>
    </i>
    <i t="grand">
      <x/>
    </i>
  </rowItems>
  <colItems count="1">
    <i/>
  </colItems>
  <pageFields count="1">
    <pageField fld="10" item="1" hier="-1"/>
  </pageFields>
  <dataFields count="1">
    <dataField name="Default Exposure" fld="4" baseField="0" baseItem="0" numFmtId="164"/>
  </dataFields>
  <chartFormats count="1">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9E86BA4-AD31-4B0B-8509-C5F360BA55F4}" name="Branch Exposure Pivo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0" rowHeaderCaption="Branch Name">
  <location ref="A48:B64" firstHeaderRow="1" firstDataRow="1" firstDataCol="1"/>
  <pivotFields count="20">
    <pivotField showAll="0"/>
    <pivotField showAll="0"/>
    <pivotField showAll="0"/>
    <pivotField showAll="0">
      <items count="5">
        <item x="3"/>
        <item x="2"/>
        <item x="1"/>
        <item x="0"/>
        <item t="default"/>
      </items>
    </pivotField>
    <pivotField dataField="1" numFmtId="164" showAll="0"/>
    <pivotField numFmtId="9" showAll="0"/>
    <pivotField numFmtId="14" showAll="0"/>
    <pivotField showAll="0"/>
    <pivotField showAll="0"/>
    <pivotField numFmtId="164" showAll="0"/>
    <pivotField showAll="0"/>
    <pivotField numFmtId="164" showAll="0"/>
    <pivotField numFmtId="14" showAll="0"/>
    <pivotField numFmtId="2" showAll="0"/>
    <pivotField showAll="0"/>
    <pivotField axis="axisRow" showAll="0" sortType="descending">
      <items count="16">
        <item x="5"/>
        <item x="8"/>
        <item x="4"/>
        <item x="3"/>
        <item x="12"/>
        <item x="13"/>
        <item x="10"/>
        <item x="7"/>
        <item x="2"/>
        <item x="14"/>
        <item x="9"/>
        <item x="6"/>
        <item x="0"/>
        <item x="11"/>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15"/>
  </rowFields>
  <rowItems count="16">
    <i>
      <x v="11"/>
    </i>
    <i>
      <x v="3"/>
    </i>
    <i>
      <x v="2"/>
    </i>
    <i>
      <x v="1"/>
    </i>
    <i>
      <x v="10"/>
    </i>
    <i>
      <x v="4"/>
    </i>
    <i>
      <x v="13"/>
    </i>
    <i>
      <x/>
    </i>
    <i>
      <x v="7"/>
    </i>
    <i>
      <x v="12"/>
    </i>
    <i>
      <x v="14"/>
    </i>
    <i>
      <x v="6"/>
    </i>
    <i>
      <x v="9"/>
    </i>
    <i>
      <x v="8"/>
    </i>
    <i>
      <x v="5"/>
    </i>
    <i t="grand">
      <x/>
    </i>
  </rowItems>
  <colItems count="1">
    <i/>
  </colItems>
  <dataFields count="1">
    <dataField name="Total Loan Exposure" fld="4" baseField="15" baseItem="0" numFmtId="164"/>
  </dataFields>
  <chartFormats count="1">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ranchName" xr10:uid="{02EF5939-544E-4E16-B14D-8B867A1AAE26}" sourceName="BranchName">
  <pivotTables>
    <pivotTable tabId="8" name="Branch Exposure Pivot"/>
    <pivotTable tabId="8" name="Default Exposure Pivot"/>
    <pivotTable tabId="8" name="Portfolio Composition Pivot"/>
  </pivotTables>
  <data>
    <tabular pivotCacheId="330308295">
      <items count="15">
        <i x="5" s="1"/>
        <i x="8" s="1"/>
        <i x="4" s="1"/>
        <i x="3" s="1"/>
        <i x="12" s="1"/>
        <i x="13" s="1"/>
        <i x="10" s="1"/>
        <i x="7" s="1"/>
        <i x="2" s="1"/>
        <i x="14" s="1"/>
        <i x="9" s="1"/>
        <i x="6" s="1"/>
        <i x="0" s="1"/>
        <i x="11"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anType" xr10:uid="{9F1BFAB5-2E73-445D-8289-23496A6A529C}" sourceName="LoanType">
  <pivotTables>
    <pivotTable tabId="8" name="Branch Exposure Pivot"/>
    <pivotTable tabId="8" name="Default Exposure Pivot"/>
    <pivotTable tabId="8" name="Portfolio Composition Pivot"/>
  </pivotTables>
  <data>
    <tabular pivotCacheId="330308295">
      <items count="4">
        <i x="3" s="1"/>
        <i x="2"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ranchName" xr10:uid="{173C5BC0-CBD4-433E-A102-F45BCC2A282E}" cache="Slicer_BranchName" caption="BranchName" rowHeight="241300"/>
  <slicer name="LoanType" xr10:uid="{84217CC3-287F-44D3-A6A5-CBA1AB9C6043}" cache="Slicer_LoanType" caption="LoanTyp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DB62AF-0AE6-4852-B14D-AD3BFD3832BE}" name="Table2" displayName="Table2" ref="A2:C7" totalsRowShown="0" headerRowDxfId="62" headerRowBorderDxfId="61" tableBorderDxfId="60" totalsRowBorderDxfId="59">
  <autoFilter ref="A2:C7" xr:uid="{C9DB62AF-0AE6-4852-B14D-AD3BFD3832BE}"/>
  <tableColumns count="3">
    <tableColumn id="1" xr3:uid="{6139E773-A018-480E-866F-A7FFD14F31F5}" name="Table Name" dataDxfId="58"/>
    <tableColumn id="2" xr3:uid="{19D9F76A-9C0E-4226-8CBC-DB9424C4651B}" name="Description" dataDxfId="57"/>
    <tableColumn id="3" xr3:uid="{8FB1055F-B2BA-42C8-A79C-9D9F146EA56D}" name="Number of Records" dataDxfId="56"/>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308FE7C-BA0A-4BD9-A59F-80B7092D0670}" name="Table10" displayName="Table10" ref="A9:D24" totalsRowShown="0">
  <autoFilter ref="A9:D24" xr:uid="{4308FE7C-BA0A-4BD9-A59F-80B7092D0670}"/>
  <tableColumns count="4">
    <tableColumn id="1" xr3:uid="{EE44E40C-609D-4E3D-92D2-18885387AA5F}" name="Branch"/>
    <tableColumn id="2" xr3:uid="{52558821-E43C-419E-8C05-8E3EA242C4D0}" name="Total Exposure" dataDxfId="6">
      <calculatedColumnFormula>SUMIFS(Loans[LoanAmount],Loans[BranchName],A10)</calculatedColumnFormula>
    </tableColumn>
    <tableColumn id="3" xr3:uid="{F61E294F-A82F-4492-8D8B-BFBF0F19B001}" name="Default Exposure" dataDxfId="5">
      <calculatedColumnFormula>SUMIFS(Loans[LoanAmount],Loans[BranchName],A10,Loans[LoanStatus],"Default")</calculatedColumnFormula>
    </tableColumn>
    <tableColumn id="4" xr3:uid="{A360FEA9-41E3-4DC5-BEC5-FF0FFB42E4DA}" name="Default Rate" dataDxfId="4" dataCellStyle="Percent">
      <calculatedColumnFormula>COUNTIFS(Loans[BranchName],A10,Loans[LoanStatus],"Default")/
COUNTIFS(Loans[BranchName],A10)</calculatedColumnFormula>
    </tableColumn>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9352096-DDCA-43F6-85A1-21F77515688D}" name="Table11" displayName="Table11" ref="A27:B31" totalsRowShown="0" headerRowDxfId="3" dataDxfId="2">
  <autoFilter ref="A27:B31" xr:uid="{69352096-DDCA-43F6-85A1-21F77515688D}"/>
  <tableColumns count="2">
    <tableColumn id="1" xr3:uid="{658BC6F2-AA58-46BD-A25D-717856459932}" name="Loan Type" dataDxfId="1"/>
    <tableColumn id="2" xr3:uid="{089059B1-DC4D-40FD-ABFA-2CAD9EE6A8D8}" name="Total Exposure" dataDxfId="0">
      <calculatedColumnFormula>SUMIFS(Loans[LoanAmount],Loans[LoanType],A28)</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DE3525-529A-40E6-91A7-1671CFD8AB67}" name="Table3" displayName="Table3" ref="A11:E15" totalsRowShown="0" headerRowDxfId="55" dataDxfId="53" headerRowBorderDxfId="54" tableBorderDxfId="52" totalsRowBorderDxfId="51">
  <autoFilter ref="A11:E15" xr:uid="{A5DE3525-529A-40E6-91A7-1671CFD8AB67}"/>
  <tableColumns count="5">
    <tableColumn id="1" xr3:uid="{26496DFE-FBDF-45B0-BCE7-45A0BF98CF04}" name="Main Table" dataDxfId="50"/>
    <tableColumn id="2" xr3:uid="{D584ED8B-2B0E-494C-97A4-EF1E393BFBAD}" name="Key Column" dataDxfId="49"/>
    <tableColumn id="3" xr3:uid="{B18810FB-2D56-4CD8-99E0-DD3ACB2944CA}" name="Related Table" dataDxfId="48"/>
    <tableColumn id="4" xr3:uid="{EB2F4B59-F6A4-44D5-881A-720A865D636D}" name="Matching Column" dataDxfId="47"/>
    <tableColumn id="5" xr3:uid="{30156430-2F1A-41CB-BB1F-7CBD288D3911}" name="Purpose" dataDxfId="46"/>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973FAEE-3E68-4529-9055-7CDE06499C20}" name="Table4" displayName="Table4" ref="A19:B33" totalsRowShown="0" headerRowDxfId="45" headerRowBorderDxfId="44" tableBorderDxfId="43" totalsRowBorderDxfId="42">
  <autoFilter ref="A19:B33" xr:uid="{2973FAEE-3E68-4529-9055-7CDE06499C20}"/>
  <tableColumns count="2">
    <tableColumn id="1" xr3:uid="{C222E6CA-E750-4CFC-8732-BA9642C65AA5}" name="Column Name" dataDxfId="41"/>
    <tableColumn id="2" xr3:uid="{81D3EA12-145B-45B2-9C71-89206A4C51D6}" name="Description" dataDxfId="40"/>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0427B2C-6FE6-4064-9B72-44E4C20C42BC}" name="Table5" displayName="Table5" ref="A38:B47" totalsRowShown="0" headerRowDxfId="39" headerRowBorderDxfId="38" tableBorderDxfId="37" totalsRowBorderDxfId="36">
  <autoFilter ref="A38:B47" xr:uid="{20427B2C-6FE6-4064-9B72-44E4C20C42BC}"/>
  <tableColumns count="2">
    <tableColumn id="1" xr3:uid="{98EC9BBB-FBD5-46CD-AC11-D42D9D47155E}" name="Excel Function" dataDxfId="35"/>
    <tableColumn id="2" xr3:uid="{A5A4ADF5-1329-4BDD-9466-953EE588A9F7}" name="Use Case in Model" dataDxfId="34"/>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F4B58B-4ED5-43A4-9592-7A343070948B}" name="CustomerTbl" displayName="CustomerTbl" ref="A1:E701" totalsRowShown="0" headerRowDxfId="33">
  <autoFilter ref="A1:E701" xr:uid="{26F4B58B-4ED5-43A4-9592-7A343070948B}"/>
  <tableColumns count="5">
    <tableColumn id="1" xr3:uid="{CE9FBAC8-5442-4E92-8639-7C6A7414151C}" name="CustomerID">
      <calculatedColumnFormula>"C"&amp;TEXT(ROW()-1,"0000")</calculatedColumnFormula>
    </tableColumn>
    <tableColumn id="2" xr3:uid="{E1CCC432-3B79-4DFE-B784-2011D7DCAEEA}" name="CustomerName">
      <calculatedColumnFormula>"Customer_"&amp;TEXT(ROW()-1,"0000")</calculatedColumnFormula>
    </tableColumn>
    <tableColumn id="3" xr3:uid="{3622392B-F1EB-4C87-A81E-3CC1946E582A}" name="Region">
      <calculatedColumnFormula>CHOOSE(RANDBETWEEN(1,5),
"Nairobi",
"Central",
"Coast",
"Rift Valley",
"Western")</calculatedColumnFormula>
    </tableColumn>
    <tableColumn id="4" xr3:uid="{ED10DF58-41DC-4E18-87A6-CF9A6F430861}" name="MonthlyIncome" dataDxfId="32">
      <calculatedColumnFormula>ROUND(RANDBETWEEN(50000,800000),-3)</calculatedColumnFormula>
    </tableColumn>
    <tableColumn id="5" xr3:uid="{15914C70-5564-4ABC-81E2-C2F759D844DD}" name="RiskScor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4B5991C-719C-499D-9ED4-B96353511304}" name="BranchesTbl" displayName="BranchesTbl" ref="A1:D16" totalsRowShown="0" headerRowDxfId="31">
  <autoFilter ref="A1:D16" xr:uid="{14B5991C-719C-499D-9ED4-B96353511304}"/>
  <tableColumns count="4">
    <tableColumn id="1" xr3:uid="{9DD1F31D-56E8-46F9-BB69-0AEB84D4FE07}" name="BranchCode">
      <calculatedColumnFormula>"B"&amp;TEXT(ROW()-1,"00")</calculatedColumnFormula>
    </tableColumn>
    <tableColumn id="2" xr3:uid="{86DF89A7-2301-439A-B65C-8DA63FC116A2}" name="BranchName" dataDxfId="30"/>
    <tableColumn id="3" xr3:uid="{801014AC-521F-48EB-AADD-8E1EB8795173}" name="Region" dataDxfId="29"/>
    <tableColumn id="4" xr3:uid="{8500C356-CF66-4394-80E3-0A2D81DD6932}" name="BranchManager">
      <calculatedColumnFormula>"Manager_"&amp;TEXT(ROW()-1,"00")</calculatedColumnFormula>
    </tableColumn>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751F963-FEA2-4576-8A87-0B6EA926EDF7}" name="RateTbl" displayName="RateTbl" ref="A1:C5" totalsRowShown="0" headerRowDxfId="28">
  <autoFilter ref="A1:C5" xr:uid="{2751F963-FEA2-4576-8A87-0B6EA926EDF7}"/>
  <tableColumns count="3">
    <tableColumn id="1" xr3:uid="{987A3C5D-89B0-47CC-A495-784072B41CB1}" name="LoanType" dataDxfId="27"/>
    <tableColumn id="2" xr3:uid="{1EEC4B7F-0E34-411C-A823-1FA2962FE3C5}" name="MinRate"/>
    <tableColumn id="3" xr3:uid="{EE7A99FD-7231-4BD0-B829-6295DD46FE25}" name="MaxRate"/>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ADEA0D-A4FA-4DD4-9A7A-4CD6E8372FE4}" name="RiskTbl" displayName="RiskTbl" ref="A1:C6" totalsRowShown="0" headerRowDxfId="26" dataDxfId="25">
  <autoFilter ref="A1:C6" xr:uid="{60ADEA0D-A4FA-4DD4-9A7A-4CD6E8372FE4}"/>
  <sortState xmlns:xlrd2="http://schemas.microsoft.com/office/spreadsheetml/2017/richdata2" ref="A2:C6">
    <sortCondition ref="B2:B6"/>
  </sortState>
  <tableColumns count="3">
    <tableColumn id="1" xr3:uid="{3D88919C-62DC-4365-A41C-9C4E04ACC95D}" name="Score_Min" dataDxfId="24"/>
    <tableColumn id="2" xr3:uid="{60DA0FE8-26E1-407F-BB01-5096AEDAB88B}" name="Score_Max" dataDxfId="23"/>
    <tableColumn id="3" xr3:uid="{0B191922-91FC-4366-81E6-22BEDC722D50}" name="Risk_Category" dataDxfId="22"/>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F3C6047-0AD0-4820-A46B-E773B2DD7953}" name="Loans" displayName="Loans" ref="A1:T2001" totalsRowShown="0" headerRowDxfId="21">
  <autoFilter ref="A1:T2001" xr:uid="{1F3C6047-0AD0-4820-A46B-E773B2DD7953}"/>
  <tableColumns count="20">
    <tableColumn id="1" xr3:uid="{E6DEC24B-1164-4078-BD3D-BF611BBD2A3F}" name="LoanID"/>
    <tableColumn id="2" xr3:uid="{EA872B60-88C3-4979-A6FB-D41EF8F6D914}" name="CustomerID"/>
    <tableColumn id="3" xr3:uid="{01E9B97F-5022-482D-B9D7-F210EB07A671}" name="BranchCode"/>
    <tableColumn id="4" xr3:uid="{DA478715-1C05-4CB8-95BF-1C35C59FE9BB}" name="LoanType"/>
    <tableColumn id="5" xr3:uid="{BDB300C7-C04A-4918-B339-1B55BF5E52BA}" name="LoanAmount" dataDxfId="20"/>
    <tableColumn id="6" xr3:uid="{A6F91FC2-9EAE-42FE-920A-A356411CB663}" name="InterestRate" dataDxfId="19" dataCellStyle="Percent"/>
    <tableColumn id="7" xr3:uid="{B933B3FC-9804-4210-82E6-148835E67C76}" name="LoanStartDate" dataDxfId="18"/>
    <tableColumn id="8" xr3:uid="{4AD75783-82C8-4939-A3D5-17F7D4112459}" name="LoanTenureMonths"/>
    <tableColumn id="9" xr3:uid="{14D63808-02F0-4950-93D4-3A1051CB630C}" name="DaysPastDue"/>
    <tableColumn id="10" xr3:uid="{28C88867-FCF7-4408-8A75-F7075C21B135}" name="CollateralValue" dataDxfId="17"/>
    <tableColumn id="11" xr3:uid="{7A6ED6D9-DD65-411C-A5C1-C3ECA5040256}" name="LoanStatus"/>
    <tableColumn id="12" xr3:uid="{8EBB0CE9-C4EC-4341-97A9-82A397154CB8}" name="MonthlyPayment" dataDxfId="16">
      <calculatedColumnFormula>PMT(Loans[[#This Row],[InterestRate]]/12,Loans[[#This Row],[LoanTenureMonths]],-Loans[[#This Row],[LoanAmount]])</calculatedColumnFormula>
    </tableColumn>
    <tableColumn id="13" xr3:uid="{970AA7CB-CCB4-4C62-AA0B-D02CADCD8489}" name="LoanEndDate" dataDxfId="15">
      <calculatedColumnFormula>EDATE(Loans[[#This Row],[LoanStartDate]],Loans[[#This Row],[LoanTenureMonths]])</calculatedColumnFormula>
    </tableColumn>
    <tableColumn id="14" xr3:uid="{53156A9F-C52E-4CA2-9D40-BB778E35A33C}" name="CollateralCoverageRatio" dataDxfId="14" dataCellStyle="Percent">
      <calculatedColumnFormula>IF(Loans[[#This Row],[LoanAmount]]=0,0,Loans[[#This Row],[CollateralValue]]/Loans[[#This Row],[LoanAmount]])</calculatedColumnFormula>
    </tableColumn>
    <tableColumn id="15" xr3:uid="{F3A5E8FE-23A4-4395-8F63-D28F7A6AFFFA}" name="CollateralRisk" dataDxfId="13">
      <calculatedColumnFormula>IF(Loans[[#This Row],[CollateralCoverageRatio]]&lt;1,"Undersecured","Secured")</calculatedColumnFormula>
    </tableColumn>
    <tableColumn id="16" xr3:uid="{C6C792B2-D4B8-49E7-965B-0430855CB5B5}" name="BranchName" dataDxfId="12">
      <calculatedColumnFormula>_xlfn.XLOOKUP(Loans[[#This Row],[BranchCode]],BranchesTbl[BranchCode],BranchesTbl[BranchName])</calculatedColumnFormula>
    </tableColumn>
    <tableColumn id="17" xr3:uid="{A198316C-949C-4FD6-92F9-91E2A6D50223}" name="RiskScore" dataDxfId="11">
      <calculatedColumnFormula>_xlfn.XLOOKUP(Loans[[#This Row],[CustomerID]],CustomerTbl[CustomerID],CustomerTbl[RiskScore])</calculatedColumnFormula>
    </tableColumn>
    <tableColumn id="18" xr3:uid="{8D7A3F67-9201-447D-B041-46B215EA9C5D}" name="RiskCategory" dataDxfId="10">
      <calculatedColumnFormula>IFERROR(INDEX(RiskTbl[Risk_Category],MATCH(Loans[[#This Row],[RiskScore]],RiskTbl[Score_Min],1)),"Unknown")</calculatedColumnFormula>
    </tableColumn>
    <tableColumn id="19" xr3:uid="{0E4C19C8-6CE2-47B7-A445-76CDBDA10629}" name="ExposureRiskFlag" dataDxfId="9">
      <calculatedColumnFormula>IF(OR(Loans[[#This Row],[LoanStatus]]="Default",Loans[[#This Row],[LoanStatus]]="Watchlist",Loans[[#This Row],[CollateralRisk]]="Undersecured",Loans[[#This Row],[RiskCategory]]="High Risk"),"High Risk Exposure","Normal")</calculatedColumnFormula>
    </tableColumn>
    <tableColumn id="20" xr3:uid="{9F2F45FD-9DD7-4F9D-B633-33114C6ACF60}" name="RiskLevel" dataDxfId="8">
      <calculatedColumnFormula array="1">_xlfn.IFS(
Loans[[#This Row],[LoanStatus]]="Default","Critical",
OR(Loans[[#This Row],[LoanStatus]]="Watchlist",Loans[[#This Row],[CollateralRisk]]="Undersecured",Loans[[#This Row],[RiskCategory]]="High Risk"),"High",
TRUE,"Normal"
)</calculatedColumnFormula>
    </tableColumn>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AA04B-07E8-4331-808B-C3B9D3724D5C}">
  <dimension ref="A1:S56"/>
  <sheetViews>
    <sheetView showGridLines="0" topLeftCell="D1" workbookViewId="0">
      <selection activeCell="D21" sqref="A1:XFD1048576"/>
    </sheetView>
  </sheetViews>
  <sheetFormatPr defaultRowHeight="14.5" x14ac:dyDescent="0.35"/>
  <sheetData>
    <row r="1" spans="1:19" ht="23.5" x14ac:dyDescent="0.35">
      <c r="A1" s="55" t="s">
        <v>1</v>
      </c>
      <c r="B1" s="55"/>
      <c r="C1" s="55"/>
      <c r="D1" s="55"/>
      <c r="E1" s="55"/>
      <c r="F1" s="55"/>
      <c r="G1" s="55"/>
      <c r="H1" s="55"/>
      <c r="I1" s="55"/>
      <c r="J1" s="55"/>
      <c r="K1" s="55"/>
      <c r="L1" s="55"/>
      <c r="M1" s="55"/>
      <c r="N1" s="55"/>
      <c r="O1" s="55"/>
      <c r="P1" s="55"/>
      <c r="Q1" s="55"/>
      <c r="R1" s="55"/>
      <c r="S1" s="55"/>
    </row>
    <row r="3" spans="1:19" ht="18.5" x14ac:dyDescent="0.45">
      <c r="A3" s="6" t="s">
        <v>2</v>
      </c>
      <c r="B3" s="6"/>
    </row>
    <row r="4" spans="1:19" x14ac:dyDescent="0.35">
      <c r="A4" t="s">
        <v>3</v>
      </c>
    </row>
    <row r="5" spans="1:19" x14ac:dyDescent="0.35">
      <c r="A5" t="s">
        <v>4</v>
      </c>
    </row>
    <row r="6" spans="1:19" x14ac:dyDescent="0.35">
      <c r="A6" t="s">
        <v>5</v>
      </c>
    </row>
    <row r="7" spans="1:19" x14ac:dyDescent="0.35">
      <c r="A7" t="s">
        <v>6</v>
      </c>
    </row>
    <row r="8" spans="1:19" x14ac:dyDescent="0.35">
      <c r="A8" t="s">
        <v>7</v>
      </c>
    </row>
    <row r="9" spans="1:19" x14ac:dyDescent="0.35">
      <c r="A9" t="s">
        <v>8</v>
      </c>
    </row>
    <row r="10" spans="1:19" x14ac:dyDescent="0.35">
      <c r="A10" t="s">
        <v>9</v>
      </c>
    </row>
    <row r="11" spans="1:19" x14ac:dyDescent="0.35">
      <c r="A11" t="s">
        <v>10</v>
      </c>
    </row>
    <row r="13" spans="1:19" ht="18.5" x14ac:dyDescent="0.45">
      <c r="A13" s="4" t="s">
        <v>11</v>
      </c>
      <c r="B13" s="5"/>
      <c r="C13" s="5"/>
    </row>
    <row r="14" spans="1:19" x14ac:dyDescent="0.35">
      <c r="A14" t="s">
        <v>12</v>
      </c>
    </row>
    <row r="15" spans="1:19" x14ac:dyDescent="0.35">
      <c r="A15" t="s">
        <v>13</v>
      </c>
    </row>
    <row r="16" spans="1:19" x14ac:dyDescent="0.35">
      <c r="A16" t="s">
        <v>14</v>
      </c>
    </row>
    <row r="17" spans="1:4" x14ac:dyDescent="0.35">
      <c r="A17" t="s">
        <v>15</v>
      </c>
    </row>
    <row r="18" spans="1:4" x14ac:dyDescent="0.35">
      <c r="A18" t="s">
        <v>16</v>
      </c>
    </row>
    <row r="19" spans="1:4" x14ac:dyDescent="0.35">
      <c r="A19" t="s">
        <v>17</v>
      </c>
    </row>
    <row r="21" spans="1:4" ht="18.5" x14ac:dyDescent="0.45">
      <c r="A21" s="6" t="s">
        <v>18</v>
      </c>
      <c r="B21" s="6"/>
    </row>
    <row r="22" spans="1:4" x14ac:dyDescent="0.35">
      <c r="A22" t="s">
        <v>19</v>
      </c>
    </row>
    <row r="23" spans="1:4" x14ac:dyDescent="0.35">
      <c r="A23" s="7" t="s">
        <v>20</v>
      </c>
    </row>
    <row r="24" spans="1:4" x14ac:dyDescent="0.35">
      <c r="A24" s="7" t="s">
        <v>21</v>
      </c>
    </row>
    <row r="25" spans="1:4" x14ac:dyDescent="0.35">
      <c r="A25" s="7" t="s">
        <v>22</v>
      </c>
    </row>
    <row r="26" spans="1:4" x14ac:dyDescent="0.35">
      <c r="A26" s="7" t="s">
        <v>23</v>
      </c>
    </row>
    <row r="27" spans="1:4" x14ac:dyDescent="0.35">
      <c r="A27" s="7" t="s">
        <v>24</v>
      </c>
    </row>
    <row r="28" spans="1:4" x14ac:dyDescent="0.35">
      <c r="A28" s="7" t="s">
        <v>25</v>
      </c>
    </row>
    <row r="30" spans="1:4" ht="18.5" x14ac:dyDescent="0.45">
      <c r="A30" s="4" t="s">
        <v>26</v>
      </c>
      <c r="B30" s="5"/>
      <c r="C30" s="5"/>
      <c r="D30" s="5"/>
    </row>
    <row r="31" spans="1:4" x14ac:dyDescent="0.35">
      <c r="A31" t="s">
        <v>27</v>
      </c>
    </row>
    <row r="32" spans="1:4" x14ac:dyDescent="0.35">
      <c r="A32" t="s">
        <v>28</v>
      </c>
    </row>
    <row r="33" spans="1:3" x14ac:dyDescent="0.35">
      <c r="A33" t="s">
        <v>29</v>
      </c>
    </row>
    <row r="34" spans="1:3" x14ac:dyDescent="0.35">
      <c r="A34" t="s">
        <v>30</v>
      </c>
    </row>
    <row r="35" spans="1:3" x14ac:dyDescent="0.35">
      <c r="A35" t="s">
        <v>31</v>
      </c>
    </row>
    <row r="36" spans="1:3" x14ac:dyDescent="0.35">
      <c r="A36" t="s">
        <v>32</v>
      </c>
    </row>
    <row r="37" spans="1:3" x14ac:dyDescent="0.35">
      <c r="A37" t="s">
        <v>33</v>
      </c>
    </row>
    <row r="39" spans="1:3" ht="18.5" x14ac:dyDescent="0.45">
      <c r="A39" s="4" t="s">
        <v>34</v>
      </c>
      <c r="B39" s="5"/>
      <c r="C39" s="5"/>
    </row>
    <row r="40" spans="1:3" x14ac:dyDescent="0.35">
      <c r="A40" t="s">
        <v>35</v>
      </c>
    </row>
    <row r="41" spans="1:3" x14ac:dyDescent="0.35">
      <c r="A41" t="s">
        <v>36</v>
      </c>
    </row>
    <row r="42" spans="1:3" x14ac:dyDescent="0.35">
      <c r="A42" t="s">
        <v>37</v>
      </c>
    </row>
    <row r="43" spans="1:3" x14ac:dyDescent="0.35">
      <c r="A43" t="s">
        <v>38</v>
      </c>
    </row>
    <row r="44" spans="1:3" x14ac:dyDescent="0.35">
      <c r="A44" t="s">
        <v>39</v>
      </c>
    </row>
    <row r="45" spans="1:3" x14ac:dyDescent="0.35">
      <c r="A45" t="s">
        <v>40</v>
      </c>
    </row>
    <row r="46" spans="1:3" x14ac:dyDescent="0.35">
      <c r="A46" t="s">
        <v>41</v>
      </c>
    </row>
    <row r="47" spans="1:3" x14ac:dyDescent="0.35">
      <c r="A47" t="s">
        <v>42</v>
      </c>
    </row>
    <row r="48" spans="1:3" x14ac:dyDescent="0.35">
      <c r="A48" t="s">
        <v>43</v>
      </c>
    </row>
    <row r="50" spans="1:5" ht="18.5" x14ac:dyDescent="0.45">
      <c r="A50" s="4" t="s">
        <v>44</v>
      </c>
      <c r="B50" s="5"/>
      <c r="C50" s="5"/>
      <c r="D50" s="5"/>
      <c r="E50" s="5"/>
    </row>
    <row r="51" spans="1:5" x14ac:dyDescent="0.35">
      <c r="A51" t="s">
        <v>45</v>
      </c>
    </row>
    <row r="52" spans="1:5" x14ac:dyDescent="0.35">
      <c r="A52" t="s">
        <v>46</v>
      </c>
    </row>
    <row r="53" spans="1:5" x14ac:dyDescent="0.35">
      <c r="A53" t="s">
        <v>47</v>
      </c>
    </row>
    <row r="54" spans="1:5" x14ac:dyDescent="0.35">
      <c r="A54" t="s">
        <v>48</v>
      </c>
    </row>
    <row r="55" spans="1:5" x14ac:dyDescent="0.35">
      <c r="A55" t="s">
        <v>49</v>
      </c>
    </row>
    <row r="56" spans="1:5" x14ac:dyDescent="0.35">
      <c r="A56" t="s">
        <v>50</v>
      </c>
    </row>
  </sheetData>
  <mergeCells count="1">
    <mergeCell ref="A1:S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972B0-4A9C-4AC4-9D3A-037C5511C4CC}">
  <dimension ref="A1:E47"/>
  <sheetViews>
    <sheetView showGridLines="0" topLeftCell="F27" workbookViewId="0">
      <selection activeCell="E43" sqref="E43"/>
    </sheetView>
  </sheetViews>
  <sheetFormatPr defaultRowHeight="14.5" x14ac:dyDescent="0.35"/>
  <cols>
    <col min="1" max="1" width="27.7265625" bestFit="1" customWidth="1"/>
    <col min="2" max="2" width="45.90625" bestFit="1" customWidth="1"/>
    <col min="3" max="3" width="18.90625" customWidth="1"/>
    <col min="4" max="4" width="17.54296875" customWidth="1"/>
    <col min="5" max="5" width="17.08984375" customWidth="1"/>
  </cols>
  <sheetData>
    <row r="1" spans="1:5" ht="23.5" x14ac:dyDescent="0.55000000000000004">
      <c r="A1" s="1" t="s">
        <v>51</v>
      </c>
    </row>
    <row r="2" spans="1:5" x14ac:dyDescent="0.35">
      <c r="A2" s="15" t="s">
        <v>52</v>
      </c>
      <c r="B2" s="16" t="s">
        <v>53</v>
      </c>
      <c r="C2" s="17" t="s">
        <v>54</v>
      </c>
    </row>
    <row r="3" spans="1:5" x14ac:dyDescent="0.35">
      <c r="A3" s="13" t="s">
        <v>55</v>
      </c>
      <c r="B3" s="10" t="s">
        <v>56</v>
      </c>
      <c r="C3" s="14">
        <v>1200</v>
      </c>
    </row>
    <row r="4" spans="1:5" x14ac:dyDescent="0.35">
      <c r="A4" s="13" t="s">
        <v>57</v>
      </c>
      <c r="B4" s="10" t="s">
        <v>58</v>
      </c>
      <c r="C4" s="14">
        <v>700</v>
      </c>
    </row>
    <row r="5" spans="1:5" x14ac:dyDescent="0.35">
      <c r="A5" s="13" t="s">
        <v>59</v>
      </c>
      <c r="B5" s="10" t="s">
        <v>60</v>
      </c>
      <c r="C5" s="14">
        <v>15</v>
      </c>
    </row>
    <row r="6" spans="1:5" x14ac:dyDescent="0.35">
      <c r="A6" s="13" t="s">
        <v>61</v>
      </c>
      <c r="B6" s="10" t="s">
        <v>62</v>
      </c>
      <c r="C6" s="14">
        <v>4</v>
      </c>
    </row>
    <row r="7" spans="1:5" x14ac:dyDescent="0.35">
      <c r="A7" s="18" t="s">
        <v>63</v>
      </c>
      <c r="B7" s="12" t="s">
        <v>64</v>
      </c>
      <c r="C7" s="19">
        <v>3</v>
      </c>
    </row>
    <row r="10" spans="1:5" x14ac:dyDescent="0.35">
      <c r="A10" s="3" t="s">
        <v>65</v>
      </c>
    </row>
    <row r="11" spans="1:5" ht="29" x14ac:dyDescent="0.35">
      <c r="A11" s="22" t="s">
        <v>66</v>
      </c>
      <c r="B11" s="23" t="s">
        <v>67</v>
      </c>
      <c r="C11" s="23" t="s">
        <v>68</v>
      </c>
      <c r="D11" s="23" t="s">
        <v>69</v>
      </c>
      <c r="E11" s="24" t="s">
        <v>70</v>
      </c>
    </row>
    <row r="12" spans="1:5" ht="43.5" x14ac:dyDescent="0.35">
      <c r="A12" s="20" t="s">
        <v>55</v>
      </c>
      <c r="B12" s="11" t="s">
        <v>0</v>
      </c>
      <c r="C12" s="11" t="s">
        <v>57</v>
      </c>
      <c r="D12" s="11" t="s">
        <v>0</v>
      </c>
      <c r="E12" s="21" t="s">
        <v>71</v>
      </c>
    </row>
    <row r="13" spans="1:5" ht="43.5" x14ac:dyDescent="0.35">
      <c r="A13" s="20" t="s">
        <v>55</v>
      </c>
      <c r="B13" s="11" t="s">
        <v>72</v>
      </c>
      <c r="C13" s="11" t="s">
        <v>59</v>
      </c>
      <c r="D13" s="11" t="s">
        <v>72</v>
      </c>
      <c r="E13" s="21" t="s">
        <v>73</v>
      </c>
    </row>
    <row r="14" spans="1:5" ht="58" x14ac:dyDescent="0.35">
      <c r="A14" s="20" t="s">
        <v>55</v>
      </c>
      <c r="B14" s="11" t="s">
        <v>74</v>
      </c>
      <c r="C14" s="11" t="s">
        <v>61</v>
      </c>
      <c r="D14" s="11" t="s">
        <v>74</v>
      </c>
      <c r="E14" s="21" t="s">
        <v>75</v>
      </c>
    </row>
    <row r="15" spans="1:5" ht="43.5" x14ac:dyDescent="0.35">
      <c r="A15" s="25" t="s">
        <v>55</v>
      </c>
      <c r="B15" s="26" t="s">
        <v>76</v>
      </c>
      <c r="C15" s="26" t="s">
        <v>63</v>
      </c>
      <c r="D15" s="26" t="s">
        <v>77</v>
      </c>
      <c r="E15" s="27" t="s">
        <v>78</v>
      </c>
    </row>
    <row r="18" spans="1:2" x14ac:dyDescent="0.35">
      <c r="A18" s="3" t="s">
        <v>79</v>
      </c>
    </row>
    <row r="19" spans="1:2" x14ac:dyDescent="0.35">
      <c r="A19" s="22" t="s">
        <v>80</v>
      </c>
      <c r="B19" s="24" t="s">
        <v>53</v>
      </c>
    </row>
    <row r="20" spans="1:2" x14ac:dyDescent="0.35">
      <c r="A20" s="20" t="s">
        <v>81</v>
      </c>
      <c r="B20" s="21" t="s">
        <v>82</v>
      </c>
    </row>
    <row r="21" spans="1:2" x14ac:dyDescent="0.35">
      <c r="A21" s="20" t="s">
        <v>0</v>
      </c>
      <c r="B21" s="21" t="s">
        <v>83</v>
      </c>
    </row>
    <row r="22" spans="1:2" x14ac:dyDescent="0.35">
      <c r="A22" s="20" t="s">
        <v>72</v>
      </c>
      <c r="B22" s="21" t="s">
        <v>84</v>
      </c>
    </row>
    <row r="23" spans="1:2" x14ac:dyDescent="0.35">
      <c r="A23" s="20" t="s">
        <v>74</v>
      </c>
      <c r="B23" s="21" t="s">
        <v>85</v>
      </c>
    </row>
    <row r="24" spans="1:2" x14ac:dyDescent="0.35">
      <c r="A24" s="20" t="s">
        <v>86</v>
      </c>
      <c r="B24" s="21" t="s">
        <v>87</v>
      </c>
    </row>
    <row r="25" spans="1:2" x14ac:dyDescent="0.35">
      <c r="A25" s="20" t="s">
        <v>88</v>
      </c>
      <c r="B25" s="21" t="s">
        <v>89</v>
      </c>
    </row>
    <row r="26" spans="1:2" x14ac:dyDescent="0.35">
      <c r="A26" s="20" t="s">
        <v>90</v>
      </c>
      <c r="B26" s="21" t="s">
        <v>91</v>
      </c>
    </row>
    <row r="27" spans="1:2" x14ac:dyDescent="0.35">
      <c r="A27" s="20" t="s">
        <v>92</v>
      </c>
      <c r="B27" s="21" t="s">
        <v>93</v>
      </c>
    </row>
    <row r="28" spans="1:2" x14ac:dyDescent="0.35">
      <c r="A28" s="20" t="s">
        <v>76</v>
      </c>
      <c r="B28" s="21" t="s">
        <v>94</v>
      </c>
    </row>
    <row r="29" spans="1:2" x14ac:dyDescent="0.35">
      <c r="A29" s="20" t="s">
        <v>95</v>
      </c>
      <c r="B29" s="21" t="s">
        <v>96</v>
      </c>
    </row>
    <row r="30" spans="1:2" x14ac:dyDescent="0.35">
      <c r="A30" s="20" t="s">
        <v>97</v>
      </c>
      <c r="B30" s="21" t="s">
        <v>98</v>
      </c>
    </row>
    <row r="31" spans="1:2" x14ac:dyDescent="0.35">
      <c r="A31" s="20" t="s">
        <v>99</v>
      </c>
      <c r="B31" s="21" t="s">
        <v>100</v>
      </c>
    </row>
    <row r="32" spans="1:2" x14ac:dyDescent="0.35">
      <c r="A32" s="20" t="s">
        <v>101</v>
      </c>
      <c r="B32" s="21" t="s">
        <v>102</v>
      </c>
    </row>
    <row r="33" spans="1:2" x14ac:dyDescent="0.35">
      <c r="A33" s="25" t="s">
        <v>103</v>
      </c>
      <c r="B33" s="27" t="s">
        <v>104</v>
      </c>
    </row>
    <row r="37" spans="1:2" x14ac:dyDescent="0.35">
      <c r="A37" s="3" t="s">
        <v>105</v>
      </c>
    </row>
    <row r="38" spans="1:2" x14ac:dyDescent="0.35">
      <c r="A38" s="22" t="s">
        <v>106</v>
      </c>
      <c r="B38" s="24" t="s">
        <v>107</v>
      </c>
    </row>
    <row r="39" spans="1:2" x14ac:dyDescent="0.35">
      <c r="A39" s="20" t="s">
        <v>108</v>
      </c>
      <c r="B39" s="21" t="s">
        <v>109</v>
      </c>
    </row>
    <row r="40" spans="1:2" x14ac:dyDescent="0.35">
      <c r="A40" s="20" t="s">
        <v>110</v>
      </c>
      <c r="B40" s="21" t="s">
        <v>111</v>
      </c>
    </row>
    <row r="41" spans="1:2" x14ac:dyDescent="0.35">
      <c r="A41" s="20" t="s">
        <v>112</v>
      </c>
      <c r="B41" s="21" t="s">
        <v>113</v>
      </c>
    </row>
    <row r="42" spans="1:2" x14ac:dyDescent="0.35">
      <c r="A42" s="20" t="s">
        <v>114</v>
      </c>
      <c r="B42" s="21" t="s">
        <v>115</v>
      </c>
    </row>
    <row r="43" spans="1:2" x14ac:dyDescent="0.35">
      <c r="A43" s="20" t="s">
        <v>116</v>
      </c>
      <c r="B43" s="21" t="s">
        <v>117</v>
      </c>
    </row>
    <row r="44" spans="1:2" x14ac:dyDescent="0.35">
      <c r="A44" s="20" t="s">
        <v>118</v>
      </c>
      <c r="B44" s="21" t="s">
        <v>119</v>
      </c>
    </row>
    <row r="45" spans="1:2" x14ac:dyDescent="0.35">
      <c r="A45" s="20" t="s">
        <v>120</v>
      </c>
      <c r="B45" s="21" t="s">
        <v>121</v>
      </c>
    </row>
    <row r="46" spans="1:2" x14ac:dyDescent="0.35">
      <c r="A46" s="20" t="s">
        <v>122</v>
      </c>
      <c r="B46" s="21" t="s">
        <v>123</v>
      </c>
    </row>
    <row r="47" spans="1:2" x14ac:dyDescent="0.35">
      <c r="A47" s="25" t="s">
        <v>124</v>
      </c>
      <c r="B47" s="27" t="s">
        <v>125</v>
      </c>
    </row>
  </sheetData>
  <pageMargins left="0.7" right="0.7" top="0.75" bottom="0.75" header="0.3" footer="0.3"/>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72F5F-BC49-49D8-A73C-48C14AEF7B7B}">
  <dimension ref="A1:E701"/>
  <sheetViews>
    <sheetView workbookViewId="0">
      <selection activeCell="E2" sqref="E2"/>
    </sheetView>
  </sheetViews>
  <sheetFormatPr defaultRowHeight="14.5" x14ac:dyDescent="0.35"/>
  <cols>
    <col min="1" max="1" width="12.81640625" customWidth="1"/>
    <col min="2" max="2" width="15.90625" customWidth="1"/>
    <col min="3" max="3" width="9" bestFit="1" customWidth="1"/>
    <col min="4" max="4" width="16.08984375" style="34" customWidth="1"/>
    <col min="5" max="5" width="10.7265625" customWidth="1"/>
  </cols>
  <sheetData>
    <row r="1" spans="1:5" x14ac:dyDescent="0.35">
      <c r="A1" s="2" t="s">
        <v>0</v>
      </c>
      <c r="B1" s="2" t="s">
        <v>126</v>
      </c>
      <c r="C1" s="2" t="s">
        <v>127</v>
      </c>
      <c r="D1" s="36" t="s">
        <v>128</v>
      </c>
      <c r="E1" s="2" t="s">
        <v>129</v>
      </c>
    </row>
    <row r="2" spans="1:5" x14ac:dyDescent="0.35">
      <c r="A2" t="str">
        <f>"C"&amp;TEXT(ROW()-1,"0000")</f>
        <v>C0001</v>
      </c>
      <c r="B2" t="str">
        <f>"Customer_"&amp;TEXT(ROW()-1,"0000")</f>
        <v>Customer_0001</v>
      </c>
      <c r="C2" t="str">
        <f ca="1">CHOOSE(RANDBETWEEN(1,5),
"Nairobi",
"Central",
"Coast",
"Rift Valley",
"Western")</f>
        <v>Coast</v>
      </c>
      <c r="D2" s="34">
        <f ca="1">ROUND(RANDBETWEEN(50000,800000),-3)</f>
        <v>740000</v>
      </c>
      <c r="E2">
        <v>546</v>
      </c>
    </row>
    <row r="3" spans="1:5" x14ac:dyDescent="0.35">
      <c r="A3" t="str">
        <f t="shared" ref="A3:A66" si="0">"C"&amp;TEXT(ROW()-1,"0000")</f>
        <v>C0002</v>
      </c>
      <c r="B3" t="str">
        <f t="shared" ref="B3:B66" si="1">"Customer_"&amp;TEXT(ROW()-1,"0000")</f>
        <v>Customer_0002</v>
      </c>
      <c r="C3" t="str">
        <f t="shared" ref="C3:C66" ca="1" si="2">CHOOSE(RANDBETWEEN(1,5),
"Nairobi",
"Central",
"Coast",
"Rift Valley",
"Western")</f>
        <v>Coast</v>
      </c>
      <c r="D3" s="34">
        <f t="shared" ref="D3:D66" ca="1" si="3">ROUND(RANDBETWEEN(50000,800000),-3)</f>
        <v>158000</v>
      </c>
      <c r="E3">
        <v>316</v>
      </c>
    </row>
    <row r="4" spans="1:5" x14ac:dyDescent="0.35">
      <c r="A4" t="str">
        <f t="shared" si="0"/>
        <v>C0003</v>
      </c>
      <c r="B4" t="str">
        <f t="shared" si="1"/>
        <v>Customer_0003</v>
      </c>
      <c r="C4" t="str">
        <f t="shared" ca="1" si="2"/>
        <v>Coast</v>
      </c>
      <c r="D4" s="34">
        <f t="shared" ca="1" si="3"/>
        <v>474000</v>
      </c>
      <c r="E4">
        <v>565</v>
      </c>
    </row>
    <row r="5" spans="1:5" x14ac:dyDescent="0.35">
      <c r="A5" t="str">
        <f t="shared" si="0"/>
        <v>C0004</v>
      </c>
      <c r="B5" t="str">
        <f t="shared" si="1"/>
        <v>Customer_0004</v>
      </c>
      <c r="C5" t="str">
        <f t="shared" ca="1" si="2"/>
        <v>Rift Valley</v>
      </c>
      <c r="D5" s="34">
        <f t="shared" ca="1" si="3"/>
        <v>202000</v>
      </c>
      <c r="E5">
        <v>555</v>
      </c>
    </row>
    <row r="6" spans="1:5" x14ac:dyDescent="0.35">
      <c r="A6" t="str">
        <f t="shared" si="0"/>
        <v>C0005</v>
      </c>
      <c r="B6" t="str">
        <f t="shared" si="1"/>
        <v>Customer_0005</v>
      </c>
      <c r="C6" t="str">
        <f t="shared" ca="1" si="2"/>
        <v>Coast</v>
      </c>
      <c r="D6" s="34">
        <f t="shared" ca="1" si="3"/>
        <v>387000</v>
      </c>
      <c r="E6">
        <v>576</v>
      </c>
    </row>
    <row r="7" spans="1:5" x14ac:dyDescent="0.35">
      <c r="A7" t="str">
        <f t="shared" si="0"/>
        <v>C0006</v>
      </c>
      <c r="B7" t="str">
        <f t="shared" si="1"/>
        <v>Customer_0006</v>
      </c>
      <c r="C7" t="str">
        <f t="shared" ca="1" si="2"/>
        <v>Rift Valley</v>
      </c>
      <c r="D7" s="34">
        <f t="shared" ca="1" si="3"/>
        <v>112000</v>
      </c>
      <c r="E7">
        <v>609</v>
      </c>
    </row>
    <row r="8" spans="1:5" x14ac:dyDescent="0.35">
      <c r="A8" t="str">
        <f t="shared" si="0"/>
        <v>C0007</v>
      </c>
      <c r="B8" t="str">
        <f t="shared" si="1"/>
        <v>Customer_0007</v>
      </c>
      <c r="C8" t="str">
        <f t="shared" ca="1" si="2"/>
        <v>Coast</v>
      </c>
      <c r="D8" s="34">
        <f t="shared" ca="1" si="3"/>
        <v>438000</v>
      </c>
      <c r="E8">
        <v>366</v>
      </c>
    </row>
    <row r="9" spans="1:5" x14ac:dyDescent="0.35">
      <c r="A9" t="str">
        <f t="shared" si="0"/>
        <v>C0008</v>
      </c>
      <c r="B9" t="str">
        <f t="shared" si="1"/>
        <v>Customer_0008</v>
      </c>
      <c r="C9" t="str">
        <f t="shared" ca="1" si="2"/>
        <v>Coast</v>
      </c>
      <c r="D9" s="34">
        <f t="shared" ca="1" si="3"/>
        <v>227000</v>
      </c>
      <c r="E9">
        <v>526</v>
      </c>
    </row>
    <row r="10" spans="1:5" x14ac:dyDescent="0.35">
      <c r="A10" t="str">
        <f t="shared" si="0"/>
        <v>C0009</v>
      </c>
      <c r="B10" t="str">
        <f t="shared" si="1"/>
        <v>Customer_0009</v>
      </c>
      <c r="C10" t="str">
        <f t="shared" ca="1" si="2"/>
        <v>Western</v>
      </c>
      <c r="D10" s="34">
        <f t="shared" ca="1" si="3"/>
        <v>489000</v>
      </c>
      <c r="E10">
        <v>847</v>
      </c>
    </row>
    <row r="11" spans="1:5" x14ac:dyDescent="0.35">
      <c r="A11" t="str">
        <f t="shared" si="0"/>
        <v>C0010</v>
      </c>
      <c r="B11" t="str">
        <f t="shared" si="1"/>
        <v>Customer_0010</v>
      </c>
      <c r="C11" t="str">
        <f t="shared" ca="1" si="2"/>
        <v>Nairobi</v>
      </c>
      <c r="D11" s="34">
        <f t="shared" ca="1" si="3"/>
        <v>209000</v>
      </c>
      <c r="E11">
        <v>824</v>
      </c>
    </row>
    <row r="12" spans="1:5" x14ac:dyDescent="0.35">
      <c r="A12" t="str">
        <f t="shared" si="0"/>
        <v>C0011</v>
      </c>
      <c r="B12" t="str">
        <f t="shared" si="1"/>
        <v>Customer_0011</v>
      </c>
      <c r="C12" t="str">
        <f t="shared" ca="1" si="2"/>
        <v>Western</v>
      </c>
      <c r="D12" s="34">
        <f t="shared" ca="1" si="3"/>
        <v>629000</v>
      </c>
      <c r="E12">
        <v>390</v>
      </c>
    </row>
    <row r="13" spans="1:5" x14ac:dyDescent="0.35">
      <c r="A13" t="str">
        <f t="shared" si="0"/>
        <v>C0012</v>
      </c>
      <c r="B13" t="str">
        <f t="shared" si="1"/>
        <v>Customer_0012</v>
      </c>
      <c r="C13" t="str">
        <f t="shared" ca="1" si="2"/>
        <v>Western</v>
      </c>
      <c r="D13" s="34">
        <f t="shared" ca="1" si="3"/>
        <v>521000</v>
      </c>
      <c r="E13">
        <v>734</v>
      </c>
    </row>
    <row r="14" spans="1:5" x14ac:dyDescent="0.35">
      <c r="A14" t="str">
        <f t="shared" si="0"/>
        <v>C0013</v>
      </c>
      <c r="B14" t="str">
        <f t="shared" si="1"/>
        <v>Customer_0013</v>
      </c>
      <c r="C14" t="str">
        <f t="shared" ca="1" si="2"/>
        <v>Nairobi</v>
      </c>
      <c r="D14" s="34">
        <f t="shared" ca="1" si="3"/>
        <v>743000</v>
      </c>
      <c r="E14">
        <v>659</v>
      </c>
    </row>
    <row r="15" spans="1:5" x14ac:dyDescent="0.35">
      <c r="A15" t="str">
        <f t="shared" si="0"/>
        <v>C0014</v>
      </c>
      <c r="B15" t="str">
        <f t="shared" si="1"/>
        <v>Customer_0014</v>
      </c>
      <c r="C15" t="str">
        <f t="shared" ca="1" si="2"/>
        <v>Rift Valley</v>
      </c>
      <c r="D15" s="34">
        <f t="shared" ca="1" si="3"/>
        <v>75000</v>
      </c>
      <c r="E15">
        <v>648</v>
      </c>
    </row>
    <row r="16" spans="1:5" x14ac:dyDescent="0.35">
      <c r="A16" t="str">
        <f t="shared" si="0"/>
        <v>C0015</v>
      </c>
      <c r="B16" t="str">
        <f t="shared" si="1"/>
        <v>Customer_0015</v>
      </c>
      <c r="C16" t="str">
        <f t="shared" ca="1" si="2"/>
        <v>Nairobi</v>
      </c>
      <c r="D16" s="34">
        <f t="shared" ca="1" si="3"/>
        <v>441000</v>
      </c>
      <c r="E16">
        <v>348</v>
      </c>
    </row>
    <row r="17" spans="1:5" x14ac:dyDescent="0.35">
      <c r="A17" t="str">
        <f t="shared" si="0"/>
        <v>C0016</v>
      </c>
      <c r="B17" t="str">
        <f t="shared" si="1"/>
        <v>Customer_0016</v>
      </c>
      <c r="C17" t="str">
        <f t="shared" ca="1" si="2"/>
        <v>Nairobi</v>
      </c>
      <c r="D17" s="34">
        <f t="shared" ca="1" si="3"/>
        <v>686000</v>
      </c>
      <c r="E17">
        <v>797</v>
      </c>
    </row>
    <row r="18" spans="1:5" x14ac:dyDescent="0.35">
      <c r="A18" t="str">
        <f t="shared" si="0"/>
        <v>C0017</v>
      </c>
      <c r="B18" t="str">
        <f t="shared" si="1"/>
        <v>Customer_0017</v>
      </c>
      <c r="C18" t="str">
        <f t="shared" ca="1" si="2"/>
        <v>Nairobi</v>
      </c>
      <c r="D18" s="34">
        <f t="shared" ca="1" si="3"/>
        <v>608000</v>
      </c>
      <c r="E18">
        <v>622</v>
      </c>
    </row>
    <row r="19" spans="1:5" x14ac:dyDescent="0.35">
      <c r="A19" t="str">
        <f t="shared" si="0"/>
        <v>C0018</v>
      </c>
      <c r="B19" t="str">
        <f t="shared" si="1"/>
        <v>Customer_0018</v>
      </c>
      <c r="C19" t="str">
        <f t="shared" ca="1" si="2"/>
        <v>Rift Valley</v>
      </c>
      <c r="D19" s="34">
        <f t="shared" ca="1" si="3"/>
        <v>779000</v>
      </c>
      <c r="E19">
        <v>593</v>
      </c>
    </row>
    <row r="20" spans="1:5" x14ac:dyDescent="0.35">
      <c r="A20" t="str">
        <f t="shared" si="0"/>
        <v>C0019</v>
      </c>
      <c r="B20" t="str">
        <f t="shared" si="1"/>
        <v>Customer_0019</v>
      </c>
      <c r="C20" t="str">
        <f t="shared" ca="1" si="2"/>
        <v>Rift Valley</v>
      </c>
      <c r="D20" s="34">
        <f t="shared" ca="1" si="3"/>
        <v>775000</v>
      </c>
      <c r="E20">
        <v>571</v>
      </c>
    </row>
    <row r="21" spans="1:5" x14ac:dyDescent="0.35">
      <c r="A21" t="str">
        <f t="shared" si="0"/>
        <v>C0020</v>
      </c>
      <c r="B21" t="str">
        <f t="shared" si="1"/>
        <v>Customer_0020</v>
      </c>
      <c r="C21" t="str">
        <f t="shared" ca="1" si="2"/>
        <v>Nairobi</v>
      </c>
      <c r="D21" s="34">
        <f t="shared" ca="1" si="3"/>
        <v>468000</v>
      </c>
      <c r="E21">
        <v>389</v>
      </c>
    </row>
    <row r="22" spans="1:5" x14ac:dyDescent="0.35">
      <c r="A22" t="str">
        <f t="shared" si="0"/>
        <v>C0021</v>
      </c>
      <c r="B22" t="str">
        <f t="shared" si="1"/>
        <v>Customer_0021</v>
      </c>
      <c r="C22" t="str">
        <f t="shared" ca="1" si="2"/>
        <v>Central</v>
      </c>
      <c r="D22" s="34">
        <f t="shared" ca="1" si="3"/>
        <v>782000</v>
      </c>
      <c r="E22">
        <v>834</v>
      </c>
    </row>
    <row r="23" spans="1:5" x14ac:dyDescent="0.35">
      <c r="A23" t="str">
        <f t="shared" si="0"/>
        <v>C0022</v>
      </c>
      <c r="B23" t="str">
        <f t="shared" si="1"/>
        <v>Customer_0022</v>
      </c>
      <c r="C23" t="str">
        <f t="shared" ca="1" si="2"/>
        <v>Western</v>
      </c>
      <c r="D23" s="34">
        <f t="shared" ca="1" si="3"/>
        <v>339000</v>
      </c>
      <c r="E23">
        <v>601</v>
      </c>
    </row>
    <row r="24" spans="1:5" x14ac:dyDescent="0.35">
      <c r="A24" t="str">
        <f t="shared" si="0"/>
        <v>C0023</v>
      </c>
      <c r="B24" t="str">
        <f t="shared" si="1"/>
        <v>Customer_0023</v>
      </c>
      <c r="C24" t="str">
        <f t="shared" ca="1" si="2"/>
        <v>Rift Valley</v>
      </c>
      <c r="D24" s="34">
        <f t="shared" ca="1" si="3"/>
        <v>512000</v>
      </c>
      <c r="E24">
        <v>365</v>
      </c>
    </row>
    <row r="25" spans="1:5" x14ac:dyDescent="0.35">
      <c r="A25" t="str">
        <f t="shared" si="0"/>
        <v>C0024</v>
      </c>
      <c r="B25" t="str">
        <f t="shared" si="1"/>
        <v>Customer_0024</v>
      </c>
      <c r="C25" t="str">
        <f t="shared" ca="1" si="2"/>
        <v>Central</v>
      </c>
      <c r="D25" s="34">
        <f t="shared" ca="1" si="3"/>
        <v>720000</v>
      </c>
      <c r="E25">
        <v>338</v>
      </c>
    </row>
    <row r="26" spans="1:5" x14ac:dyDescent="0.35">
      <c r="A26" t="str">
        <f t="shared" si="0"/>
        <v>C0025</v>
      </c>
      <c r="B26" t="str">
        <f t="shared" si="1"/>
        <v>Customer_0025</v>
      </c>
      <c r="C26" t="str">
        <f t="shared" ca="1" si="2"/>
        <v>Coast</v>
      </c>
      <c r="D26" s="34">
        <f t="shared" ca="1" si="3"/>
        <v>102000</v>
      </c>
      <c r="E26">
        <v>698</v>
      </c>
    </row>
    <row r="27" spans="1:5" x14ac:dyDescent="0.35">
      <c r="A27" t="str">
        <f t="shared" si="0"/>
        <v>C0026</v>
      </c>
      <c r="B27" t="str">
        <f t="shared" si="1"/>
        <v>Customer_0026</v>
      </c>
      <c r="C27" t="str">
        <f t="shared" ca="1" si="2"/>
        <v>Rift Valley</v>
      </c>
      <c r="D27" s="34">
        <f t="shared" ca="1" si="3"/>
        <v>488000</v>
      </c>
      <c r="E27">
        <v>463</v>
      </c>
    </row>
    <row r="28" spans="1:5" x14ac:dyDescent="0.35">
      <c r="A28" t="str">
        <f t="shared" si="0"/>
        <v>C0027</v>
      </c>
      <c r="B28" t="str">
        <f t="shared" si="1"/>
        <v>Customer_0027</v>
      </c>
      <c r="C28" t="str">
        <f t="shared" ca="1" si="2"/>
        <v>Western</v>
      </c>
      <c r="D28" s="34">
        <f t="shared" ca="1" si="3"/>
        <v>479000</v>
      </c>
      <c r="E28">
        <v>798</v>
      </c>
    </row>
    <row r="29" spans="1:5" x14ac:dyDescent="0.35">
      <c r="A29" t="str">
        <f t="shared" si="0"/>
        <v>C0028</v>
      </c>
      <c r="B29" t="str">
        <f t="shared" si="1"/>
        <v>Customer_0028</v>
      </c>
      <c r="C29" t="str">
        <f t="shared" ca="1" si="2"/>
        <v>Coast</v>
      </c>
      <c r="D29" s="34">
        <f t="shared" ca="1" si="3"/>
        <v>75000</v>
      </c>
      <c r="E29">
        <v>797</v>
      </c>
    </row>
    <row r="30" spans="1:5" x14ac:dyDescent="0.35">
      <c r="A30" t="str">
        <f t="shared" si="0"/>
        <v>C0029</v>
      </c>
      <c r="B30" t="str">
        <f t="shared" si="1"/>
        <v>Customer_0029</v>
      </c>
      <c r="C30" t="str">
        <f t="shared" ca="1" si="2"/>
        <v>Coast</v>
      </c>
      <c r="D30" s="34">
        <f t="shared" ca="1" si="3"/>
        <v>427000</v>
      </c>
      <c r="E30">
        <v>376</v>
      </c>
    </row>
    <row r="31" spans="1:5" x14ac:dyDescent="0.35">
      <c r="A31" t="str">
        <f t="shared" si="0"/>
        <v>C0030</v>
      </c>
      <c r="B31" t="str">
        <f t="shared" si="1"/>
        <v>Customer_0030</v>
      </c>
      <c r="C31" t="str">
        <f t="shared" ca="1" si="2"/>
        <v>Rift Valley</v>
      </c>
      <c r="D31" s="34">
        <f t="shared" ca="1" si="3"/>
        <v>360000</v>
      </c>
      <c r="E31">
        <v>514</v>
      </c>
    </row>
    <row r="32" spans="1:5" x14ac:dyDescent="0.35">
      <c r="A32" t="str">
        <f t="shared" si="0"/>
        <v>C0031</v>
      </c>
      <c r="B32" t="str">
        <f t="shared" si="1"/>
        <v>Customer_0031</v>
      </c>
      <c r="C32" t="str">
        <f t="shared" ca="1" si="2"/>
        <v>Rift Valley</v>
      </c>
      <c r="D32" s="34">
        <f t="shared" ca="1" si="3"/>
        <v>655000</v>
      </c>
      <c r="E32">
        <v>602</v>
      </c>
    </row>
    <row r="33" spans="1:5" x14ac:dyDescent="0.35">
      <c r="A33" t="str">
        <f t="shared" si="0"/>
        <v>C0032</v>
      </c>
      <c r="B33" t="str">
        <f t="shared" si="1"/>
        <v>Customer_0032</v>
      </c>
      <c r="C33" t="str">
        <f t="shared" ca="1" si="2"/>
        <v>Central</v>
      </c>
      <c r="D33" s="34">
        <f t="shared" ca="1" si="3"/>
        <v>291000</v>
      </c>
      <c r="E33">
        <v>459</v>
      </c>
    </row>
    <row r="34" spans="1:5" x14ac:dyDescent="0.35">
      <c r="A34" t="str">
        <f t="shared" si="0"/>
        <v>C0033</v>
      </c>
      <c r="B34" t="str">
        <f t="shared" si="1"/>
        <v>Customer_0033</v>
      </c>
      <c r="C34" t="str">
        <f t="shared" ca="1" si="2"/>
        <v>Nairobi</v>
      </c>
      <c r="D34" s="34">
        <f t="shared" ca="1" si="3"/>
        <v>692000</v>
      </c>
      <c r="E34">
        <v>521</v>
      </c>
    </row>
    <row r="35" spans="1:5" x14ac:dyDescent="0.35">
      <c r="A35" t="str">
        <f t="shared" si="0"/>
        <v>C0034</v>
      </c>
      <c r="B35" t="str">
        <f t="shared" si="1"/>
        <v>Customer_0034</v>
      </c>
      <c r="C35" t="str">
        <f t="shared" ca="1" si="2"/>
        <v>Nairobi</v>
      </c>
      <c r="D35" s="34">
        <f t="shared" ca="1" si="3"/>
        <v>689000</v>
      </c>
      <c r="E35">
        <v>588</v>
      </c>
    </row>
    <row r="36" spans="1:5" x14ac:dyDescent="0.35">
      <c r="A36" t="str">
        <f t="shared" si="0"/>
        <v>C0035</v>
      </c>
      <c r="B36" t="str">
        <f t="shared" si="1"/>
        <v>Customer_0035</v>
      </c>
      <c r="C36" t="str">
        <f t="shared" ca="1" si="2"/>
        <v>Rift Valley</v>
      </c>
      <c r="D36" s="34">
        <f t="shared" ca="1" si="3"/>
        <v>266000</v>
      </c>
      <c r="E36">
        <v>696</v>
      </c>
    </row>
    <row r="37" spans="1:5" x14ac:dyDescent="0.35">
      <c r="A37" t="str">
        <f t="shared" si="0"/>
        <v>C0036</v>
      </c>
      <c r="B37" t="str">
        <f t="shared" si="1"/>
        <v>Customer_0036</v>
      </c>
      <c r="C37" t="str">
        <f t="shared" ca="1" si="2"/>
        <v>Western</v>
      </c>
      <c r="D37" s="34">
        <f t="shared" ca="1" si="3"/>
        <v>114000</v>
      </c>
      <c r="E37">
        <v>684</v>
      </c>
    </row>
    <row r="38" spans="1:5" x14ac:dyDescent="0.35">
      <c r="A38" t="str">
        <f t="shared" si="0"/>
        <v>C0037</v>
      </c>
      <c r="B38" t="str">
        <f t="shared" si="1"/>
        <v>Customer_0037</v>
      </c>
      <c r="C38" t="str">
        <f t="shared" ca="1" si="2"/>
        <v>Nairobi</v>
      </c>
      <c r="D38" s="34">
        <f t="shared" ca="1" si="3"/>
        <v>635000</v>
      </c>
      <c r="E38">
        <v>805</v>
      </c>
    </row>
    <row r="39" spans="1:5" x14ac:dyDescent="0.35">
      <c r="A39" t="str">
        <f t="shared" si="0"/>
        <v>C0038</v>
      </c>
      <c r="B39" t="str">
        <f t="shared" si="1"/>
        <v>Customer_0038</v>
      </c>
      <c r="C39" t="str">
        <f t="shared" ca="1" si="2"/>
        <v>Central</v>
      </c>
      <c r="D39" s="34">
        <f t="shared" ca="1" si="3"/>
        <v>419000</v>
      </c>
      <c r="E39">
        <v>456</v>
      </c>
    </row>
    <row r="40" spans="1:5" x14ac:dyDescent="0.35">
      <c r="A40" t="str">
        <f t="shared" si="0"/>
        <v>C0039</v>
      </c>
      <c r="B40" t="str">
        <f t="shared" si="1"/>
        <v>Customer_0039</v>
      </c>
      <c r="C40" t="str">
        <f t="shared" ca="1" si="2"/>
        <v>Central</v>
      </c>
      <c r="D40" s="34">
        <f t="shared" ca="1" si="3"/>
        <v>544000</v>
      </c>
      <c r="E40">
        <v>681</v>
      </c>
    </row>
    <row r="41" spans="1:5" x14ac:dyDescent="0.35">
      <c r="A41" t="str">
        <f t="shared" si="0"/>
        <v>C0040</v>
      </c>
      <c r="B41" t="str">
        <f t="shared" si="1"/>
        <v>Customer_0040</v>
      </c>
      <c r="C41" t="str">
        <f t="shared" ca="1" si="2"/>
        <v>Western</v>
      </c>
      <c r="D41" s="34">
        <f t="shared" ca="1" si="3"/>
        <v>528000</v>
      </c>
      <c r="E41">
        <v>498</v>
      </c>
    </row>
    <row r="42" spans="1:5" x14ac:dyDescent="0.35">
      <c r="A42" t="str">
        <f t="shared" si="0"/>
        <v>C0041</v>
      </c>
      <c r="B42" t="str">
        <f t="shared" si="1"/>
        <v>Customer_0041</v>
      </c>
      <c r="C42" t="str">
        <f t="shared" ca="1" si="2"/>
        <v>Western</v>
      </c>
      <c r="D42" s="34">
        <f t="shared" ca="1" si="3"/>
        <v>323000</v>
      </c>
      <c r="E42">
        <v>838</v>
      </c>
    </row>
    <row r="43" spans="1:5" x14ac:dyDescent="0.35">
      <c r="A43" t="str">
        <f t="shared" si="0"/>
        <v>C0042</v>
      </c>
      <c r="B43" t="str">
        <f t="shared" si="1"/>
        <v>Customer_0042</v>
      </c>
      <c r="C43" t="str">
        <f t="shared" ca="1" si="2"/>
        <v>Coast</v>
      </c>
      <c r="D43" s="34">
        <f t="shared" ca="1" si="3"/>
        <v>693000</v>
      </c>
      <c r="E43">
        <v>778</v>
      </c>
    </row>
    <row r="44" spans="1:5" x14ac:dyDescent="0.35">
      <c r="A44" t="str">
        <f t="shared" si="0"/>
        <v>C0043</v>
      </c>
      <c r="B44" t="str">
        <f t="shared" si="1"/>
        <v>Customer_0043</v>
      </c>
      <c r="C44" t="str">
        <f t="shared" ca="1" si="2"/>
        <v>Western</v>
      </c>
      <c r="D44" s="34">
        <f t="shared" ca="1" si="3"/>
        <v>626000</v>
      </c>
      <c r="E44">
        <v>760</v>
      </c>
    </row>
    <row r="45" spans="1:5" x14ac:dyDescent="0.35">
      <c r="A45" t="str">
        <f t="shared" si="0"/>
        <v>C0044</v>
      </c>
      <c r="B45" t="str">
        <f t="shared" si="1"/>
        <v>Customer_0044</v>
      </c>
      <c r="C45" t="str">
        <f t="shared" ca="1" si="2"/>
        <v>Central</v>
      </c>
      <c r="D45" s="34">
        <f t="shared" ca="1" si="3"/>
        <v>462000</v>
      </c>
      <c r="E45">
        <v>506</v>
      </c>
    </row>
    <row r="46" spans="1:5" x14ac:dyDescent="0.35">
      <c r="A46" t="str">
        <f t="shared" si="0"/>
        <v>C0045</v>
      </c>
      <c r="B46" t="str">
        <f t="shared" si="1"/>
        <v>Customer_0045</v>
      </c>
      <c r="C46" t="str">
        <f t="shared" ca="1" si="2"/>
        <v>Coast</v>
      </c>
      <c r="D46" s="34">
        <f t="shared" ca="1" si="3"/>
        <v>282000</v>
      </c>
      <c r="E46">
        <v>500</v>
      </c>
    </row>
    <row r="47" spans="1:5" x14ac:dyDescent="0.35">
      <c r="A47" t="str">
        <f t="shared" si="0"/>
        <v>C0046</v>
      </c>
      <c r="B47" t="str">
        <f t="shared" si="1"/>
        <v>Customer_0046</v>
      </c>
      <c r="C47" t="str">
        <f t="shared" ca="1" si="2"/>
        <v>Coast</v>
      </c>
      <c r="D47" s="34">
        <f t="shared" ca="1" si="3"/>
        <v>533000</v>
      </c>
      <c r="E47">
        <v>743</v>
      </c>
    </row>
    <row r="48" spans="1:5" x14ac:dyDescent="0.35">
      <c r="A48" t="str">
        <f t="shared" si="0"/>
        <v>C0047</v>
      </c>
      <c r="B48" t="str">
        <f t="shared" si="1"/>
        <v>Customer_0047</v>
      </c>
      <c r="C48" t="str">
        <f t="shared" ca="1" si="2"/>
        <v>Coast</v>
      </c>
      <c r="D48" s="34">
        <f t="shared" ca="1" si="3"/>
        <v>219000</v>
      </c>
      <c r="E48">
        <v>331</v>
      </c>
    </row>
    <row r="49" spans="1:5" x14ac:dyDescent="0.35">
      <c r="A49" t="str">
        <f t="shared" si="0"/>
        <v>C0048</v>
      </c>
      <c r="B49" t="str">
        <f t="shared" si="1"/>
        <v>Customer_0048</v>
      </c>
      <c r="C49" t="str">
        <f t="shared" ca="1" si="2"/>
        <v>Nairobi</v>
      </c>
      <c r="D49" s="34">
        <f t="shared" ca="1" si="3"/>
        <v>768000</v>
      </c>
      <c r="E49">
        <v>850</v>
      </c>
    </row>
    <row r="50" spans="1:5" x14ac:dyDescent="0.35">
      <c r="A50" t="str">
        <f t="shared" si="0"/>
        <v>C0049</v>
      </c>
      <c r="B50" t="str">
        <f t="shared" si="1"/>
        <v>Customer_0049</v>
      </c>
      <c r="C50" t="str">
        <f t="shared" ca="1" si="2"/>
        <v>Central</v>
      </c>
      <c r="D50" s="34">
        <f t="shared" ca="1" si="3"/>
        <v>499000</v>
      </c>
      <c r="E50">
        <v>374</v>
      </c>
    </row>
    <row r="51" spans="1:5" x14ac:dyDescent="0.35">
      <c r="A51" t="str">
        <f t="shared" si="0"/>
        <v>C0050</v>
      </c>
      <c r="B51" t="str">
        <f t="shared" si="1"/>
        <v>Customer_0050</v>
      </c>
      <c r="C51" t="str">
        <f t="shared" ca="1" si="2"/>
        <v>Nairobi</v>
      </c>
      <c r="D51" s="34">
        <f t="shared" ca="1" si="3"/>
        <v>639000</v>
      </c>
      <c r="E51">
        <v>494</v>
      </c>
    </row>
    <row r="52" spans="1:5" x14ac:dyDescent="0.35">
      <c r="A52" t="str">
        <f t="shared" si="0"/>
        <v>C0051</v>
      </c>
      <c r="B52" t="str">
        <f t="shared" si="1"/>
        <v>Customer_0051</v>
      </c>
      <c r="C52" t="str">
        <f t="shared" ca="1" si="2"/>
        <v>Coast</v>
      </c>
      <c r="D52" s="34">
        <f t="shared" ca="1" si="3"/>
        <v>514000</v>
      </c>
      <c r="E52">
        <v>345</v>
      </c>
    </row>
    <row r="53" spans="1:5" x14ac:dyDescent="0.35">
      <c r="A53" t="str">
        <f t="shared" si="0"/>
        <v>C0052</v>
      </c>
      <c r="B53" t="str">
        <f t="shared" si="1"/>
        <v>Customer_0052</v>
      </c>
      <c r="C53" t="str">
        <f t="shared" ca="1" si="2"/>
        <v>Coast</v>
      </c>
      <c r="D53" s="34">
        <f t="shared" ca="1" si="3"/>
        <v>169000</v>
      </c>
      <c r="E53">
        <v>463</v>
      </c>
    </row>
    <row r="54" spans="1:5" x14ac:dyDescent="0.35">
      <c r="A54" t="str">
        <f t="shared" si="0"/>
        <v>C0053</v>
      </c>
      <c r="B54" t="str">
        <f t="shared" si="1"/>
        <v>Customer_0053</v>
      </c>
      <c r="C54" t="str">
        <f t="shared" ca="1" si="2"/>
        <v>Coast</v>
      </c>
      <c r="D54" s="34">
        <f t="shared" ca="1" si="3"/>
        <v>740000</v>
      </c>
      <c r="E54">
        <v>436</v>
      </c>
    </row>
    <row r="55" spans="1:5" x14ac:dyDescent="0.35">
      <c r="A55" t="str">
        <f t="shared" si="0"/>
        <v>C0054</v>
      </c>
      <c r="B55" t="str">
        <f t="shared" si="1"/>
        <v>Customer_0054</v>
      </c>
      <c r="C55" t="str">
        <f t="shared" ca="1" si="2"/>
        <v>Central</v>
      </c>
      <c r="D55" s="34">
        <f t="shared" ca="1" si="3"/>
        <v>56000</v>
      </c>
      <c r="E55">
        <v>347</v>
      </c>
    </row>
    <row r="56" spans="1:5" x14ac:dyDescent="0.35">
      <c r="A56" t="str">
        <f t="shared" si="0"/>
        <v>C0055</v>
      </c>
      <c r="B56" t="str">
        <f t="shared" si="1"/>
        <v>Customer_0055</v>
      </c>
      <c r="C56" t="str">
        <f t="shared" ca="1" si="2"/>
        <v>Rift Valley</v>
      </c>
      <c r="D56" s="34">
        <f t="shared" ca="1" si="3"/>
        <v>89000</v>
      </c>
      <c r="E56">
        <v>587</v>
      </c>
    </row>
    <row r="57" spans="1:5" x14ac:dyDescent="0.35">
      <c r="A57" t="str">
        <f t="shared" si="0"/>
        <v>C0056</v>
      </c>
      <c r="B57" t="str">
        <f t="shared" si="1"/>
        <v>Customer_0056</v>
      </c>
      <c r="C57" t="str">
        <f t="shared" ca="1" si="2"/>
        <v>Central</v>
      </c>
      <c r="D57" s="34">
        <f t="shared" ca="1" si="3"/>
        <v>667000</v>
      </c>
      <c r="E57">
        <v>402</v>
      </c>
    </row>
    <row r="58" spans="1:5" x14ac:dyDescent="0.35">
      <c r="A58" t="str">
        <f t="shared" si="0"/>
        <v>C0057</v>
      </c>
      <c r="B58" t="str">
        <f t="shared" si="1"/>
        <v>Customer_0057</v>
      </c>
      <c r="C58" t="str">
        <f t="shared" ca="1" si="2"/>
        <v>Central</v>
      </c>
      <c r="D58" s="34">
        <f t="shared" ca="1" si="3"/>
        <v>393000</v>
      </c>
      <c r="E58">
        <v>712</v>
      </c>
    </row>
    <row r="59" spans="1:5" x14ac:dyDescent="0.35">
      <c r="A59" t="str">
        <f t="shared" si="0"/>
        <v>C0058</v>
      </c>
      <c r="B59" t="str">
        <f t="shared" si="1"/>
        <v>Customer_0058</v>
      </c>
      <c r="C59" t="str">
        <f t="shared" ca="1" si="2"/>
        <v>Rift Valley</v>
      </c>
      <c r="D59" s="34">
        <f t="shared" ca="1" si="3"/>
        <v>482000</v>
      </c>
      <c r="E59">
        <v>777</v>
      </c>
    </row>
    <row r="60" spans="1:5" x14ac:dyDescent="0.35">
      <c r="A60" t="str">
        <f t="shared" si="0"/>
        <v>C0059</v>
      </c>
      <c r="B60" t="str">
        <f t="shared" si="1"/>
        <v>Customer_0059</v>
      </c>
      <c r="C60" t="str">
        <f t="shared" ca="1" si="2"/>
        <v>Rift Valley</v>
      </c>
      <c r="D60" s="34">
        <f t="shared" ca="1" si="3"/>
        <v>785000</v>
      </c>
      <c r="E60">
        <v>482</v>
      </c>
    </row>
    <row r="61" spans="1:5" x14ac:dyDescent="0.35">
      <c r="A61" t="str">
        <f t="shared" si="0"/>
        <v>C0060</v>
      </c>
      <c r="B61" t="str">
        <f t="shared" si="1"/>
        <v>Customer_0060</v>
      </c>
      <c r="C61" t="str">
        <f t="shared" ca="1" si="2"/>
        <v>Coast</v>
      </c>
      <c r="D61" s="34">
        <f t="shared" ca="1" si="3"/>
        <v>240000</v>
      </c>
      <c r="E61">
        <v>748</v>
      </c>
    </row>
    <row r="62" spans="1:5" x14ac:dyDescent="0.35">
      <c r="A62" t="str">
        <f t="shared" si="0"/>
        <v>C0061</v>
      </c>
      <c r="B62" t="str">
        <f t="shared" si="1"/>
        <v>Customer_0061</v>
      </c>
      <c r="C62" t="str">
        <f t="shared" ca="1" si="2"/>
        <v>Coast</v>
      </c>
      <c r="D62" s="34">
        <f t="shared" ca="1" si="3"/>
        <v>90000</v>
      </c>
      <c r="E62">
        <v>400</v>
      </c>
    </row>
    <row r="63" spans="1:5" x14ac:dyDescent="0.35">
      <c r="A63" t="str">
        <f t="shared" si="0"/>
        <v>C0062</v>
      </c>
      <c r="B63" t="str">
        <f t="shared" si="1"/>
        <v>Customer_0062</v>
      </c>
      <c r="C63" t="str">
        <f t="shared" ca="1" si="2"/>
        <v>Rift Valley</v>
      </c>
      <c r="D63" s="34">
        <f t="shared" ca="1" si="3"/>
        <v>468000</v>
      </c>
      <c r="E63">
        <v>502</v>
      </c>
    </row>
    <row r="64" spans="1:5" x14ac:dyDescent="0.35">
      <c r="A64" t="str">
        <f t="shared" si="0"/>
        <v>C0063</v>
      </c>
      <c r="B64" t="str">
        <f t="shared" si="1"/>
        <v>Customer_0063</v>
      </c>
      <c r="C64" t="str">
        <f t="shared" ca="1" si="2"/>
        <v>Western</v>
      </c>
      <c r="D64" s="34">
        <f t="shared" ca="1" si="3"/>
        <v>336000</v>
      </c>
      <c r="E64">
        <v>808</v>
      </c>
    </row>
    <row r="65" spans="1:5" x14ac:dyDescent="0.35">
      <c r="A65" t="str">
        <f t="shared" si="0"/>
        <v>C0064</v>
      </c>
      <c r="B65" t="str">
        <f t="shared" si="1"/>
        <v>Customer_0064</v>
      </c>
      <c r="C65" t="str">
        <f t="shared" ca="1" si="2"/>
        <v>Rift Valley</v>
      </c>
      <c r="D65" s="34">
        <f t="shared" ca="1" si="3"/>
        <v>782000</v>
      </c>
      <c r="E65">
        <v>628</v>
      </c>
    </row>
    <row r="66" spans="1:5" x14ac:dyDescent="0.35">
      <c r="A66" t="str">
        <f t="shared" si="0"/>
        <v>C0065</v>
      </c>
      <c r="B66" t="str">
        <f t="shared" si="1"/>
        <v>Customer_0065</v>
      </c>
      <c r="C66" t="str">
        <f t="shared" ca="1" si="2"/>
        <v>Western</v>
      </c>
      <c r="D66" s="34">
        <f t="shared" ca="1" si="3"/>
        <v>564000</v>
      </c>
      <c r="E66">
        <v>450</v>
      </c>
    </row>
    <row r="67" spans="1:5" x14ac:dyDescent="0.35">
      <c r="A67" t="str">
        <f t="shared" ref="A67:A130" si="4">"C"&amp;TEXT(ROW()-1,"0000")</f>
        <v>C0066</v>
      </c>
      <c r="B67" t="str">
        <f t="shared" ref="B67:B130" si="5">"Customer_"&amp;TEXT(ROW()-1,"0000")</f>
        <v>Customer_0066</v>
      </c>
      <c r="C67" t="str">
        <f t="shared" ref="C67:C130" ca="1" si="6">CHOOSE(RANDBETWEEN(1,5),
"Nairobi",
"Central",
"Coast",
"Rift Valley",
"Western")</f>
        <v>Coast</v>
      </c>
      <c r="D67" s="34">
        <f t="shared" ref="D67:D130" ca="1" si="7">ROUND(RANDBETWEEN(50000,800000),-3)</f>
        <v>625000</v>
      </c>
      <c r="E67">
        <v>506</v>
      </c>
    </row>
    <row r="68" spans="1:5" x14ac:dyDescent="0.35">
      <c r="A68" t="str">
        <f t="shared" si="4"/>
        <v>C0067</v>
      </c>
      <c r="B68" t="str">
        <f t="shared" si="5"/>
        <v>Customer_0067</v>
      </c>
      <c r="C68" t="str">
        <f t="shared" ca="1" si="6"/>
        <v>Nairobi</v>
      </c>
      <c r="D68" s="34">
        <f t="shared" ca="1" si="7"/>
        <v>587000</v>
      </c>
      <c r="E68">
        <v>819</v>
      </c>
    </row>
    <row r="69" spans="1:5" x14ac:dyDescent="0.35">
      <c r="A69" t="str">
        <f t="shared" si="4"/>
        <v>C0068</v>
      </c>
      <c r="B69" t="str">
        <f t="shared" si="5"/>
        <v>Customer_0068</v>
      </c>
      <c r="C69" t="str">
        <f t="shared" ca="1" si="6"/>
        <v>Coast</v>
      </c>
      <c r="D69" s="34">
        <f t="shared" ca="1" si="7"/>
        <v>546000</v>
      </c>
      <c r="E69">
        <v>454</v>
      </c>
    </row>
    <row r="70" spans="1:5" x14ac:dyDescent="0.35">
      <c r="A70" t="str">
        <f t="shared" si="4"/>
        <v>C0069</v>
      </c>
      <c r="B70" t="str">
        <f t="shared" si="5"/>
        <v>Customer_0069</v>
      </c>
      <c r="C70" t="str">
        <f t="shared" ca="1" si="6"/>
        <v>Nairobi</v>
      </c>
      <c r="D70" s="34">
        <f t="shared" ca="1" si="7"/>
        <v>241000</v>
      </c>
      <c r="E70">
        <v>450</v>
      </c>
    </row>
    <row r="71" spans="1:5" x14ac:dyDescent="0.35">
      <c r="A71" t="str">
        <f t="shared" si="4"/>
        <v>C0070</v>
      </c>
      <c r="B71" t="str">
        <f t="shared" si="5"/>
        <v>Customer_0070</v>
      </c>
      <c r="C71" t="str">
        <f t="shared" ca="1" si="6"/>
        <v>Rift Valley</v>
      </c>
      <c r="D71" s="34">
        <f t="shared" ca="1" si="7"/>
        <v>653000</v>
      </c>
      <c r="E71">
        <v>489</v>
      </c>
    </row>
    <row r="72" spans="1:5" x14ac:dyDescent="0.35">
      <c r="A72" t="str">
        <f t="shared" si="4"/>
        <v>C0071</v>
      </c>
      <c r="B72" t="str">
        <f t="shared" si="5"/>
        <v>Customer_0071</v>
      </c>
      <c r="C72" t="str">
        <f t="shared" ca="1" si="6"/>
        <v>Coast</v>
      </c>
      <c r="D72" s="34">
        <f t="shared" ca="1" si="7"/>
        <v>784000</v>
      </c>
      <c r="E72">
        <v>330</v>
      </c>
    </row>
    <row r="73" spans="1:5" x14ac:dyDescent="0.35">
      <c r="A73" t="str">
        <f t="shared" si="4"/>
        <v>C0072</v>
      </c>
      <c r="B73" t="str">
        <f t="shared" si="5"/>
        <v>Customer_0072</v>
      </c>
      <c r="C73" t="str">
        <f t="shared" ca="1" si="6"/>
        <v>Central</v>
      </c>
      <c r="D73" s="34">
        <f t="shared" ca="1" si="7"/>
        <v>764000</v>
      </c>
      <c r="E73">
        <v>309</v>
      </c>
    </row>
    <row r="74" spans="1:5" x14ac:dyDescent="0.35">
      <c r="A74" t="str">
        <f t="shared" si="4"/>
        <v>C0073</v>
      </c>
      <c r="B74" t="str">
        <f t="shared" si="5"/>
        <v>Customer_0073</v>
      </c>
      <c r="C74" t="str">
        <f t="shared" ca="1" si="6"/>
        <v>Coast</v>
      </c>
      <c r="D74" s="34">
        <f t="shared" ca="1" si="7"/>
        <v>785000</v>
      </c>
      <c r="E74">
        <v>501</v>
      </c>
    </row>
    <row r="75" spans="1:5" x14ac:dyDescent="0.35">
      <c r="A75" t="str">
        <f t="shared" si="4"/>
        <v>C0074</v>
      </c>
      <c r="B75" t="str">
        <f t="shared" si="5"/>
        <v>Customer_0074</v>
      </c>
      <c r="C75" t="str">
        <f t="shared" ca="1" si="6"/>
        <v>Nairobi</v>
      </c>
      <c r="D75" s="34">
        <f t="shared" ca="1" si="7"/>
        <v>477000</v>
      </c>
      <c r="E75">
        <v>540</v>
      </c>
    </row>
    <row r="76" spans="1:5" x14ac:dyDescent="0.35">
      <c r="A76" t="str">
        <f t="shared" si="4"/>
        <v>C0075</v>
      </c>
      <c r="B76" t="str">
        <f t="shared" si="5"/>
        <v>Customer_0075</v>
      </c>
      <c r="C76" t="str">
        <f t="shared" ca="1" si="6"/>
        <v>Central</v>
      </c>
      <c r="D76" s="34">
        <f t="shared" ca="1" si="7"/>
        <v>77000</v>
      </c>
      <c r="E76">
        <v>753</v>
      </c>
    </row>
    <row r="77" spans="1:5" x14ac:dyDescent="0.35">
      <c r="A77" t="str">
        <f t="shared" si="4"/>
        <v>C0076</v>
      </c>
      <c r="B77" t="str">
        <f t="shared" si="5"/>
        <v>Customer_0076</v>
      </c>
      <c r="C77" t="str">
        <f t="shared" ca="1" si="6"/>
        <v>Coast</v>
      </c>
      <c r="D77" s="34">
        <f t="shared" ca="1" si="7"/>
        <v>180000</v>
      </c>
      <c r="E77">
        <v>434</v>
      </c>
    </row>
    <row r="78" spans="1:5" x14ac:dyDescent="0.35">
      <c r="A78" t="str">
        <f t="shared" si="4"/>
        <v>C0077</v>
      </c>
      <c r="B78" t="str">
        <f t="shared" si="5"/>
        <v>Customer_0077</v>
      </c>
      <c r="C78" t="str">
        <f t="shared" ca="1" si="6"/>
        <v>Nairobi</v>
      </c>
      <c r="D78" s="34">
        <f t="shared" ca="1" si="7"/>
        <v>276000</v>
      </c>
      <c r="E78">
        <v>770</v>
      </c>
    </row>
    <row r="79" spans="1:5" x14ac:dyDescent="0.35">
      <c r="A79" t="str">
        <f t="shared" si="4"/>
        <v>C0078</v>
      </c>
      <c r="B79" t="str">
        <f t="shared" si="5"/>
        <v>Customer_0078</v>
      </c>
      <c r="C79" t="str">
        <f t="shared" ca="1" si="6"/>
        <v>Rift Valley</v>
      </c>
      <c r="D79" s="34">
        <f t="shared" ca="1" si="7"/>
        <v>206000</v>
      </c>
      <c r="E79">
        <v>474</v>
      </c>
    </row>
    <row r="80" spans="1:5" x14ac:dyDescent="0.35">
      <c r="A80" t="str">
        <f t="shared" si="4"/>
        <v>C0079</v>
      </c>
      <c r="B80" t="str">
        <f t="shared" si="5"/>
        <v>Customer_0079</v>
      </c>
      <c r="C80" t="str">
        <f t="shared" ca="1" si="6"/>
        <v>Western</v>
      </c>
      <c r="D80" s="34">
        <f t="shared" ca="1" si="7"/>
        <v>540000</v>
      </c>
      <c r="E80">
        <v>589</v>
      </c>
    </row>
    <row r="81" spans="1:5" x14ac:dyDescent="0.35">
      <c r="A81" t="str">
        <f t="shared" si="4"/>
        <v>C0080</v>
      </c>
      <c r="B81" t="str">
        <f t="shared" si="5"/>
        <v>Customer_0080</v>
      </c>
      <c r="C81" t="str">
        <f t="shared" ca="1" si="6"/>
        <v>Rift Valley</v>
      </c>
      <c r="D81" s="34">
        <f t="shared" ca="1" si="7"/>
        <v>454000</v>
      </c>
      <c r="E81">
        <v>626</v>
      </c>
    </row>
    <row r="82" spans="1:5" x14ac:dyDescent="0.35">
      <c r="A82" t="str">
        <f t="shared" si="4"/>
        <v>C0081</v>
      </c>
      <c r="B82" t="str">
        <f t="shared" si="5"/>
        <v>Customer_0081</v>
      </c>
      <c r="C82" t="str">
        <f t="shared" ca="1" si="6"/>
        <v>Central</v>
      </c>
      <c r="D82" s="34">
        <f t="shared" ca="1" si="7"/>
        <v>447000</v>
      </c>
      <c r="E82">
        <v>609</v>
      </c>
    </row>
    <row r="83" spans="1:5" x14ac:dyDescent="0.35">
      <c r="A83" t="str">
        <f t="shared" si="4"/>
        <v>C0082</v>
      </c>
      <c r="B83" t="str">
        <f t="shared" si="5"/>
        <v>Customer_0082</v>
      </c>
      <c r="C83" t="str">
        <f t="shared" ca="1" si="6"/>
        <v>Rift Valley</v>
      </c>
      <c r="D83" s="34">
        <f t="shared" ca="1" si="7"/>
        <v>604000</v>
      </c>
      <c r="E83">
        <v>661</v>
      </c>
    </row>
    <row r="84" spans="1:5" x14ac:dyDescent="0.35">
      <c r="A84" t="str">
        <f t="shared" si="4"/>
        <v>C0083</v>
      </c>
      <c r="B84" t="str">
        <f t="shared" si="5"/>
        <v>Customer_0083</v>
      </c>
      <c r="C84" t="str">
        <f t="shared" ca="1" si="6"/>
        <v>Coast</v>
      </c>
      <c r="D84" s="34">
        <f t="shared" ca="1" si="7"/>
        <v>637000</v>
      </c>
      <c r="E84">
        <v>316</v>
      </c>
    </row>
    <row r="85" spans="1:5" x14ac:dyDescent="0.35">
      <c r="A85" t="str">
        <f t="shared" si="4"/>
        <v>C0084</v>
      </c>
      <c r="B85" t="str">
        <f t="shared" si="5"/>
        <v>Customer_0084</v>
      </c>
      <c r="C85" t="str">
        <f t="shared" ca="1" si="6"/>
        <v>Rift Valley</v>
      </c>
      <c r="D85" s="34">
        <f t="shared" ca="1" si="7"/>
        <v>256000</v>
      </c>
      <c r="E85">
        <v>767</v>
      </c>
    </row>
    <row r="86" spans="1:5" x14ac:dyDescent="0.35">
      <c r="A86" t="str">
        <f t="shared" si="4"/>
        <v>C0085</v>
      </c>
      <c r="B86" t="str">
        <f t="shared" si="5"/>
        <v>Customer_0085</v>
      </c>
      <c r="C86" t="str">
        <f t="shared" ca="1" si="6"/>
        <v>Coast</v>
      </c>
      <c r="D86" s="34">
        <f t="shared" ca="1" si="7"/>
        <v>209000</v>
      </c>
      <c r="E86">
        <v>329</v>
      </c>
    </row>
    <row r="87" spans="1:5" x14ac:dyDescent="0.35">
      <c r="A87" t="str">
        <f t="shared" si="4"/>
        <v>C0086</v>
      </c>
      <c r="B87" t="str">
        <f t="shared" si="5"/>
        <v>Customer_0086</v>
      </c>
      <c r="C87" t="str">
        <f t="shared" ca="1" si="6"/>
        <v>Coast</v>
      </c>
      <c r="D87" s="34">
        <f t="shared" ca="1" si="7"/>
        <v>217000</v>
      </c>
      <c r="E87">
        <v>521</v>
      </c>
    </row>
    <row r="88" spans="1:5" x14ac:dyDescent="0.35">
      <c r="A88" t="str">
        <f t="shared" si="4"/>
        <v>C0087</v>
      </c>
      <c r="B88" t="str">
        <f t="shared" si="5"/>
        <v>Customer_0087</v>
      </c>
      <c r="C88" t="str">
        <f t="shared" ca="1" si="6"/>
        <v>Central</v>
      </c>
      <c r="D88" s="34">
        <f t="shared" ca="1" si="7"/>
        <v>713000</v>
      </c>
      <c r="E88">
        <v>549</v>
      </c>
    </row>
    <row r="89" spans="1:5" x14ac:dyDescent="0.35">
      <c r="A89" t="str">
        <f t="shared" si="4"/>
        <v>C0088</v>
      </c>
      <c r="B89" t="str">
        <f t="shared" si="5"/>
        <v>Customer_0088</v>
      </c>
      <c r="C89" t="str">
        <f t="shared" ca="1" si="6"/>
        <v>Central</v>
      </c>
      <c r="D89" s="34">
        <f t="shared" ca="1" si="7"/>
        <v>535000</v>
      </c>
      <c r="E89">
        <v>523</v>
      </c>
    </row>
    <row r="90" spans="1:5" x14ac:dyDescent="0.35">
      <c r="A90" t="str">
        <f t="shared" si="4"/>
        <v>C0089</v>
      </c>
      <c r="B90" t="str">
        <f t="shared" si="5"/>
        <v>Customer_0089</v>
      </c>
      <c r="C90" t="str">
        <f t="shared" ca="1" si="6"/>
        <v>Central</v>
      </c>
      <c r="D90" s="34">
        <f t="shared" ca="1" si="7"/>
        <v>503000</v>
      </c>
      <c r="E90">
        <v>415</v>
      </c>
    </row>
    <row r="91" spans="1:5" x14ac:dyDescent="0.35">
      <c r="A91" t="str">
        <f t="shared" si="4"/>
        <v>C0090</v>
      </c>
      <c r="B91" t="str">
        <f t="shared" si="5"/>
        <v>Customer_0090</v>
      </c>
      <c r="C91" t="str">
        <f t="shared" ca="1" si="6"/>
        <v>Western</v>
      </c>
      <c r="D91" s="34">
        <f t="shared" ca="1" si="7"/>
        <v>124000</v>
      </c>
      <c r="E91">
        <v>718</v>
      </c>
    </row>
    <row r="92" spans="1:5" x14ac:dyDescent="0.35">
      <c r="A92" t="str">
        <f t="shared" si="4"/>
        <v>C0091</v>
      </c>
      <c r="B92" t="str">
        <f t="shared" si="5"/>
        <v>Customer_0091</v>
      </c>
      <c r="C92" t="str">
        <f t="shared" ca="1" si="6"/>
        <v>Western</v>
      </c>
      <c r="D92" s="34">
        <f t="shared" ca="1" si="7"/>
        <v>671000</v>
      </c>
      <c r="E92">
        <v>537</v>
      </c>
    </row>
    <row r="93" spans="1:5" x14ac:dyDescent="0.35">
      <c r="A93" t="str">
        <f t="shared" si="4"/>
        <v>C0092</v>
      </c>
      <c r="B93" t="str">
        <f t="shared" si="5"/>
        <v>Customer_0092</v>
      </c>
      <c r="C93" t="str">
        <f t="shared" ca="1" si="6"/>
        <v>Coast</v>
      </c>
      <c r="D93" s="34">
        <f t="shared" ca="1" si="7"/>
        <v>726000</v>
      </c>
      <c r="E93">
        <v>503</v>
      </c>
    </row>
    <row r="94" spans="1:5" x14ac:dyDescent="0.35">
      <c r="A94" t="str">
        <f t="shared" si="4"/>
        <v>C0093</v>
      </c>
      <c r="B94" t="str">
        <f t="shared" si="5"/>
        <v>Customer_0093</v>
      </c>
      <c r="C94" t="str">
        <f t="shared" ca="1" si="6"/>
        <v>Rift Valley</v>
      </c>
      <c r="D94" s="34">
        <f t="shared" ca="1" si="7"/>
        <v>663000</v>
      </c>
      <c r="E94">
        <v>520</v>
      </c>
    </row>
    <row r="95" spans="1:5" x14ac:dyDescent="0.35">
      <c r="A95" t="str">
        <f t="shared" si="4"/>
        <v>C0094</v>
      </c>
      <c r="B95" t="str">
        <f t="shared" si="5"/>
        <v>Customer_0094</v>
      </c>
      <c r="C95" t="str">
        <f t="shared" ca="1" si="6"/>
        <v>Western</v>
      </c>
      <c r="D95" s="34">
        <f t="shared" ca="1" si="7"/>
        <v>346000</v>
      </c>
      <c r="E95">
        <v>711</v>
      </c>
    </row>
    <row r="96" spans="1:5" x14ac:dyDescent="0.35">
      <c r="A96" t="str">
        <f t="shared" si="4"/>
        <v>C0095</v>
      </c>
      <c r="B96" t="str">
        <f t="shared" si="5"/>
        <v>Customer_0095</v>
      </c>
      <c r="C96" t="str">
        <f t="shared" ca="1" si="6"/>
        <v>Nairobi</v>
      </c>
      <c r="D96" s="34">
        <f t="shared" ca="1" si="7"/>
        <v>391000</v>
      </c>
      <c r="E96">
        <v>450</v>
      </c>
    </row>
    <row r="97" spans="1:5" x14ac:dyDescent="0.35">
      <c r="A97" t="str">
        <f t="shared" si="4"/>
        <v>C0096</v>
      </c>
      <c r="B97" t="str">
        <f t="shared" si="5"/>
        <v>Customer_0096</v>
      </c>
      <c r="C97" t="str">
        <f t="shared" ca="1" si="6"/>
        <v>Rift Valley</v>
      </c>
      <c r="D97" s="34">
        <f t="shared" ca="1" si="7"/>
        <v>703000</v>
      </c>
      <c r="E97">
        <v>466</v>
      </c>
    </row>
    <row r="98" spans="1:5" x14ac:dyDescent="0.35">
      <c r="A98" t="str">
        <f t="shared" si="4"/>
        <v>C0097</v>
      </c>
      <c r="B98" t="str">
        <f t="shared" si="5"/>
        <v>Customer_0097</v>
      </c>
      <c r="C98" t="str">
        <f t="shared" ca="1" si="6"/>
        <v>Central</v>
      </c>
      <c r="D98" s="34">
        <f t="shared" ca="1" si="7"/>
        <v>525000</v>
      </c>
      <c r="E98">
        <v>595</v>
      </c>
    </row>
    <row r="99" spans="1:5" x14ac:dyDescent="0.35">
      <c r="A99" t="str">
        <f t="shared" si="4"/>
        <v>C0098</v>
      </c>
      <c r="B99" t="str">
        <f t="shared" si="5"/>
        <v>Customer_0098</v>
      </c>
      <c r="C99" t="str">
        <f t="shared" ca="1" si="6"/>
        <v>Nairobi</v>
      </c>
      <c r="D99" s="34">
        <f t="shared" ca="1" si="7"/>
        <v>621000</v>
      </c>
      <c r="E99">
        <v>607</v>
      </c>
    </row>
    <row r="100" spans="1:5" x14ac:dyDescent="0.35">
      <c r="A100" t="str">
        <f t="shared" si="4"/>
        <v>C0099</v>
      </c>
      <c r="B100" t="str">
        <f t="shared" si="5"/>
        <v>Customer_0099</v>
      </c>
      <c r="C100" t="str">
        <f t="shared" ca="1" si="6"/>
        <v>Central</v>
      </c>
      <c r="D100" s="34">
        <f t="shared" ca="1" si="7"/>
        <v>523000</v>
      </c>
      <c r="E100">
        <v>332</v>
      </c>
    </row>
    <row r="101" spans="1:5" x14ac:dyDescent="0.35">
      <c r="A101" t="str">
        <f t="shared" si="4"/>
        <v>C0100</v>
      </c>
      <c r="B101" t="str">
        <f t="shared" si="5"/>
        <v>Customer_0100</v>
      </c>
      <c r="C101" t="str">
        <f t="shared" ca="1" si="6"/>
        <v>Western</v>
      </c>
      <c r="D101" s="34">
        <f t="shared" ca="1" si="7"/>
        <v>71000</v>
      </c>
      <c r="E101">
        <v>554</v>
      </c>
    </row>
    <row r="102" spans="1:5" x14ac:dyDescent="0.35">
      <c r="A102" t="str">
        <f t="shared" si="4"/>
        <v>C0101</v>
      </c>
      <c r="B102" t="str">
        <f t="shared" si="5"/>
        <v>Customer_0101</v>
      </c>
      <c r="C102" t="str">
        <f t="shared" ca="1" si="6"/>
        <v>Coast</v>
      </c>
      <c r="D102" s="34">
        <f t="shared" ca="1" si="7"/>
        <v>227000</v>
      </c>
      <c r="E102">
        <v>572</v>
      </c>
    </row>
    <row r="103" spans="1:5" x14ac:dyDescent="0.35">
      <c r="A103" t="str">
        <f t="shared" si="4"/>
        <v>C0102</v>
      </c>
      <c r="B103" t="str">
        <f t="shared" si="5"/>
        <v>Customer_0102</v>
      </c>
      <c r="C103" t="str">
        <f t="shared" ca="1" si="6"/>
        <v>Western</v>
      </c>
      <c r="D103" s="34">
        <f t="shared" ca="1" si="7"/>
        <v>188000</v>
      </c>
      <c r="E103">
        <v>444</v>
      </c>
    </row>
    <row r="104" spans="1:5" x14ac:dyDescent="0.35">
      <c r="A104" t="str">
        <f t="shared" si="4"/>
        <v>C0103</v>
      </c>
      <c r="B104" t="str">
        <f t="shared" si="5"/>
        <v>Customer_0103</v>
      </c>
      <c r="C104" t="str">
        <f t="shared" ca="1" si="6"/>
        <v>Western</v>
      </c>
      <c r="D104" s="34">
        <f t="shared" ca="1" si="7"/>
        <v>589000</v>
      </c>
      <c r="E104">
        <v>641</v>
      </c>
    </row>
    <row r="105" spans="1:5" x14ac:dyDescent="0.35">
      <c r="A105" t="str">
        <f t="shared" si="4"/>
        <v>C0104</v>
      </c>
      <c r="B105" t="str">
        <f t="shared" si="5"/>
        <v>Customer_0104</v>
      </c>
      <c r="C105" t="str">
        <f t="shared" ca="1" si="6"/>
        <v>Western</v>
      </c>
      <c r="D105" s="34">
        <f t="shared" ca="1" si="7"/>
        <v>792000</v>
      </c>
      <c r="E105">
        <v>302</v>
      </c>
    </row>
    <row r="106" spans="1:5" x14ac:dyDescent="0.35">
      <c r="A106" t="str">
        <f t="shared" si="4"/>
        <v>C0105</v>
      </c>
      <c r="B106" t="str">
        <f t="shared" si="5"/>
        <v>Customer_0105</v>
      </c>
      <c r="C106" t="str">
        <f t="shared" ca="1" si="6"/>
        <v>Nairobi</v>
      </c>
      <c r="D106" s="34">
        <f t="shared" ca="1" si="7"/>
        <v>514000</v>
      </c>
      <c r="E106">
        <v>347</v>
      </c>
    </row>
    <row r="107" spans="1:5" x14ac:dyDescent="0.35">
      <c r="A107" t="str">
        <f t="shared" si="4"/>
        <v>C0106</v>
      </c>
      <c r="B107" t="str">
        <f t="shared" si="5"/>
        <v>Customer_0106</v>
      </c>
      <c r="C107" t="str">
        <f t="shared" ca="1" si="6"/>
        <v>Rift Valley</v>
      </c>
      <c r="D107" s="34">
        <f t="shared" ca="1" si="7"/>
        <v>441000</v>
      </c>
      <c r="E107">
        <v>348</v>
      </c>
    </row>
    <row r="108" spans="1:5" x14ac:dyDescent="0.35">
      <c r="A108" t="str">
        <f t="shared" si="4"/>
        <v>C0107</v>
      </c>
      <c r="B108" t="str">
        <f t="shared" si="5"/>
        <v>Customer_0107</v>
      </c>
      <c r="C108" t="str">
        <f t="shared" ca="1" si="6"/>
        <v>Western</v>
      </c>
      <c r="D108" s="34">
        <f t="shared" ca="1" si="7"/>
        <v>463000</v>
      </c>
      <c r="E108">
        <v>717</v>
      </c>
    </row>
    <row r="109" spans="1:5" x14ac:dyDescent="0.35">
      <c r="A109" t="str">
        <f t="shared" si="4"/>
        <v>C0108</v>
      </c>
      <c r="B109" t="str">
        <f t="shared" si="5"/>
        <v>Customer_0108</v>
      </c>
      <c r="C109" t="str">
        <f t="shared" ca="1" si="6"/>
        <v>Western</v>
      </c>
      <c r="D109" s="34">
        <f t="shared" ca="1" si="7"/>
        <v>302000</v>
      </c>
      <c r="E109">
        <v>833</v>
      </c>
    </row>
    <row r="110" spans="1:5" x14ac:dyDescent="0.35">
      <c r="A110" t="str">
        <f t="shared" si="4"/>
        <v>C0109</v>
      </c>
      <c r="B110" t="str">
        <f t="shared" si="5"/>
        <v>Customer_0109</v>
      </c>
      <c r="C110" t="str">
        <f t="shared" ca="1" si="6"/>
        <v>Rift Valley</v>
      </c>
      <c r="D110" s="34">
        <f t="shared" ca="1" si="7"/>
        <v>768000</v>
      </c>
      <c r="E110">
        <v>459</v>
      </c>
    </row>
    <row r="111" spans="1:5" x14ac:dyDescent="0.35">
      <c r="A111" t="str">
        <f t="shared" si="4"/>
        <v>C0110</v>
      </c>
      <c r="B111" t="str">
        <f t="shared" si="5"/>
        <v>Customer_0110</v>
      </c>
      <c r="C111" t="str">
        <f t="shared" ca="1" si="6"/>
        <v>Central</v>
      </c>
      <c r="D111" s="34">
        <f t="shared" ca="1" si="7"/>
        <v>396000</v>
      </c>
      <c r="E111">
        <v>549</v>
      </c>
    </row>
    <row r="112" spans="1:5" x14ac:dyDescent="0.35">
      <c r="A112" t="str">
        <f t="shared" si="4"/>
        <v>C0111</v>
      </c>
      <c r="B112" t="str">
        <f t="shared" si="5"/>
        <v>Customer_0111</v>
      </c>
      <c r="C112" t="str">
        <f t="shared" ca="1" si="6"/>
        <v>Nairobi</v>
      </c>
      <c r="D112" s="34">
        <f t="shared" ca="1" si="7"/>
        <v>534000</v>
      </c>
      <c r="E112">
        <v>377</v>
      </c>
    </row>
    <row r="113" spans="1:5" x14ac:dyDescent="0.35">
      <c r="A113" t="str">
        <f t="shared" si="4"/>
        <v>C0112</v>
      </c>
      <c r="B113" t="str">
        <f t="shared" si="5"/>
        <v>Customer_0112</v>
      </c>
      <c r="C113" t="str">
        <f t="shared" ca="1" si="6"/>
        <v>Nairobi</v>
      </c>
      <c r="D113" s="34">
        <f t="shared" ca="1" si="7"/>
        <v>150000</v>
      </c>
      <c r="E113">
        <v>527</v>
      </c>
    </row>
    <row r="114" spans="1:5" x14ac:dyDescent="0.35">
      <c r="A114" t="str">
        <f t="shared" si="4"/>
        <v>C0113</v>
      </c>
      <c r="B114" t="str">
        <f t="shared" si="5"/>
        <v>Customer_0113</v>
      </c>
      <c r="C114" t="str">
        <f t="shared" ca="1" si="6"/>
        <v>Western</v>
      </c>
      <c r="D114" s="34">
        <f t="shared" ca="1" si="7"/>
        <v>287000</v>
      </c>
      <c r="E114">
        <v>825</v>
      </c>
    </row>
    <row r="115" spans="1:5" x14ac:dyDescent="0.35">
      <c r="A115" t="str">
        <f t="shared" si="4"/>
        <v>C0114</v>
      </c>
      <c r="B115" t="str">
        <f t="shared" si="5"/>
        <v>Customer_0114</v>
      </c>
      <c r="C115" t="str">
        <f t="shared" ca="1" si="6"/>
        <v>Western</v>
      </c>
      <c r="D115" s="34">
        <f t="shared" ca="1" si="7"/>
        <v>102000</v>
      </c>
      <c r="E115">
        <v>496</v>
      </c>
    </row>
    <row r="116" spans="1:5" x14ac:dyDescent="0.35">
      <c r="A116" t="str">
        <f t="shared" si="4"/>
        <v>C0115</v>
      </c>
      <c r="B116" t="str">
        <f t="shared" si="5"/>
        <v>Customer_0115</v>
      </c>
      <c r="C116" t="str">
        <f t="shared" ca="1" si="6"/>
        <v>Nairobi</v>
      </c>
      <c r="D116" s="34">
        <f t="shared" ca="1" si="7"/>
        <v>733000</v>
      </c>
      <c r="E116">
        <v>767</v>
      </c>
    </row>
    <row r="117" spans="1:5" x14ac:dyDescent="0.35">
      <c r="A117" t="str">
        <f t="shared" si="4"/>
        <v>C0116</v>
      </c>
      <c r="B117" t="str">
        <f t="shared" si="5"/>
        <v>Customer_0116</v>
      </c>
      <c r="C117" t="str">
        <f t="shared" ca="1" si="6"/>
        <v>Central</v>
      </c>
      <c r="D117" s="34">
        <f t="shared" ca="1" si="7"/>
        <v>665000</v>
      </c>
      <c r="E117">
        <v>587</v>
      </c>
    </row>
    <row r="118" spans="1:5" x14ac:dyDescent="0.35">
      <c r="A118" t="str">
        <f t="shared" si="4"/>
        <v>C0117</v>
      </c>
      <c r="B118" t="str">
        <f t="shared" si="5"/>
        <v>Customer_0117</v>
      </c>
      <c r="C118" t="str">
        <f t="shared" ca="1" si="6"/>
        <v>Western</v>
      </c>
      <c r="D118" s="34">
        <f t="shared" ca="1" si="7"/>
        <v>532000</v>
      </c>
      <c r="E118">
        <v>835</v>
      </c>
    </row>
    <row r="119" spans="1:5" x14ac:dyDescent="0.35">
      <c r="A119" t="str">
        <f t="shared" si="4"/>
        <v>C0118</v>
      </c>
      <c r="B119" t="str">
        <f t="shared" si="5"/>
        <v>Customer_0118</v>
      </c>
      <c r="C119" t="str">
        <f t="shared" ca="1" si="6"/>
        <v>Western</v>
      </c>
      <c r="D119" s="34">
        <f t="shared" ca="1" si="7"/>
        <v>312000</v>
      </c>
      <c r="E119">
        <v>790</v>
      </c>
    </row>
    <row r="120" spans="1:5" x14ac:dyDescent="0.35">
      <c r="A120" t="str">
        <f t="shared" si="4"/>
        <v>C0119</v>
      </c>
      <c r="B120" t="str">
        <f t="shared" si="5"/>
        <v>Customer_0119</v>
      </c>
      <c r="C120" t="str">
        <f t="shared" ca="1" si="6"/>
        <v>Western</v>
      </c>
      <c r="D120" s="34">
        <f t="shared" ca="1" si="7"/>
        <v>685000</v>
      </c>
      <c r="E120">
        <v>300</v>
      </c>
    </row>
    <row r="121" spans="1:5" x14ac:dyDescent="0.35">
      <c r="A121" t="str">
        <f t="shared" si="4"/>
        <v>C0120</v>
      </c>
      <c r="B121" t="str">
        <f t="shared" si="5"/>
        <v>Customer_0120</v>
      </c>
      <c r="C121" t="str">
        <f t="shared" ca="1" si="6"/>
        <v>Coast</v>
      </c>
      <c r="D121" s="34">
        <f t="shared" ca="1" si="7"/>
        <v>413000</v>
      </c>
      <c r="E121">
        <v>357</v>
      </c>
    </row>
    <row r="122" spans="1:5" x14ac:dyDescent="0.35">
      <c r="A122" t="str">
        <f t="shared" si="4"/>
        <v>C0121</v>
      </c>
      <c r="B122" t="str">
        <f t="shared" si="5"/>
        <v>Customer_0121</v>
      </c>
      <c r="C122" t="str">
        <f t="shared" ca="1" si="6"/>
        <v>Rift Valley</v>
      </c>
      <c r="D122" s="34">
        <f t="shared" ca="1" si="7"/>
        <v>717000</v>
      </c>
      <c r="E122">
        <v>772</v>
      </c>
    </row>
    <row r="123" spans="1:5" x14ac:dyDescent="0.35">
      <c r="A123" t="str">
        <f t="shared" si="4"/>
        <v>C0122</v>
      </c>
      <c r="B123" t="str">
        <f t="shared" si="5"/>
        <v>Customer_0122</v>
      </c>
      <c r="C123" t="str">
        <f t="shared" ca="1" si="6"/>
        <v>Western</v>
      </c>
      <c r="D123" s="34">
        <f t="shared" ca="1" si="7"/>
        <v>589000</v>
      </c>
      <c r="E123">
        <v>680</v>
      </c>
    </row>
    <row r="124" spans="1:5" x14ac:dyDescent="0.35">
      <c r="A124" t="str">
        <f t="shared" si="4"/>
        <v>C0123</v>
      </c>
      <c r="B124" t="str">
        <f t="shared" si="5"/>
        <v>Customer_0123</v>
      </c>
      <c r="C124" t="str">
        <f t="shared" ca="1" si="6"/>
        <v>Western</v>
      </c>
      <c r="D124" s="34">
        <f t="shared" ca="1" si="7"/>
        <v>265000</v>
      </c>
      <c r="E124">
        <v>357</v>
      </c>
    </row>
    <row r="125" spans="1:5" x14ac:dyDescent="0.35">
      <c r="A125" t="str">
        <f t="shared" si="4"/>
        <v>C0124</v>
      </c>
      <c r="B125" t="str">
        <f t="shared" si="5"/>
        <v>Customer_0124</v>
      </c>
      <c r="C125" t="str">
        <f t="shared" ca="1" si="6"/>
        <v>Nairobi</v>
      </c>
      <c r="D125" s="34">
        <f t="shared" ca="1" si="7"/>
        <v>422000</v>
      </c>
      <c r="E125">
        <v>748</v>
      </c>
    </row>
    <row r="126" spans="1:5" x14ac:dyDescent="0.35">
      <c r="A126" t="str">
        <f t="shared" si="4"/>
        <v>C0125</v>
      </c>
      <c r="B126" t="str">
        <f t="shared" si="5"/>
        <v>Customer_0125</v>
      </c>
      <c r="C126" t="str">
        <f t="shared" ca="1" si="6"/>
        <v>Coast</v>
      </c>
      <c r="D126" s="34">
        <f t="shared" ca="1" si="7"/>
        <v>352000</v>
      </c>
      <c r="E126">
        <v>810</v>
      </c>
    </row>
    <row r="127" spans="1:5" x14ac:dyDescent="0.35">
      <c r="A127" t="str">
        <f t="shared" si="4"/>
        <v>C0126</v>
      </c>
      <c r="B127" t="str">
        <f t="shared" si="5"/>
        <v>Customer_0126</v>
      </c>
      <c r="C127" t="str">
        <f t="shared" ca="1" si="6"/>
        <v>Rift Valley</v>
      </c>
      <c r="D127" s="34">
        <f t="shared" ca="1" si="7"/>
        <v>552000</v>
      </c>
      <c r="E127">
        <v>649</v>
      </c>
    </row>
    <row r="128" spans="1:5" x14ac:dyDescent="0.35">
      <c r="A128" t="str">
        <f t="shared" si="4"/>
        <v>C0127</v>
      </c>
      <c r="B128" t="str">
        <f t="shared" si="5"/>
        <v>Customer_0127</v>
      </c>
      <c r="C128" t="str">
        <f t="shared" ca="1" si="6"/>
        <v>Rift Valley</v>
      </c>
      <c r="D128" s="34">
        <f t="shared" ca="1" si="7"/>
        <v>501000</v>
      </c>
      <c r="E128">
        <v>822</v>
      </c>
    </row>
    <row r="129" spans="1:5" x14ac:dyDescent="0.35">
      <c r="A129" t="str">
        <f t="shared" si="4"/>
        <v>C0128</v>
      </c>
      <c r="B129" t="str">
        <f t="shared" si="5"/>
        <v>Customer_0128</v>
      </c>
      <c r="C129" t="str">
        <f t="shared" ca="1" si="6"/>
        <v>Central</v>
      </c>
      <c r="D129" s="34">
        <f t="shared" ca="1" si="7"/>
        <v>727000</v>
      </c>
      <c r="E129">
        <v>308</v>
      </c>
    </row>
    <row r="130" spans="1:5" x14ac:dyDescent="0.35">
      <c r="A130" t="str">
        <f t="shared" si="4"/>
        <v>C0129</v>
      </c>
      <c r="B130" t="str">
        <f t="shared" si="5"/>
        <v>Customer_0129</v>
      </c>
      <c r="C130" t="str">
        <f t="shared" ca="1" si="6"/>
        <v>Coast</v>
      </c>
      <c r="D130" s="34">
        <f t="shared" ca="1" si="7"/>
        <v>68000</v>
      </c>
      <c r="E130">
        <v>396</v>
      </c>
    </row>
    <row r="131" spans="1:5" x14ac:dyDescent="0.35">
      <c r="A131" t="str">
        <f t="shared" ref="A131:A194" si="8">"C"&amp;TEXT(ROW()-1,"0000")</f>
        <v>C0130</v>
      </c>
      <c r="B131" t="str">
        <f t="shared" ref="B131:B194" si="9">"Customer_"&amp;TEXT(ROW()-1,"0000")</f>
        <v>Customer_0130</v>
      </c>
      <c r="C131" t="str">
        <f t="shared" ref="C131:C194" ca="1" si="10">CHOOSE(RANDBETWEEN(1,5),
"Nairobi",
"Central",
"Coast",
"Rift Valley",
"Western")</f>
        <v>Rift Valley</v>
      </c>
      <c r="D131" s="34">
        <f t="shared" ref="D131:D194" ca="1" si="11">ROUND(RANDBETWEEN(50000,800000),-3)</f>
        <v>591000</v>
      </c>
      <c r="E131">
        <v>841</v>
      </c>
    </row>
    <row r="132" spans="1:5" x14ac:dyDescent="0.35">
      <c r="A132" t="str">
        <f t="shared" si="8"/>
        <v>C0131</v>
      </c>
      <c r="B132" t="str">
        <f t="shared" si="9"/>
        <v>Customer_0131</v>
      </c>
      <c r="C132" t="str">
        <f t="shared" ca="1" si="10"/>
        <v>Western</v>
      </c>
      <c r="D132" s="34">
        <f t="shared" ca="1" si="11"/>
        <v>688000</v>
      </c>
      <c r="E132">
        <v>324</v>
      </c>
    </row>
    <row r="133" spans="1:5" x14ac:dyDescent="0.35">
      <c r="A133" t="str">
        <f t="shared" si="8"/>
        <v>C0132</v>
      </c>
      <c r="B133" t="str">
        <f t="shared" si="9"/>
        <v>Customer_0132</v>
      </c>
      <c r="C133" t="str">
        <f t="shared" ca="1" si="10"/>
        <v>Coast</v>
      </c>
      <c r="D133" s="34">
        <f t="shared" ca="1" si="11"/>
        <v>427000</v>
      </c>
      <c r="E133">
        <v>444</v>
      </c>
    </row>
    <row r="134" spans="1:5" x14ac:dyDescent="0.35">
      <c r="A134" t="str">
        <f t="shared" si="8"/>
        <v>C0133</v>
      </c>
      <c r="B134" t="str">
        <f t="shared" si="9"/>
        <v>Customer_0133</v>
      </c>
      <c r="C134" t="str">
        <f t="shared" ca="1" si="10"/>
        <v>Rift Valley</v>
      </c>
      <c r="D134" s="34">
        <f t="shared" ca="1" si="11"/>
        <v>688000</v>
      </c>
      <c r="E134">
        <v>325</v>
      </c>
    </row>
    <row r="135" spans="1:5" x14ac:dyDescent="0.35">
      <c r="A135" t="str">
        <f t="shared" si="8"/>
        <v>C0134</v>
      </c>
      <c r="B135" t="str">
        <f t="shared" si="9"/>
        <v>Customer_0134</v>
      </c>
      <c r="C135" t="str">
        <f t="shared" ca="1" si="10"/>
        <v>Rift Valley</v>
      </c>
      <c r="D135" s="34">
        <f t="shared" ca="1" si="11"/>
        <v>443000</v>
      </c>
      <c r="E135">
        <v>447</v>
      </c>
    </row>
    <row r="136" spans="1:5" x14ac:dyDescent="0.35">
      <c r="A136" t="str">
        <f t="shared" si="8"/>
        <v>C0135</v>
      </c>
      <c r="B136" t="str">
        <f t="shared" si="9"/>
        <v>Customer_0135</v>
      </c>
      <c r="C136" t="str">
        <f t="shared" ca="1" si="10"/>
        <v>Rift Valley</v>
      </c>
      <c r="D136" s="34">
        <f t="shared" ca="1" si="11"/>
        <v>646000</v>
      </c>
      <c r="E136">
        <v>571</v>
      </c>
    </row>
    <row r="137" spans="1:5" x14ac:dyDescent="0.35">
      <c r="A137" t="str">
        <f t="shared" si="8"/>
        <v>C0136</v>
      </c>
      <c r="B137" t="str">
        <f t="shared" si="9"/>
        <v>Customer_0136</v>
      </c>
      <c r="C137" t="str">
        <f t="shared" ca="1" si="10"/>
        <v>Nairobi</v>
      </c>
      <c r="D137" s="34">
        <f t="shared" ca="1" si="11"/>
        <v>114000</v>
      </c>
      <c r="E137">
        <v>746</v>
      </c>
    </row>
    <row r="138" spans="1:5" x14ac:dyDescent="0.35">
      <c r="A138" t="str">
        <f t="shared" si="8"/>
        <v>C0137</v>
      </c>
      <c r="B138" t="str">
        <f t="shared" si="9"/>
        <v>Customer_0137</v>
      </c>
      <c r="C138" t="str">
        <f t="shared" ca="1" si="10"/>
        <v>Rift Valley</v>
      </c>
      <c r="D138" s="34">
        <f t="shared" ca="1" si="11"/>
        <v>762000</v>
      </c>
      <c r="E138">
        <v>700</v>
      </c>
    </row>
    <row r="139" spans="1:5" x14ac:dyDescent="0.35">
      <c r="A139" t="str">
        <f t="shared" si="8"/>
        <v>C0138</v>
      </c>
      <c r="B139" t="str">
        <f t="shared" si="9"/>
        <v>Customer_0138</v>
      </c>
      <c r="C139" t="str">
        <f t="shared" ca="1" si="10"/>
        <v>Rift Valley</v>
      </c>
      <c r="D139" s="34">
        <f t="shared" ca="1" si="11"/>
        <v>144000</v>
      </c>
      <c r="E139">
        <v>355</v>
      </c>
    </row>
    <row r="140" spans="1:5" x14ac:dyDescent="0.35">
      <c r="A140" t="str">
        <f t="shared" si="8"/>
        <v>C0139</v>
      </c>
      <c r="B140" t="str">
        <f t="shared" si="9"/>
        <v>Customer_0139</v>
      </c>
      <c r="C140" t="str">
        <f t="shared" ca="1" si="10"/>
        <v>Western</v>
      </c>
      <c r="D140" s="34">
        <f t="shared" ca="1" si="11"/>
        <v>273000</v>
      </c>
      <c r="E140">
        <v>625</v>
      </c>
    </row>
    <row r="141" spans="1:5" x14ac:dyDescent="0.35">
      <c r="A141" t="str">
        <f t="shared" si="8"/>
        <v>C0140</v>
      </c>
      <c r="B141" t="str">
        <f t="shared" si="9"/>
        <v>Customer_0140</v>
      </c>
      <c r="C141" t="str">
        <f t="shared" ca="1" si="10"/>
        <v>Western</v>
      </c>
      <c r="D141" s="34">
        <f t="shared" ca="1" si="11"/>
        <v>430000</v>
      </c>
      <c r="E141">
        <v>511</v>
      </c>
    </row>
    <row r="142" spans="1:5" x14ac:dyDescent="0.35">
      <c r="A142" t="str">
        <f t="shared" si="8"/>
        <v>C0141</v>
      </c>
      <c r="B142" t="str">
        <f t="shared" si="9"/>
        <v>Customer_0141</v>
      </c>
      <c r="C142" t="str">
        <f t="shared" ca="1" si="10"/>
        <v>Rift Valley</v>
      </c>
      <c r="D142" s="34">
        <f t="shared" ca="1" si="11"/>
        <v>358000</v>
      </c>
      <c r="E142">
        <v>615</v>
      </c>
    </row>
    <row r="143" spans="1:5" x14ac:dyDescent="0.35">
      <c r="A143" t="str">
        <f t="shared" si="8"/>
        <v>C0142</v>
      </c>
      <c r="B143" t="str">
        <f t="shared" si="9"/>
        <v>Customer_0142</v>
      </c>
      <c r="C143" t="str">
        <f t="shared" ca="1" si="10"/>
        <v>Nairobi</v>
      </c>
      <c r="D143" s="34">
        <f t="shared" ca="1" si="11"/>
        <v>388000</v>
      </c>
      <c r="E143">
        <v>633</v>
      </c>
    </row>
    <row r="144" spans="1:5" x14ac:dyDescent="0.35">
      <c r="A144" t="str">
        <f t="shared" si="8"/>
        <v>C0143</v>
      </c>
      <c r="B144" t="str">
        <f t="shared" si="9"/>
        <v>Customer_0143</v>
      </c>
      <c r="C144" t="str">
        <f t="shared" ca="1" si="10"/>
        <v>Nairobi</v>
      </c>
      <c r="D144" s="34">
        <f t="shared" ca="1" si="11"/>
        <v>141000</v>
      </c>
      <c r="E144">
        <v>762</v>
      </c>
    </row>
    <row r="145" spans="1:5" x14ac:dyDescent="0.35">
      <c r="A145" t="str">
        <f t="shared" si="8"/>
        <v>C0144</v>
      </c>
      <c r="B145" t="str">
        <f t="shared" si="9"/>
        <v>Customer_0144</v>
      </c>
      <c r="C145" t="str">
        <f t="shared" ca="1" si="10"/>
        <v>Central</v>
      </c>
      <c r="D145" s="34">
        <f t="shared" ca="1" si="11"/>
        <v>520000</v>
      </c>
      <c r="E145">
        <v>634</v>
      </c>
    </row>
    <row r="146" spans="1:5" x14ac:dyDescent="0.35">
      <c r="A146" t="str">
        <f t="shared" si="8"/>
        <v>C0145</v>
      </c>
      <c r="B146" t="str">
        <f t="shared" si="9"/>
        <v>Customer_0145</v>
      </c>
      <c r="C146" t="str">
        <f t="shared" ca="1" si="10"/>
        <v>Rift Valley</v>
      </c>
      <c r="D146" s="34">
        <f t="shared" ca="1" si="11"/>
        <v>248000</v>
      </c>
      <c r="E146">
        <v>372</v>
      </c>
    </row>
    <row r="147" spans="1:5" x14ac:dyDescent="0.35">
      <c r="A147" t="str">
        <f t="shared" si="8"/>
        <v>C0146</v>
      </c>
      <c r="B147" t="str">
        <f t="shared" si="9"/>
        <v>Customer_0146</v>
      </c>
      <c r="C147" t="str">
        <f t="shared" ca="1" si="10"/>
        <v>Nairobi</v>
      </c>
      <c r="D147" s="34">
        <f t="shared" ca="1" si="11"/>
        <v>206000</v>
      </c>
      <c r="E147">
        <v>709</v>
      </c>
    </row>
    <row r="148" spans="1:5" x14ac:dyDescent="0.35">
      <c r="A148" t="str">
        <f t="shared" si="8"/>
        <v>C0147</v>
      </c>
      <c r="B148" t="str">
        <f t="shared" si="9"/>
        <v>Customer_0147</v>
      </c>
      <c r="C148" t="str">
        <f t="shared" ca="1" si="10"/>
        <v>Western</v>
      </c>
      <c r="D148" s="34">
        <f t="shared" ca="1" si="11"/>
        <v>396000</v>
      </c>
      <c r="E148">
        <v>696</v>
      </c>
    </row>
    <row r="149" spans="1:5" x14ac:dyDescent="0.35">
      <c r="A149" t="str">
        <f t="shared" si="8"/>
        <v>C0148</v>
      </c>
      <c r="B149" t="str">
        <f t="shared" si="9"/>
        <v>Customer_0148</v>
      </c>
      <c r="C149" t="str">
        <f t="shared" ca="1" si="10"/>
        <v>Coast</v>
      </c>
      <c r="D149" s="34">
        <f t="shared" ca="1" si="11"/>
        <v>723000</v>
      </c>
      <c r="E149">
        <v>778</v>
      </c>
    </row>
    <row r="150" spans="1:5" x14ac:dyDescent="0.35">
      <c r="A150" t="str">
        <f t="shared" si="8"/>
        <v>C0149</v>
      </c>
      <c r="B150" t="str">
        <f t="shared" si="9"/>
        <v>Customer_0149</v>
      </c>
      <c r="C150" t="str">
        <f t="shared" ca="1" si="10"/>
        <v>Western</v>
      </c>
      <c r="D150" s="34">
        <f t="shared" ca="1" si="11"/>
        <v>356000</v>
      </c>
      <c r="E150">
        <v>617</v>
      </c>
    </row>
    <row r="151" spans="1:5" x14ac:dyDescent="0.35">
      <c r="A151" t="str">
        <f t="shared" si="8"/>
        <v>C0150</v>
      </c>
      <c r="B151" t="str">
        <f t="shared" si="9"/>
        <v>Customer_0150</v>
      </c>
      <c r="C151" t="str">
        <f t="shared" ca="1" si="10"/>
        <v>Western</v>
      </c>
      <c r="D151" s="34">
        <f t="shared" ca="1" si="11"/>
        <v>583000</v>
      </c>
      <c r="E151">
        <v>610</v>
      </c>
    </row>
    <row r="152" spans="1:5" x14ac:dyDescent="0.35">
      <c r="A152" t="str">
        <f t="shared" si="8"/>
        <v>C0151</v>
      </c>
      <c r="B152" t="str">
        <f t="shared" si="9"/>
        <v>Customer_0151</v>
      </c>
      <c r="C152" t="str">
        <f t="shared" ca="1" si="10"/>
        <v>Coast</v>
      </c>
      <c r="D152" s="34">
        <f t="shared" ca="1" si="11"/>
        <v>473000</v>
      </c>
      <c r="E152">
        <v>813</v>
      </c>
    </row>
    <row r="153" spans="1:5" x14ac:dyDescent="0.35">
      <c r="A153" t="str">
        <f t="shared" si="8"/>
        <v>C0152</v>
      </c>
      <c r="B153" t="str">
        <f t="shared" si="9"/>
        <v>Customer_0152</v>
      </c>
      <c r="C153" t="str">
        <f t="shared" ca="1" si="10"/>
        <v>Coast</v>
      </c>
      <c r="D153" s="34">
        <f t="shared" ca="1" si="11"/>
        <v>137000</v>
      </c>
      <c r="E153">
        <v>831</v>
      </c>
    </row>
    <row r="154" spans="1:5" x14ac:dyDescent="0.35">
      <c r="A154" t="str">
        <f t="shared" si="8"/>
        <v>C0153</v>
      </c>
      <c r="B154" t="str">
        <f t="shared" si="9"/>
        <v>Customer_0153</v>
      </c>
      <c r="C154" t="str">
        <f t="shared" ca="1" si="10"/>
        <v>Western</v>
      </c>
      <c r="D154" s="34">
        <f t="shared" ca="1" si="11"/>
        <v>393000</v>
      </c>
      <c r="E154">
        <v>320</v>
      </c>
    </row>
    <row r="155" spans="1:5" x14ac:dyDescent="0.35">
      <c r="A155" t="str">
        <f t="shared" si="8"/>
        <v>C0154</v>
      </c>
      <c r="B155" t="str">
        <f t="shared" si="9"/>
        <v>Customer_0154</v>
      </c>
      <c r="C155" t="str">
        <f t="shared" ca="1" si="10"/>
        <v>Rift Valley</v>
      </c>
      <c r="D155" s="34">
        <f t="shared" ca="1" si="11"/>
        <v>735000</v>
      </c>
      <c r="E155">
        <v>588</v>
      </c>
    </row>
    <row r="156" spans="1:5" x14ac:dyDescent="0.35">
      <c r="A156" t="str">
        <f t="shared" si="8"/>
        <v>C0155</v>
      </c>
      <c r="B156" t="str">
        <f t="shared" si="9"/>
        <v>Customer_0155</v>
      </c>
      <c r="C156" t="str">
        <f t="shared" ca="1" si="10"/>
        <v>Nairobi</v>
      </c>
      <c r="D156" s="34">
        <f t="shared" ca="1" si="11"/>
        <v>697000</v>
      </c>
      <c r="E156">
        <v>407</v>
      </c>
    </row>
    <row r="157" spans="1:5" x14ac:dyDescent="0.35">
      <c r="A157" t="str">
        <f t="shared" si="8"/>
        <v>C0156</v>
      </c>
      <c r="B157" t="str">
        <f t="shared" si="9"/>
        <v>Customer_0156</v>
      </c>
      <c r="C157" t="str">
        <f t="shared" ca="1" si="10"/>
        <v>Rift Valley</v>
      </c>
      <c r="D157" s="34">
        <f t="shared" ca="1" si="11"/>
        <v>110000</v>
      </c>
      <c r="E157">
        <v>768</v>
      </c>
    </row>
    <row r="158" spans="1:5" x14ac:dyDescent="0.35">
      <c r="A158" t="str">
        <f t="shared" si="8"/>
        <v>C0157</v>
      </c>
      <c r="B158" t="str">
        <f t="shared" si="9"/>
        <v>Customer_0157</v>
      </c>
      <c r="C158" t="str">
        <f t="shared" ca="1" si="10"/>
        <v>Rift Valley</v>
      </c>
      <c r="D158" s="34">
        <f t="shared" ca="1" si="11"/>
        <v>249000</v>
      </c>
      <c r="E158">
        <v>306</v>
      </c>
    </row>
    <row r="159" spans="1:5" x14ac:dyDescent="0.35">
      <c r="A159" t="str">
        <f t="shared" si="8"/>
        <v>C0158</v>
      </c>
      <c r="B159" t="str">
        <f t="shared" si="9"/>
        <v>Customer_0158</v>
      </c>
      <c r="C159" t="str">
        <f t="shared" ca="1" si="10"/>
        <v>Rift Valley</v>
      </c>
      <c r="D159" s="34">
        <f t="shared" ca="1" si="11"/>
        <v>779000</v>
      </c>
      <c r="E159">
        <v>614</v>
      </c>
    </row>
    <row r="160" spans="1:5" x14ac:dyDescent="0.35">
      <c r="A160" t="str">
        <f t="shared" si="8"/>
        <v>C0159</v>
      </c>
      <c r="B160" t="str">
        <f t="shared" si="9"/>
        <v>Customer_0159</v>
      </c>
      <c r="C160" t="str">
        <f t="shared" ca="1" si="10"/>
        <v>Nairobi</v>
      </c>
      <c r="D160" s="34">
        <f t="shared" ca="1" si="11"/>
        <v>447000</v>
      </c>
      <c r="E160">
        <v>844</v>
      </c>
    </row>
    <row r="161" spans="1:5" x14ac:dyDescent="0.35">
      <c r="A161" t="str">
        <f t="shared" si="8"/>
        <v>C0160</v>
      </c>
      <c r="B161" t="str">
        <f t="shared" si="9"/>
        <v>Customer_0160</v>
      </c>
      <c r="C161" t="str">
        <f t="shared" ca="1" si="10"/>
        <v>Central</v>
      </c>
      <c r="D161" s="34">
        <f t="shared" ca="1" si="11"/>
        <v>151000</v>
      </c>
      <c r="E161">
        <v>332</v>
      </c>
    </row>
    <row r="162" spans="1:5" x14ac:dyDescent="0.35">
      <c r="A162" t="str">
        <f t="shared" si="8"/>
        <v>C0161</v>
      </c>
      <c r="B162" t="str">
        <f t="shared" si="9"/>
        <v>Customer_0161</v>
      </c>
      <c r="C162" t="str">
        <f t="shared" ca="1" si="10"/>
        <v>Nairobi</v>
      </c>
      <c r="D162" s="34">
        <f t="shared" ca="1" si="11"/>
        <v>391000</v>
      </c>
      <c r="E162">
        <v>811</v>
      </c>
    </row>
    <row r="163" spans="1:5" x14ac:dyDescent="0.35">
      <c r="A163" t="str">
        <f t="shared" si="8"/>
        <v>C0162</v>
      </c>
      <c r="B163" t="str">
        <f t="shared" si="9"/>
        <v>Customer_0162</v>
      </c>
      <c r="C163" t="str">
        <f t="shared" ca="1" si="10"/>
        <v>Nairobi</v>
      </c>
      <c r="D163" s="34">
        <f t="shared" ca="1" si="11"/>
        <v>784000</v>
      </c>
      <c r="E163">
        <v>734</v>
      </c>
    </row>
    <row r="164" spans="1:5" x14ac:dyDescent="0.35">
      <c r="A164" t="str">
        <f t="shared" si="8"/>
        <v>C0163</v>
      </c>
      <c r="B164" t="str">
        <f t="shared" si="9"/>
        <v>Customer_0163</v>
      </c>
      <c r="C164" t="str">
        <f t="shared" ca="1" si="10"/>
        <v>Central</v>
      </c>
      <c r="D164" s="34">
        <f t="shared" ca="1" si="11"/>
        <v>583000</v>
      </c>
      <c r="E164">
        <v>673</v>
      </c>
    </row>
    <row r="165" spans="1:5" x14ac:dyDescent="0.35">
      <c r="A165" t="str">
        <f t="shared" si="8"/>
        <v>C0164</v>
      </c>
      <c r="B165" t="str">
        <f t="shared" si="9"/>
        <v>Customer_0164</v>
      </c>
      <c r="C165" t="str">
        <f t="shared" ca="1" si="10"/>
        <v>Western</v>
      </c>
      <c r="D165" s="34">
        <f t="shared" ca="1" si="11"/>
        <v>682000</v>
      </c>
      <c r="E165">
        <v>712</v>
      </c>
    </row>
    <row r="166" spans="1:5" x14ac:dyDescent="0.35">
      <c r="A166" t="str">
        <f t="shared" si="8"/>
        <v>C0165</v>
      </c>
      <c r="B166" t="str">
        <f t="shared" si="9"/>
        <v>Customer_0165</v>
      </c>
      <c r="C166" t="str">
        <f t="shared" ca="1" si="10"/>
        <v>Nairobi</v>
      </c>
      <c r="D166" s="34">
        <f t="shared" ca="1" si="11"/>
        <v>563000</v>
      </c>
      <c r="E166">
        <v>511</v>
      </c>
    </row>
    <row r="167" spans="1:5" x14ac:dyDescent="0.35">
      <c r="A167" t="str">
        <f t="shared" si="8"/>
        <v>C0166</v>
      </c>
      <c r="B167" t="str">
        <f t="shared" si="9"/>
        <v>Customer_0166</v>
      </c>
      <c r="C167" t="str">
        <f t="shared" ca="1" si="10"/>
        <v>Nairobi</v>
      </c>
      <c r="D167" s="34">
        <f t="shared" ca="1" si="11"/>
        <v>511000</v>
      </c>
      <c r="E167">
        <v>465</v>
      </c>
    </row>
    <row r="168" spans="1:5" x14ac:dyDescent="0.35">
      <c r="A168" t="str">
        <f t="shared" si="8"/>
        <v>C0167</v>
      </c>
      <c r="B168" t="str">
        <f t="shared" si="9"/>
        <v>Customer_0167</v>
      </c>
      <c r="C168" t="str">
        <f t="shared" ca="1" si="10"/>
        <v>Rift Valley</v>
      </c>
      <c r="D168" s="34">
        <f t="shared" ca="1" si="11"/>
        <v>78000</v>
      </c>
      <c r="E168">
        <v>490</v>
      </c>
    </row>
    <row r="169" spans="1:5" x14ac:dyDescent="0.35">
      <c r="A169" t="str">
        <f t="shared" si="8"/>
        <v>C0168</v>
      </c>
      <c r="B169" t="str">
        <f t="shared" si="9"/>
        <v>Customer_0168</v>
      </c>
      <c r="C169" t="str">
        <f t="shared" ca="1" si="10"/>
        <v>Coast</v>
      </c>
      <c r="D169" s="34">
        <f t="shared" ca="1" si="11"/>
        <v>190000</v>
      </c>
      <c r="E169">
        <v>641</v>
      </c>
    </row>
    <row r="170" spans="1:5" x14ac:dyDescent="0.35">
      <c r="A170" t="str">
        <f t="shared" si="8"/>
        <v>C0169</v>
      </c>
      <c r="B170" t="str">
        <f t="shared" si="9"/>
        <v>Customer_0169</v>
      </c>
      <c r="C170" t="str">
        <f t="shared" ca="1" si="10"/>
        <v>Coast</v>
      </c>
      <c r="D170" s="34">
        <f t="shared" ca="1" si="11"/>
        <v>529000</v>
      </c>
      <c r="E170">
        <v>737</v>
      </c>
    </row>
    <row r="171" spans="1:5" x14ac:dyDescent="0.35">
      <c r="A171" t="str">
        <f t="shared" si="8"/>
        <v>C0170</v>
      </c>
      <c r="B171" t="str">
        <f t="shared" si="9"/>
        <v>Customer_0170</v>
      </c>
      <c r="C171" t="str">
        <f t="shared" ca="1" si="10"/>
        <v>Rift Valley</v>
      </c>
      <c r="D171" s="34">
        <f t="shared" ca="1" si="11"/>
        <v>548000</v>
      </c>
      <c r="E171">
        <v>476</v>
      </c>
    </row>
    <row r="172" spans="1:5" x14ac:dyDescent="0.35">
      <c r="A172" t="str">
        <f t="shared" si="8"/>
        <v>C0171</v>
      </c>
      <c r="B172" t="str">
        <f t="shared" si="9"/>
        <v>Customer_0171</v>
      </c>
      <c r="C172" t="str">
        <f t="shared" ca="1" si="10"/>
        <v>Western</v>
      </c>
      <c r="D172" s="34">
        <f t="shared" ca="1" si="11"/>
        <v>450000</v>
      </c>
      <c r="E172">
        <v>382</v>
      </c>
    </row>
    <row r="173" spans="1:5" x14ac:dyDescent="0.35">
      <c r="A173" t="str">
        <f t="shared" si="8"/>
        <v>C0172</v>
      </c>
      <c r="B173" t="str">
        <f t="shared" si="9"/>
        <v>Customer_0172</v>
      </c>
      <c r="C173" t="str">
        <f t="shared" ca="1" si="10"/>
        <v>Central</v>
      </c>
      <c r="D173" s="34">
        <f t="shared" ca="1" si="11"/>
        <v>415000</v>
      </c>
      <c r="E173">
        <v>446</v>
      </c>
    </row>
    <row r="174" spans="1:5" x14ac:dyDescent="0.35">
      <c r="A174" t="str">
        <f t="shared" si="8"/>
        <v>C0173</v>
      </c>
      <c r="B174" t="str">
        <f t="shared" si="9"/>
        <v>Customer_0173</v>
      </c>
      <c r="C174" t="str">
        <f t="shared" ca="1" si="10"/>
        <v>Nairobi</v>
      </c>
      <c r="D174" s="34">
        <f t="shared" ca="1" si="11"/>
        <v>262000</v>
      </c>
      <c r="E174">
        <v>848</v>
      </c>
    </row>
    <row r="175" spans="1:5" x14ac:dyDescent="0.35">
      <c r="A175" t="str">
        <f t="shared" si="8"/>
        <v>C0174</v>
      </c>
      <c r="B175" t="str">
        <f t="shared" si="9"/>
        <v>Customer_0174</v>
      </c>
      <c r="C175" t="str">
        <f t="shared" ca="1" si="10"/>
        <v>Central</v>
      </c>
      <c r="D175" s="34">
        <f t="shared" ca="1" si="11"/>
        <v>463000</v>
      </c>
      <c r="E175">
        <v>451</v>
      </c>
    </row>
    <row r="176" spans="1:5" x14ac:dyDescent="0.35">
      <c r="A176" t="str">
        <f t="shared" si="8"/>
        <v>C0175</v>
      </c>
      <c r="B176" t="str">
        <f t="shared" si="9"/>
        <v>Customer_0175</v>
      </c>
      <c r="C176" t="str">
        <f t="shared" ca="1" si="10"/>
        <v>Nairobi</v>
      </c>
      <c r="D176" s="34">
        <f t="shared" ca="1" si="11"/>
        <v>617000</v>
      </c>
      <c r="E176">
        <v>639</v>
      </c>
    </row>
    <row r="177" spans="1:5" x14ac:dyDescent="0.35">
      <c r="A177" t="str">
        <f t="shared" si="8"/>
        <v>C0176</v>
      </c>
      <c r="B177" t="str">
        <f t="shared" si="9"/>
        <v>Customer_0176</v>
      </c>
      <c r="C177" t="str">
        <f t="shared" ca="1" si="10"/>
        <v>Central</v>
      </c>
      <c r="D177" s="34">
        <f t="shared" ca="1" si="11"/>
        <v>498000</v>
      </c>
      <c r="E177">
        <v>769</v>
      </c>
    </row>
    <row r="178" spans="1:5" x14ac:dyDescent="0.35">
      <c r="A178" t="str">
        <f t="shared" si="8"/>
        <v>C0177</v>
      </c>
      <c r="B178" t="str">
        <f t="shared" si="9"/>
        <v>Customer_0177</v>
      </c>
      <c r="C178" t="str">
        <f t="shared" ca="1" si="10"/>
        <v>Nairobi</v>
      </c>
      <c r="D178" s="34">
        <f t="shared" ca="1" si="11"/>
        <v>472000</v>
      </c>
      <c r="E178">
        <v>734</v>
      </c>
    </row>
    <row r="179" spans="1:5" x14ac:dyDescent="0.35">
      <c r="A179" t="str">
        <f t="shared" si="8"/>
        <v>C0178</v>
      </c>
      <c r="B179" t="str">
        <f t="shared" si="9"/>
        <v>Customer_0178</v>
      </c>
      <c r="C179" t="str">
        <f t="shared" ca="1" si="10"/>
        <v>Rift Valley</v>
      </c>
      <c r="D179" s="34">
        <f t="shared" ca="1" si="11"/>
        <v>647000</v>
      </c>
      <c r="E179">
        <v>629</v>
      </c>
    </row>
    <row r="180" spans="1:5" x14ac:dyDescent="0.35">
      <c r="A180" t="str">
        <f t="shared" si="8"/>
        <v>C0179</v>
      </c>
      <c r="B180" t="str">
        <f t="shared" si="9"/>
        <v>Customer_0179</v>
      </c>
      <c r="C180" t="str">
        <f t="shared" ca="1" si="10"/>
        <v>Central</v>
      </c>
      <c r="D180" s="34">
        <f t="shared" ca="1" si="11"/>
        <v>266000</v>
      </c>
      <c r="E180">
        <v>811</v>
      </c>
    </row>
    <row r="181" spans="1:5" x14ac:dyDescent="0.35">
      <c r="A181" t="str">
        <f t="shared" si="8"/>
        <v>C0180</v>
      </c>
      <c r="B181" t="str">
        <f t="shared" si="9"/>
        <v>Customer_0180</v>
      </c>
      <c r="C181" t="str">
        <f t="shared" ca="1" si="10"/>
        <v>Nairobi</v>
      </c>
      <c r="D181" s="34">
        <f t="shared" ca="1" si="11"/>
        <v>66000</v>
      </c>
      <c r="E181">
        <v>440</v>
      </c>
    </row>
    <row r="182" spans="1:5" x14ac:dyDescent="0.35">
      <c r="A182" t="str">
        <f t="shared" si="8"/>
        <v>C0181</v>
      </c>
      <c r="B182" t="str">
        <f t="shared" si="9"/>
        <v>Customer_0181</v>
      </c>
      <c r="C182" t="str">
        <f t="shared" ca="1" si="10"/>
        <v>Rift Valley</v>
      </c>
      <c r="D182" s="34">
        <f t="shared" ca="1" si="11"/>
        <v>467000</v>
      </c>
      <c r="E182">
        <v>763</v>
      </c>
    </row>
    <row r="183" spans="1:5" x14ac:dyDescent="0.35">
      <c r="A183" t="str">
        <f t="shared" si="8"/>
        <v>C0182</v>
      </c>
      <c r="B183" t="str">
        <f t="shared" si="9"/>
        <v>Customer_0182</v>
      </c>
      <c r="C183" t="str">
        <f t="shared" ca="1" si="10"/>
        <v>Coast</v>
      </c>
      <c r="D183" s="34">
        <f t="shared" ca="1" si="11"/>
        <v>649000</v>
      </c>
      <c r="E183">
        <v>701</v>
      </c>
    </row>
    <row r="184" spans="1:5" x14ac:dyDescent="0.35">
      <c r="A184" t="str">
        <f t="shared" si="8"/>
        <v>C0183</v>
      </c>
      <c r="B184" t="str">
        <f t="shared" si="9"/>
        <v>Customer_0183</v>
      </c>
      <c r="C184" t="str">
        <f t="shared" ca="1" si="10"/>
        <v>Central</v>
      </c>
      <c r="D184" s="34">
        <f t="shared" ca="1" si="11"/>
        <v>588000</v>
      </c>
      <c r="E184">
        <v>561</v>
      </c>
    </row>
    <row r="185" spans="1:5" x14ac:dyDescent="0.35">
      <c r="A185" t="str">
        <f t="shared" si="8"/>
        <v>C0184</v>
      </c>
      <c r="B185" t="str">
        <f t="shared" si="9"/>
        <v>Customer_0184</v>
      </c>
      <c r="C185" t="str">
        <f t="shared" ca="1" si="10"/>
        <v>Rift Valley</v>
      </c>
      <c r="D185" s="34">
        <f t="shared" ca="1" si="11"/>
        <v>673000</v>
      </c>
      <c r="E185">
        <v>707</v>
      </c>
    </row>
    <row r="186" spans="1:5" x14ac:dyDescent="0.35">
      <c r="A186" t="str">
        <f t="shared" si="8"/>
        <v>C0185</v>
      </c>
      <c r="B186" t="str">
        <f t="shared" si="9"/>
        <v>Customer_0185</v>
      </c>
      <c r="C186" t="str">
        <f t="shared" ca="1" si="10"/>
        <v>Central</v>
      </c>
      <c r="D186" s="34">
        <f t="shared" ca="1" si="11"/>
        <v>547000</v>
      </c>
      <c r="E186">
        <v>732</v>
      </c>
    </row>
    <row r="187" spans="1:5" x14ac:dyDescent="0.35">
      <c r="A187" t="str">
        <f t="shared" si="8"/>
        <v>C0186</v>
      </c>
      <c r="B187" t="str">
        <f t="shared" si="9"/>
        <v>Customer_0186</v>
      </c>
      <c r="C187" t="str">
        <f t="shared" ca="1" si="10"/>
        <v>Central</v>
      </c>
      <c r="D187" s="34">
        <f t="shared" ca="1" si="11"/>
        <v>463000</v>
      </c>
      <c r="E187">
        <v>808</v>
      </c>
    </row>
    <row r="188" spans="1:5" x14ac:dyDescent="0.35">
      <c r="A188" t="str">
        <f t="shared" si="8"/>
        <v>C0187</v>
      </c>
      <c r="B188" t="str">
        <f t="shared" si="9"/>
        <v>Customer_0187</v>
      </c>
      <c r="C188" t="str">
        <f t="shared" ca="1" si="10"/>
        <v>Rift Valley</v>
      </c>
      <c r="D188" s="34">
        <f t="shared" ca="1" si="11"/>
        <v>761000</v>
      </c>
      <c r="E188">
        <v>603</v>
      </c>
    </row>
    <row r="189" spans="1:5" x14ac:dyDescent="0.35">
      <c r="A189" t="str">
        <f t="shared" si="8"/>
        <v>C0188</v>
      </c>
      <c r="B189" t="str">
        <f t="shared" si="9"/>
        <v>Customer_0188</v>
      </c>
      <c r="C189" t="str">
        <f t="shared" ca="1" si="10"/>
        <v>Rift Valley</v>
      </c>
      <c r="D189" s="34">
        <f t="shared" ca="1" si="11"/>
        <v>712000</v>
      </c>
      <c r="E189">
        <v>810</v>
      </c>
    </row>
    <row r="190" spans="1:5" x14ac:dyDescent="0.35">
      <c r="A190" t="str">
        <f t="shared" si="8"/>
        <v>C0189</v>
      </c>
      <c r="B190" t="str">
        <f t="shared" si="9"/>
        <v>Customer_0189</v>
      </c>
      <c r="C190" t="str">
        <f t="shared" ca="1" si="10"/>
        <v>Central</v>
      </c>
      <c r="D190" s="34">
        <f t="shared" ca="1" si="11"/>
        <v>378000</v>
      </c>
      <c r="E190">
        <v>451</v>
      </c>
    </row>
    <row r="191" spans="1:5" x14ac:dyDescent="0.35">
      <c r="A191" t="str">
        <f t="shared" si="8"/>
        <v>C0190</v>
      </c>
      <c r="B191" t="str">
        <f t="shared" si="9"/>
        <v>Customer_0190</v>
      </c>
      <c r="C191" t="str">
        <f t="shared" ca="1" si="10"/>
        <v>Western</v>
      </c>
      <c r="D191" s="34">
        <f t="shared" ca="1" si="11"/>
        <v>283000</v>
      </c>
      <c r="E191">
        <v>359</v>
      </c>
    </row>
    <row r="192" spans="1:5" x14ac:dyDescent="0.35">
      <c r="A192" t="str">
        <f t="shared" si="8"/>
        <v>C0191</v>
      </c>
      <c r="B192" t="str">
        <f t="shared" si="9"/>
        <v>Customer_0191</v>
      </c>
      <c r="C192" t="str">
        <f t="shared" ca="1" si="10"/>
        <v>Central</v>
      </c>
      <c r="D192" s="34">
        <f t="shared" ca="1" si="11"/>
        <v>487000</v>
      </c>
      <c r="E192">
        <v>678</v>
      </c>
    </row>
    <row r="193" spans="1:5" x14ac:dyDescent="0.35">
      <c r="A193" t="str">
        <f t="shared" si="8"/>
        <v>C0192</v>
      </c>
      <c r="B193" t="str">
        <f t="shared" si="9"/>
        <v>Customer_0192</v>
      </c>
      <c r="C193" t="str">
        <f t="shared" ca="1" si="10"/>
        <v>Western</v>
      </c>
      <c r="D193" s="34">
        <f t="shared" ca="1" si="11"/>
        <v>314000</v>
      </c>
      <c r="E193">
        <v>760</v>
      </c>
    </row>
    <row r="194" spans="1:5" x14ac:dyDescent="0.35">
      <c r="A194" t="str">
        <f t="shared" si="8"/>
        <v>C0193</v>
      </c>
      <c r="B194" t="str">
        <f t="shared" si="9"/>
        <v>Customer_0193</v>
      </c>
      <c r="C194" t="str">
        <f t="shared" ca="1" si="10"/>
        <v>Rift Valley</v>
      </c>
      <c r="D194" s="34">
        <f t="shared" ca="1" si="11"/>
        <v>769000</v>
      </c>
      <c r="E194">
        <v>637</v>
      </c>
    </row>
    <row r="195" spans="1:5" x14ac:dyDescent="0.35">
      <c r="A195" t="str">
        <f t="shared" ref="A195:A258" si="12">"C"&amp;TEXT(ROW()-1,"0000")</f>
        <v>C0194</v>
      </c>
      <c r="B195" t="str">
        <f t="shared" ref="B195:B258" si="13">"Customer_"&amp;TEXT(ROW()-1,"0000")</f>
        <v>Customer_0194</v>
      </c>
      <c r="C195" t="str">
        <f t="shared" ref="C195:C258" ca="1" si="14">CHOOSE(RANDBETWEEN(1,5),
"Nairobi",
"Central",
"Coast",
"Rift Valley",
"Western")</f>
        <v>Nairobi</v>
      </c>
      <c r="D195" s="34">
        <f t="shared" ref="D195:D258" ca="1" si="15">ROUND(RANDBETWEEN(50000,800000),-3)</f>
        <v>548000</v>
      </c>
      <c r="E195">
        <v>526</v>
      </c>
    </row>
    <row r="196" spans="1:5" x14ac:dyDescent="0.35">
      <c r="A196" t="str">
        <f t="shared" si="12"/>
        <v>C0195</v>
      </c>
      <c r="B196" t="str">
        <f t="shared" si="13"/>
        <v>Customer_0195</v>
      </c>
      <c r="C196" t="str">
        <f t="shared" ca="1" si="14"/>
        <v>Western</v>
      </c>
      <c r="D196" s="34">
        <f t="shared" ca="1" si="15"/>
        <v>509000</v>
      </c>
      <c r="E196">
        <v>720</v>
      </c>
    </row>
    <row r="197" spans="1:5" x14ac:dyDescent="0.35">
      <c r="A197" t="str">
        <f t="shared" si="12"/>
        <v>C0196</v>
      </c>
      <c r="B197" t="str">
        <f t="shared" si="13"/>
        <v>Customer_0196</v>
      </c>
      <c r="C197" t="str">
        <f t="shared" ca="1" si="14"/>
        <v>Nairobi</v>
      </c>
      <c r="D197" s="34">
        <f t="shared" ca="1" si="15"/>
        <v>228000</v>
      </c>
      <c r="E197">
        <v>674</v>
      </c>
    </row>
    <row r="198" spans="1:5" x14ac:dyDescent="0.35">
      <c r="A198" t="str">
        <f t="shared" si="12"/>
        <v>C0197</v>
      </c>
      <c r="B198" t="str">
        <f t="shared" si="13"/>
        <v>Customer_0197</v>
      </c>
      <c r="C198" t="str">
        <f t="shared" ca="1" si="14"/>
        <v>Western</v>
      </c>
      <c r="D198" s="34">
        <f t="shared" ca="1" si="15"/>
        <v>373000</v>
      </c>
      <c r="E198">
        <v>368</v>
      </c>
    </row>
    <row r="199" spans="1:5" x14ac:dyDescent="0.35">
      <c r="A199" t="str">
        <f t="shared" si="12"/>
        <v>C0198</v>
      </c>
      <c r="B199" t="str">
        <f t="shared" si="13"/>
        <v>Customer_0198</v>
      </c>
      <c r="C199" t="str">
        <f t="shared" ca="1" si="14"/>
        <v>Nairobi</v>
      </c>
      <c r="D199" s="34">
        <f t="shared" ca="1" si="15"/>
        <v>616000</v>
      </c>
      <c r="E199">
        <v>659</v>
      </c>
    </row>
    <row r="200" spans="1:5" x14ac:dyDescent="0.35">
      <c r="A200" t="str">
        <f t="shared" si="12"/>
        <v>C0199</v>
      </c>
      <c r="B200" t="str">
        <f t="shared" si="13"/>
        <v>Customer_0199</v>
      </c>
      <c r="C200" t="str">
        <f t="shared" ca="1" si="14"/>
        <v>Western</v>
      </c>
      <c r="D200" s="34">
        <f t="shared" ca="1" si="15"/>
        <v>335000</v>
      </c>
      <c r="E200">
        <v>451</v>
      </c>
    </row>
    <row r="201" spans="1:5" x14ac:dyDescent="0.35">
      <c r="A201" t="str">
        <f t="shared" si="12"/>
        <v>C0200</v>
      </c>
      <c r="B201" t="str">
        <f t="shared" si="13"/>
        <v>Customer_0200</v>
      </c>
      <c r="C201" t="str">
        <f t="shared" ca="1" si="14"/>
        <v>Western</v>
      </c>
      <c r="D201" s="34">
        <f t="shared" ca="1" si="15"/>
        <v>235000</v>
      </c>
      <c r="E201">
        <v>635</v>
      </c>
    </row>
    <row r="202" spans="1:5" x14ac:dyDescent="0.35">
      <c r="A202" t="str">
        <f t="shared" si="12"/>
        <v>C0201</v>
      </c>
      <c r="B202" t="str">
        <f t="shared" si="13"/>
        <v>Customer_0201</v>
      </c>
      <c r="C202" t="str">
        <f t="shared" ca="1" si="14"/>
        <v>Central</v>
      </c>
      <c r="D202" s="34">
        <f t="shared" ca="1" si="15"/>
        <v>177000</v>
      </c>
      <c r="E202">
        <v>611</v>
      </c>
    </row>
    <row r="203" spans="1:5" x14ac:dyDescent="0.35">
      <c r="A203" t="str">
        <f t="shared" si="12"/>
        <v>C0202</v>
      </c>
      <c r="B203" t="str">
        <f t="shared" si="13"/>
        <v>Customer_0202</v>
      </c>
      <c r="C203" t="str">
        <f t="shared" ca="1" si="14"/>
        <v>Western</v>
      </c>
      <c r="D203" s="34">
        <f t="shared" ca="1" si="15"/>
        <v>760000</v>
      </c>
      <c r="E203">
        <v>336</v>
      </c>
    </row>
    <row r="204" spans="1:5" x14ac:dyDescent="0.35">
      <c r="A204" t="str">
        <f t="shared" si="12"/>
        <v>C0203</v>
      </c>
      <c r="B204" t="str">
        <f t="shared" si="13"/>
        <v>Customer_0203</v>
      </c>
      <c r="C204" t="str">
        <f t="shared" ca="1" si="14"/>
        <v>Rift Valley</v>
      </c>
      <c r="D204" s="34">
        <f t="shared" ca="1" si="15"/>
        <v>745000</v>
      </c>
      <c r="E204">
        <v>625</v>
      </c>
    </row>
    <row r="205" spans="1:5" x14ac:dyDescent="0.35">
      <c r="A205" t="str">
        <f t="shared" si="12"/>
        <v>C0204</v>
      </c>
      <c r="B205" t="str">
        <f t="shared" si="13"/>
        <v>Customer_0204</v>
      </c>
      <c r="C205" t="str">
        <f t="shared" ca="1" si="14"/>
        <v>Nairobi</v>
      </c>
      <c r="D205" s="34">
        <f t="shared" ca="1" si="15"/>
        <v>441000</v>
      </c>
      <c r="E205">
        <v>304</v>
      </c>
    </row>
    <row r="206" spans="1:5" x14ac:dyDescent="0.35">
      <c r="A206" t="str">
        <f t="shared" si="12"/>
        <v>C0205</v>
      </c>
      <c r="B206" t="str">
        <f t="shared" si="13"/>
        <v>Customer_0205</v>
      </c>
      <c r="C206" t="str">
        <f t="shared" ca="1" si="14"/>
        <v>Central</v>
      </c>
      <c r="D206" s="34">
        <f t="shared" ca="1" si="15"/>
        <v>263000</v>
      </c>
      <c r="E206">
        <v>771</v>
      </c>
    </row>
    <row r="207" spans="1:5" x14ac:dyDescent="0.35">
      <c r="A207" t="str">
        <f t="shared" si="12"/>
        <v>C0206</v>
      </c>
      <c r="B207" t="str">
        <f t="shared" si="13"/>
        <v>Customer_0206</v>
      </c>
      <c r="C207" t="str">
        <f t="shared" ca="1" si="14"/>
        <v>Nairobi</v>
      </c>
      <c r="D207" s="34">
        <f t="shared" ca="1" si="15"/>
        <v>565000</v>
      </c>
      <c r="E207">
        <v>715</v>
      </c>
    </row>
    <row r="208" spans="1:5" x14ac:dyDescent="0.35">
      <c r="A208" t="str">
        <f t="shared" si="12"/>
        <v>C0207</v>
      </c>
      <c r="B208" t="str">
        <f t="shared" si="13"/>
        <v>Customer_0207</v>
      </c>
      <c r="C208" t="str">
        <f t="shared" ca="1" si="14"/>
        <v>Rift Valley</v>
      </c>
      <c r="D208" s="34">
        <f t="shared" ca="1" si="15"/>
        <v>113000</v>
      </c>
      <c r="E208">
        <v>347</v>
      </c>
    </row>
    <row r="209" spans="1:5" x14ac:dyDescent="0.35">
      <c r="A209" t="str">
        <f t="shared" si="12"/>
        <v>C0208</v>
      </c>
      <c r="B209" t="str">
        <f t="shared" si="13"/>
        <v>Customer_0208</v>
      </c>
      <c r="C209" t="str">
        <f t="shared" ca="1" si="14"/>
        <v>Western</v>
      </c>
      <c r="D209" s="34">
        <f t="shared" ca="1" si="15"/>
        <v>153000</v>
      </c>
      <c r="E209">
        <v>463</v>
      </c>
    </row>
    <row r="210" spans="1:5" x14ac:dyDescent="0.35">
      <c r="A210" t="str">
        <f t="shared" si="12"/>
        <v>C0209</v>
      </c>
      <c r="B210" t="str">
        <f t="shared" si="13"/>
        <v>Customer_0209</v>
      </c>
      <c r="C210" t="str">
        <f t="shared" ca="1" si="14"/>
        <v>Western</v>
      </c>
      <c r="D210" s="34">
        <f t="shared" ca="1" si="15"/>
        <v>423000</v>
      </c>
      <c r="E210">
        <v>385</v>
      </c>
    </row>
    <row r="211" spans="1:5" x14ac:dyDescent="0.35">
      <c r="A211" t="str">
        <f t="shared" si="12"/>
        <v>C0210</v>
      </c>
      <c r="B211" t="str">
        <f t="shared" si="13"/>
        <v>Customer_0210</v>
      </c>
      <c r="C211" t="str">
        <f t="shared" ca="1" si="14"/>
        <v>Central</v>
      </c>
      <c r="D211" s="34">
        <f t="shared" ca="1" si="15"/>
        <v>261000</v>
      </c>
      <c r="E211">
        <v>305</v>
      </c>
    </row>
    <row r="212" spans="1:5" x14ac:dyDescent="0.35">
      <c r="A212" t="str">
        <f t="shared" si="12"/>
        <v>C0211</v>
      </c>
      <c r="B212" t="str">
        <f t="shared" si="13"/>
        <v>Customer_0211</v>
      </c>
      <c r="C212" t="str">
        <f t="shared" ca="1" si="14"/>
        <v>Central</v>
      </c>
      <c r="D212" s="34">
        <f t="shared" ca="1" si="15"/>
        <v>265000</v>
      </c>
      <c r="E212">
        <v>724</v>
      </c>
    </row>
    <row r="213" spans="1:5" x14ac:dyDescent="0.35">
      <c r="A213" t="str">
        <f t="shared" si="12"/>
        <v>C0212</v>
      </c>
      <c r="B213" t="str">
        <f t="shared" si="13"/>
        <v>Customer_0212</v>
      </c>
      <c r="C213" t="str">
        <f t="shared" ca="1" si="14"/>
        <v>Central</v>
      </c>
      <c r="D213" s="34">
        <f t="shared" ca="1" si="15"/>
        <v>208000</v>
      </c>
      <c r="E213">
        <v>463</v>
      </c>
    </row>
    <row r="214" spans="1:5" x14ac:dyDescent="0.35">
      <c r="A214" t="str">
        <f t="shared" si="12"/>
        <v>C0213</v>
      </c>
      <c r="B214" t="str">
        <f t="shared" si="13"/>
        <v>Customer_0213</v>
      </c>
      <c r="C214" t="str">
        <f t="shared" ca="1" si="14"/>
        <v>Nairobi</v>
      </c>
      <c r="D214" s="34">
        <f t="shared" ca="1" si="15"/>
        <v>304000</v>
      </c>
      <c r="E214">
        <v>654</v>
      </c>
    </row>
    <row r="215" spans="1:5" x14ac:dyDescent="0.35">
      <c r="A215" t="str">
        <f t="shared" si="12"/>
        <v>C0214</v>
      </c>
      <c r="B215" t="str">
        <f t="shared" si="13"/>
        <v>Customer_0214</v>
      </c>
      <c r="C215" t="str">
        <f t="shared" ca="1" si="14"/>
        <v>Central</v>
      </c>
      <c r="D215" s="34">
        <f t="shared" ca="1" si="15"/>
        <v>560000</v>
      </c>
      <c r="E215">
        <v>559</v>
      </c>
    </row>
    <row r="216" spans="1:5" x14ac:dyDescent="0.35">
      <c r="A216" t="str">
        <f t="shared" si="12"/>
        <v>C0215</v>
      </c>
      <c r="B216" t="str">
        <f t="shared" si="13"/>
        <v>Customer_0215</v>
      </c>
      <c r="C216" t="str">
        <f t="shared" ca="1" si="14"/>
        <v>Rift Valley</v>
      </c>
      <c r="D216" s="34">
        <f t="shared" ca="1" si="15"/>
        <v>697000</v>
      </c>
      <c r="E216">
        <v>839</v>
      </c>
    </row>
    <row r="217" spans="1:5" x14ac:dyDescent="0.35">
      <c r="A217" t="str">
        <f t="shared" si="12"/>
        <v>C0216</v>
      </c>
      <c r="B217" t="str">
        <f t="shared" si="13"/>
        <v>Customer_0216</v>
      </c>
      <c r="C217" t="str">
        <f t="shared" ca="1" si="14"/>
        <v>Nairobi</v>
      </c>
      <c r="D217" s="34">
        <f t="shared" ca="1" si="15"/>
        <v>366000</v>
      </c>
      <c r="E217">
        <v>457</v>
      </c>
    </row>
    <row r="218" spans="1:5" x14ac:dyDescent="0.35">
      <c r="A218" t="str">
        <f t="shared" si="12"/>
        <v>C0217</v>
      </c>
      <c r="B218" t="str">
        <f t="shared" si="13"/>
        <v>Customer_0217</v>
      </c>
      <c r="C218" t="str">
        <f t="shared" ca="1" si="14"/>
        <v>Nairobi</v>
      </c>
      <c r="D218" s="34">
        <f t="shared" ca="1" si="15"/>
        <v>247000</v>
      </c>
      <c r="E218">
        <v>841</v>
      </c>
    </row>
    <row r="219" spans="1:5" x14ac:dyDescent="0.35">
      <c r="A219" t="str">
        <f t="shared" si="12"/>
        <v>C0218</v>
      </c>
      <c r="B219" t="str">
        <f t="shared" si="13"/>
        <v>Customer_0218</v>
      </c>
      <c r="C219" t="str">
        <f t="shared" ca="1" si="14"/>
        <v>Coast</v>
      </c>
      <c r="D219" s="34">
        <f t="shared" ca="1" si="15"/>
        <v>161000</v>
      </c>
      <c r="E219">
        <v>304</v>
      </c>
    </row>
    <row r="220" spans="1:5" x14ac:dyDescent="0.35">
      <c r="A220" t="str">
        <f t="shared" si="12"/>
        <v>C0219</v>
      </c>
      <c r="B220" t="str">
        <f t="shared" si="13"/>
        <v>Customer_0219</v>
      </c>
      <c r="C220" t="str">
        <f t="shared" ca="1" si="14"/>
        <v>Central</v>
      </c>
      <c r="D220" s="34">
        <f t="shared" ca="1" si="15"/>
        <v>86000</v>
      </c>
      <c r="E220">
        <v>402</v>
      </c>
    </row>
    <row r="221" spans="1:5" x14ac:dyDescent="0.35">
      <c r="A221" t="str">
        <f t="shared" si="12"/>
        <v>C0220</v>
      </c>
      <c r="B221" t="str">
        <f t="shared" si="13"/>
        <v>Customer_0220</v>
      </c>
      <c r="C221" t="str">
        <f t="shared" ca="1" si="14"/>
        <v>Rift Valley</v>
      </c>
      <c r="D221" s="34">
        <f t="shared" ca="1" si="15"/>
        <v>75000</v>
      </c>
      <c r="E221">
        <v>457</v>
      </c>
    </row>
    <row r="222" spans="1:5" x14ac:dyDescent="0.35">
      <c r="A222" t="str">
        <f t="shared" si="12"/>
        <v>C0221</v>
      </c>
      <c r="B222" t="str">
        <f t="shared" si="13"/>
        <v>Customer_0221</v>
      </c>
      <c r="C222" t="str">
        <f t="shared" ca="1" si="14"/>
        <v>Coast</v>
      </c>
      <c r="D222" s="34">
        <f t="shared" ca="1" si="15"/>
        <v>705000</v>
      </c>
      <c r="E222">
        <v>522</v>
      </c>
    </row>
    <row r="223" spans="1:5" x14ac:dyDescent="0.35">
      <c r="A223" t="str">
        <f t="shared" si="12"/>
        <v>C0222</v>
      </c>
      <c r="B223" t="str">
        <f t="shared" si="13"/>
        <v>Customer_0222</v>
      </c>
      <c r="C223" t="str">
        <f t="shared" ca="1" si="14"/>
        <v>Rift Valley</v>
      </c>
      <c r="D223" s="34">
        <f t="shared" ca="1" si="15"/>
        <v>198000</v>
      </c>
      <c r="E223">
        <v>797</v>
      </c>
    </row>
    <row r="224" spans="1:5" x14ac:dyDescent="0.35">
      <c r="A224" t="str">
        <f t="shared" si="12"/>
        <v>C0223</v>
      </c>
      <c r="B224" t="str">
        <f t="shared" si="13"/>
        <v>Customer_0223</v>
      </c>
      <c r="C224" t="str">
        <f t="shared" ca="1" si="14"/>
        <v>Nairobi</v>
      </c>
      <c r="D224" s="34">
        <f t="shared" ca="1" si="15"/>
        <v>778000</v>
      </c>
      <c r="E224">
        <v>731</v>
      </c>
    </row>
    <row r="225" spans="1:5" x14ac:dyDescent="0.35">
      <c r="A225" t="str">
        <f t="shared" si="12"/>
        <v>C0224</v>
      </c>
      <c r="B225" t="str">
        <f t="shared" si="13"/>
        <v>Customer_0224</v>
      </c>
      <c r="C225" t="str">
        <f t="shared" ca="1" si="14"/>
        <v>Western</v>
      </c>
      <c r="D225" s="34">
        <f t="shared" ca="1" si="15"/>
        <v>213000</v>
      </c>
      <c r="E225">
        <v>487</v>
      </c>
    </row>
    <row r="226" spans="1:5" x14ac:dyDescent="0.35">
      <c r="A226" t="str">
        <f t="shared" si="12"/>
        <v>C0225</v>
      </c>
      <c r="B226" t="str">
        <f t="shared" si="13"/>
        <v>Customer_0225</v>
      </c>
      <c r="C226" t="str">
        <f t="shared" ca="1" si="14"/>
        <v>Central</v>
      </c>
      <c r="D226" s="34">
        <f t="shared" ca="1" si="15"/>
        <v>624000</v>
      </c>
      <c r="E226">
        <v>708</v>
      </c>
    </row>
    <row r="227" spans="1:5" x14ac:dyDescent="0.35">
      <c r="A227" t="str">
        <f t="shared" si="12"/>
        <v>C0226</v>
      </c>
      <c r="B227" t="str">
        <f t="shared" si="13"/>
        <v>Customer_0226</v>
      </c>
      <c r="C227" t="str">
        <f t="shared" ca="1" si="14"/>
        <v>Coast</v>
      </c>
      <c r="D227" s="34">
        <f t="shared" ca="1" si="15"/>
        <v>151000</v>
      </c>
      <c r="E227">
        <v>554</v>
      </c>
    </row>
    <row r="228" spans="1:5" x14ac:dyDescent="0.35">
      <c r="A228" t="str">
        <f t="shared" si="12"/>
        <v>C0227</v>
      </c>
      <c r="B228" t="str">
        <f t="shared" si="13"/>
        <v>Customer_0227</v>
      </c>
      <c r="C228" t="str">
        <f t="shared" ca="1" si="14"/>
        <v>Coast</v>
      </c>
      <c r="D228" s="34">
        <f t="shared" ca="1" si="15"/>
        <v>446000</v>
      </c>
      <c r="E228">
        <v>660</v>
      </c>
    </row>
    <row r="229" spans="1:5" x14ac:dyDescent="0.35">
      <c r="A229" t="str">
        <f t="shared" si="12"/>
        <v>C0228</v>
      </c>
      <c r="B229" t="str">
        <f t="shared" si="13"/>
        <v>Customer_0228</v>
      </c>
      <c r="C229" t="str">
        <f t="shared" ca="1" si="14"/>
        <v>Nairobi</v>
      </c>
      <c r="D229" s="34">
        <f t="shared" ca="1" si="15"/>
        <v>329000</v>
      </c>
      <c r="E229">
        <v>487</v>
      </c>
    </row>
    <row r="230" spans="1:5" x14ac:dyDescent="0.35">
      <c r="A230" t="str">
        <f t="shared" si="12"/>
        <v>C0229</v>
      </c>
      <c r="B230" t="str">
        <f t="shared" si="13"/>
        <v>Customer_0229</v>
      </c>
      <c r="C230" t="str">
        <f t="shared" ca="1" si="14"/>
        <v>Nairobi</v>
      </c>
      <c r="D230" s="34">
        <f t="shared" ca="1" si="15"/>
        <v>386000</v>
      </c>
      <c r="E230">
        <v>551</v>
      </c>
    </row>
    <row r="231" spans="1:5" x14ac:dyDescent="0.35">
      <c r="A231" t="str">
        <f t="shared" si="12"/>
        <v>C0230</v>
      </c>
      <c r="B231" t="str">
        <f t="shared" si="13"/>
        <v>Customer_0230</v>
      </c>
      <c r="C231" t="str">
        <f t="shared" ca="1" si="14"/>
        <v>Nairobi</v>
      </c>
      <c r="D231" s="34">
        <f t="shared" ca="1" si="15"/>
        <v>671000</v>
      </c>
      <c r="E231">
        <v>618</v>
      </c>
    </row>
    <row r="232" spans="1:5" x14ac:dyDescent="0.35">
      <c r="A232" t="str">
        <f t="shared" si="12"/>
        <v>C0231</v>
      </c>
      <c r="B232" t="str">
        <f t="shared" si="13"/>
        <v>Customer_0231</v>
      </c>
      <c r="C232" t="str">
        <f t="shared" ca="1" si="14"/>
        <v>Western</v>
      </c>
      <c r="D232" s="34">
        <f t="shared" ca="1" si="15"/>
        <v>453000</v>
      </c>
      <c r="E232">
        <v>535</v>
      </c>
    </row>
    <row r="233" spans="1:5" x14ac:dyDescent="0.35">
      <c r="A233" t="str">
        <f t="shared" si="12"/>
        <v>C0232</v>
      </c>
      <c r="B233" t="str">
        <f t="shared" si="13"/>
        <v>Customer_0232</v>
      </c>
      <c r="C233" t="str">
        <f t="shared" ca="1" si="14"/>
        <v>Central</v>
      </c>
      <c r="D233" s="34">
        <f t="shared" ca="1" si="15"/>
        <v>233000</v>
      </c>
      <c r="E233">
        <v>733</v>
      </c>
    </row>
    <row r="234" spans="1:5" x14ac:dyDescent="0.35">
      <c r="A234" t="str">
        <f t="shared" si="12"/>
        <v>C0233</v>
      </c>
      <c r="B234" t="str">
        <f t="shared" si="13"/>
        <v>Customer_0233</v>
      </c>
      <c r="C234" t="str">
        <f t="shared" ca="1" si="14"/>
        <v>Rift Valley</v>
      </c>
      <c r="D234" s="34">
        <f t="shared" ca="1" si="15"/>
        <v>344000</v>
      </c>
      <c r="E234">
        <v>805</v>
      </c>
    </row>
    <row r="235" spans="1:5" x14ac:dyDescent="0.35">
      <c r="A235" t="str">
        <f t="shared" si="12"/>
        <v>C0234</v>
      </c>
      <c r="B235" t="str">
        <f t="shared" si="13"/>
        <v>Customer_0234</v>
      </c>
      <c r="C235" t="str">
        <f t="shared" ca="1" si="14"/>
        <v>Coast</v>
      </c>
      <c r="D235" s="34">
        <f t="shared" ca="1" si="15"/>
        <v>135000</v>
      </c>
      <c r="E235">
        <v>820</v>
      </c>
    </row>
    <row r="236" spans="1:5" x14ac:dyDescent="0.35">
      <c r="A236" t="str">
        <f t="shared" si="12"/>
        <v>C0235</v>
      </c>
      <c r="B236" t="str">
        <f t="shared" si="13"/>
        <v>Customer_0235</v>
      </c>
      <c r="C236" t="str">
        <f t="shared" ca="1" si="14"/>
        <v>Western</v>
      </c>
      <c r="D236" s="34">
        <f t="shared" ca="1" si="15"/>
        <v>433000</v>
      </c>
      <c r="E236">
        <v>325</v>
      </c>
    </row>
    <row r="237" spans="1:5" x14ac:dyDescent="0.35">
      <c r="A237" t="str">
        <f t="shared" si="12"/>
        <v>C0236</v>
      </c>
      <c r="B237" t="str">
        <f t="shared" si="13"/>
        <v>Customer_0236</v>
      </c>
      <c r="C237" t="str">
        <f t="shared" ca="1" si="14"/>
        <v>Coast</v>
      </c>
      <c r="D237" s="34">
        <f t="shared" ca="1" si="15"/>
        <v>668000</v>
      </c>
      <c r="E237">
        <v>325</v>
      </c>
    </row>
    <row r="238" spans="1:5" x14ac:dyDescent="0.35">
      <c r="A238" t="str">
        <f t="shared" si="12"/>
        <v>C0237</v>
      </c>
      <c r="B238" t="str">
        <f t="shared" si="13"/>
        <v>Customer_0237</v>
      </c>
      <c r="C238" t="str">
        <f t="shared" ca="1" si="14"/>
        <v>Rift Valley</v>
      </c>
      <c r="D238" s="34">
        <f t="shared" ca="1" si="15"/>
        <v>513000</v>
      </c>
      <c r="E238">
        <v>821</v>
      </c>
    </row>
    <row r="239" spans="1:5" x14ac:dyDescent="0.35">
      <c r="A239" t="str">
        <f t="shared" si="12"/>
        <v>C0238</v>
      </c>
      <c r="B239" t="str">
        <f t="shared" si="13"/>
        <v>Customer_0238</v>
      </c>
      <c r="C239" t="str">
        <f t="shared" ca="1" si="14"/>
        <v>Coast</v>
      </c>
      <c r="D239" s="34">
        <f t="shared" ca="1" si="15"/>
        <v>744000</v>
      </c>
      <c r="E239">
        <v>389</v>
      </c>
    </row>
    <row r="240" spans="1:5" x14ac:dyDescent="0.35">
      <c r="A240" t="str">
        <f t="shared" si="12"/>
        <v>C0239</v>
      </c>
      <c r="B240" t="str">
        <f t="shared" si="13"/>
        <v>Customer_0239</v>
      </c>
      <c r="C240" t="str">
        <f t="shared" ca="1" si="14"/>
        <v>Rift Valley</v>
      </c>
      <c r="D240" s="34">
        <f t="shared" ca="1" si="15"/>
        <v>607000</v>
      </c>
      <c r="E240">
        <v>555</v>
      </c>
    </row>
    <row r="241" spans="1:5" x14ac:dyDescent="0.35">
      <c r="A241" t="str">
        <f t="shared" si="12"/>
        <v>C0240</v>
      </c>
      <c r="B241" t="str">
        <f t="shared" si="13"/>
        <v>Customer_0240</v>
      </c>
      <c r="C241" t="str">
        <f t="shared" ca="1" si="14"/>
        <v>Coast</v>
      </c>
      <c r="D241" s="34">
        <f t="shared" ca="1" si="15"/>
        <v>174000</v>
      </c>
      <c r="E241">
        <v>764</v>
      </c>
    </row>
    <row r="242" spans="1:5" x14ac:dyDescent="0.35">
      <c r="A242" t="str">
        <f t="shared" si="12"/>
        <v>C0241</v>
      </c>
      <c r="B242" t="str">
        <f t="shared" si="13"/>
        <v>Customer_0241</v>
      </c>
      <c r="C242" t="str">
        <f t="shared" ca="1" si="14"/>
        <v>Western</v>
      </c>
      <c r="D242" s="34">
        <f t="shared" ca="1" si="15"/>
        <v>322000</v>
      </c>
      <c r="E242">
        <v>574</v>
      </c>
    </row>
    <row r="243" spans="1:5" x14ac:dyDescent="0.35">
      <c r="A243" t="str">
        <f t="shared" si="12"/>
        <v>C0242</v>
      </c>
      <c r="B243" t="str">
        <f t="shared" si="13"/>
        <v>Customer_0242</v>
      </c>
      <c r="C243" t="str">
        <f t="shared" ca="1" si="14"/>
        <v>Rift Valley</v>
      </c>
      <c r="D243" s="34">
        <f t="shared" ca="1" si="15"/>
        <v>403000</v>
      </c>
      <c r="E243">
        <v>463</v>
      </c>
    </row>
    <row r="244" spans="1:5" x14ac:dyDescent="0.35">
      <c r="A244" t="str">
        <f t="shared" si="12"/>
        <v>C0243</v>
      </c>
      <c r="B244" t="str">
        <f t="shared" si="13"/>
        <v>Customer_0243</v>
      </c>
      <c r="C244" t="str">
        <f t="shared" ca="1" si="14"/>
        <v>Coast</v>
      </c>
      <c r="D244" s="34">
        <f t="shared" ca="1" si="15"/>
        <v>782000</v>
      </c>
      <c r="E244">
        <v>725</v>
      </c>
    </row>
    <row r="245" spans="1:5" x14ac:dyDescent="0.35">
      <c r="A245" t="str">
        <f t="shared" si="12"/>
        <v>C0244</v>
      </c>
      <c r="B245" t="str">
        <f t="shared" si="13"/>
        <v>Customer_0244</v>
      </c>
      <c r="C245" t="str">
        <f t="shared" ca="1" si="14"/>
        <v>Western</v>
      </c>
      <c r="D245" s="34">
        <f t="shared" ca="1" si="15"/>
        <v>481000</v>
      </c>
      <c r="E245">
        <v>671</v>
      </c>
    </row>
    <row r="246" spans="1:5" x14ac:dyDescent="0.35">
      <c r="A246" t="str">
        <f t="shared" si="12"/>
        <v>C0245</v>
      </c>
      <c r="B246" t="str">
        <f t="shared" si="13"/>
        <v>Customer_0245</v>
      </c>
      <c r="C246" t="str">
        <f t="shared" ca="1" si="14"/>
        <v>Western</v>
      </c>
      <c r="D246" s="34">
        <f t="shared" ca="1" si="15"/>
        <v>444000</v>
      </c>
      <c r="E246">
        <v>366</v>
      </c>
    </row>
    <row r="247" spans="1:5" x14ac:dyDescent="0.35">
      <c r="A247" t="str">
        <f t="shared" si="12"/>
        <v>C0246</v>
      </c>
      <c r="B247" t="str">
        <f t="shared" si="13"/>
        <v>Customer_0246</v>
      </c>
      <c r="C247" t="str">
        <f t="shared" ca="1" si="14"/>
        <v>Western</v>
      </c>
      <c r="D247" s="34">
        <f t="shared" ca="1" si="15"/>
        <v>238000</v>
      </c>
      <c r="E247">
        <v>404</v>
      </c>
    </row>
    <row r="248" spans="1:5" x14ac:dyDescent="0.35">
      <c r="A248" t="str">
        <f t="shared" si="12"/>
        <v>C0247</v>
      </c>
      <c r="B248" t="str">
        <f t="shared" si="13"/>
        <v>Customer_0247</v>
      </c>
      <c r="C248" t="str">
        <f t="shared" ca="1" si="14"/>
        <v>Nairobi</v>
      </c>
      <c r="D248" s="34">
        <f t="shared" ca="1" si="15"/>
        <v>675000</v>
      </c>
      <c r="E248">
        <v>348</v>
      </c>
    </row>
    <row r="249" spans="1:5" x14ac:dyDescent="0.35">
      <c r="A249" t="str">
        <f t="shared" si="12"/>
        <v>C0248</v>
      </c>
      <c r="B249" t="str">
        <f t="shared" si="13"/>
        <v>Customer_0248</v>
      </c>
      <c r="C249" t="str">
        <f t="shared" ca="1" si="14"/>
        <v>Nairobi</v>
      </c>
      <c r="D249" s="34">
        <f t="shared" ca="1" si="15"/>
        <v>564000</v>
      </c>
      <c r="E249">
        <v>313</v>
      </c>
    </row>
    <row r="250" spans="1:5" x14ac:dyDescent="0.35">
      <c r="A250" t="str">
        <f t="shared" si="12"/>
        <v>C0249</v>
      </c>
      <c r="B250" t="str">
        <f t="shared" si="13"/>
        <v>Customer_0249</v>
      </c>
      <c r="C250" t="str">
        <f t="shared" ca="1" si="14"/>
        <v>Coast</v>
      </c>
      <c r="D250" s="34">
        <f t="shared" ca="1" si="15"/>
        <v>746000</v>
      </c>
      <c r="E250">
        <v>424</v>
      </c>
    </row>
    <row r="251" spans="1:5" x14ac:dyDescent="0.35">
      <c r="A251" t="str">
        <f t="shared" si="12"/>
        <v>C0250</v>
      </c>
      <c r="B251" t="str">
        <f t="shared" si="13"/>
        <v>Customer_0250</v>
      </c>
      <c r="C251" t="str">
        <f t="shared" ca="1" si="14"/>
        <v>Coast</v>
      </c>
      <c r="D251" s="34">
        <f t="shared" ca="1" si="15"/>
        <v>83000</v>
      </c>
      <c r="E251">
        <v>631</v>
      </c>
    </row>
    <row r="252" spans="1:5" x14ac:dyDescent="0.35">
      <c r="A252" t="str">
        <f t="shared" si="12"/>
        <v>C0251</v>
      </c>
      <c r="B252" t="str">
        <f t="shared" si="13"/>
        <v>Customer_0251</v>
      </c>
      <c r="C252" t="str">
        <f t="shared" ca="1" si="14"/>
        <v>Rift Valley</v>
      </c>
      <c r="D252" s="34">
        <f t="shared" ca="1" si="15"/>
        <v>258000</v>
      </c>
      <c r="E252">
        <v>322</v>
      </c>
    </row>
    <row r="253" spans="1:5" x14ac:dyDescent="0.35">
      <c r="A253" t="str">
        <f t="shared" si="12"/>
        <v>C0252</v>
      </c>
      <c r="B253" t="str">
        <f t="shared" si="13"/>
        <v>Customer_0252</v>
      </c>
      <c r="C253" t="str">
        <f t="shared" ca="1" si="14"/>
        <v>Rift Valley</v>
      </c>
      <c r="D253" s="34">
        <f t="shared" ca="1" si="15"/>
        <v>438000</v>
      </c>
      <c r="E253">
        <v>776</v>
      </c>
    </row>
    <row r="254" spans="1:5" x14ac:dyDescent="0.35">
      <c r="A254" t="str">
        <f t="shared" si="12"/>
        <v>C0253</v>
      </c>
      <c r="B254" t="str">
        <f t="shared" si="13"/>
        <v>Customer_0253</v>
      </c>
      <c r="C254" t="str">
        <f t="shared" ca="1" si="14"/>
        <v>Central</v>
      </c>
      <c r="D254" s="34">
        <f t="shared" ca="1" si="15"/>
        <v>521000</v>
      </c>
      <c r="E254">
        <v>628</v>
      </c>
    </row>
    <row r="255" spans="1:5" x14ac:dyDescent="0.35">
      <c r="A255" t="str">
        <f t="shared" si="12"/>
        <v>C0254</v>
      </c>
      <c r="B255" t="str">
        <f t="shared" si="13"/>
        <v>Customer_0254</v>
      </c>
      <c r="C255" t="str">
        <f t="shared" ca="1" si="14"/>
        <v>Coast</v>
      </c>
      <c r="D255" s="34">
        <f t="shared" ca="1" si="15"/>
        <v>238000</v>
      </c>
      <c r="E255">
        <v>850</v>
      </c>
    </row>
    <row r="256" spans="1:5" x14ac:dyDescent="0.35">
      <c r="A256" t="str">
        <f t="shared" si="12"/>
        <v>C0255</v>
      </c>
      <c r="B256" t="str">
        <f t="shared" si="13"/>
        <v>Customer_0255</v>
      </c>
      <c r="C256" t="str">
        <f t="shared" ca="1" si="14"/>
        <v>Nairobi</v>
      </c>
      <c r="D256" s="34">
        <f t="shared" ca="1" si="15"/>
        <v>359000</v>
      </c>
      <c r="E256">
        <v>682</v>
      </c>
    </row>
    <row r="257" spans="1:5" x14ac:dyDescent="0.35">
      <c r="A257" t="str">
        <f t="shared" si="12"/>
        <v>C0256</v>
      </c>
      <c r="B257" t="str">
        <f t="shared" si="13"/>
        <v>Customer_0256</v>
      </c>
      <c r="C257" t="str">
        <f t="shared" ca="1" si="14"/>
        <v>Rift Valley</v>
      </c>
      <c r="D257" s="34">
        <f t="shared" ca="1" si="15"/>
        <v>476000</v>
      </c>
      <c r="E257">
        <v>541</v>
      </c>
    </row>
    <row r="258" spans="1:5" x14ac:dyDescent="0.35">
      <c r="A258" t="str">
        <f t="shared" si="12"/>
        <v>C0257</v>
      </c>
      <c r="B258" t="str">
        <f t="shared" si="13"/>
        <v>Customer_0257</v>
      </c>
      <c r="C258" t="str">
        <f t="shared" ca="1" si="14"/>
        <v>Western</v>
      </c>
      <c r="D258" s="34">
        <f t="shared" ca="1" si="15"/>
        <v>314000</v>
      </c>
      <c r="E258">
        <v>724</v>
      </c>
    </row>
    <row r="259" spans="1:5" x14ac:dyDescent="0.35">
      <c r="A259" t="str">
        <f t="shared" ref="A259:A322" si="16">"C"&amp;TEXT(ROW()-1,"0000")</f>
        <v>C0258</v>
      </c>
      <c r="B259" t="str">
        <f t="shared" ref="B259:B322" si="17">"Customer_"&amp;TEXT(ROW()-1,"0000")</f>
        <v>Customer_0258</v>
      </c>
      <c r="C259" t="str">
        <f t="shared" ref="C259:C322" ca="1" si="18">CHOOSE(RANDBETWEEN(1,5),
"Nairobi",
"Central",
"Coast",
"Rift Valley",
"Western")</f>
        <v>Central</v>
      </c>
      <c r="D259" s="34">
        <f t="shared" ref="D259:D322" ca="1" si="19">ROUND(RANDBETWEEN(50000,800000),-3)</f>
        <v>478000</v>
      </c>
      <c r="E259">
        <v>807</v>
      </c>
    </row>
    <row r="260" spans="1:5" x14ac:dyDescent="0.35">
      <c r="A260" t="str">
        <f t="shared" si="16"/>
        <v>C0259</v>
      </c>
      <c r="B260" t="str">
        <f t="shared" si="17"/>
        <v>Customer_0259</v>
      </c>
      <c r="C260" t="str">
        <f t="shared" ca="1" si="18"/>
        <v>Coast</v>
      </c>
      <c r="D260" s="34">
        <f t="shared" ca="1" si="19"/>
        <v>233000</v>
      </c>
      <c r="E260">
        <v>734</v>
      </c>
    </row>
    <row r="261" spans="1:5" x14ac:dyDescent="0.35">
      <c r="A261" t="str">
        <f t="shared" si="16"/>
        <v>C0260</v>
      </c>
      <c r="B261" t="str">
        <f t="shared" si="17"/>
        <v>Customer_0260</v>
      </c>
      <c r="C261" t="str">
        <f t="shared" ca="1" si="18"/>
        <v>Nairobi</v>
      </c>
      <c r="D261" s="34">
        <f t="shared" ca="1" si="19"/>
        <v>67000</v>
      </c>
      <c r="E261">
        <v>787</v>
      </c>
    </row>
    <row r="262" spans="1:5" x14ac:dyDescent="0.35">
      <c r="A262" t="str">
        <f t="shared" si="16"/>
        <v>C0261</v>
      </c>
      <c r="B262" t="str">
        <f t="shared" si="17"/>
        <v>Customer_0261</v>
      </c>
      <c r="C262" t="str">
        <f t="shared" ca="1" si="18"/>
        <v>Western</v>
      </c>
      <c r="D262" s="34">
        <f t="shared" ca="1" si="19"/>
        <v>194000</v>
      </c>
      <c r="E262">
        <v>844</v>
      </c>
    </row>
    <row r="263" spans="1:5" x14ac:dyDescent="0.35">
      <c r="A263" t="str">
        <f t="shared" si="16"/>
        <v>C0262</v>
      </c>
      <c r="B263" t="str">
        <f t="shared" si="17"/>
        <v>Customer_0262</v>
      </c>
      <c r="C263" t="str">
        <f t="shared" ca="1" si="18"/>
        <v>Rift Valley</v>
      </c>
      <c r="D263" s="34">
        <f t="shared" ca="1" si="19"/>
        <v>339000</v>
      </c>
      <c r="E263">
        <v>744</v>
      </c>
    </row>
    <row r="264" spans="1:5" x14ac:dyDescent="0.35">
      <c r="A264" t="str">
        <f t="shared" si="16"/>
        <v>C0263</v>
      </c>
      <c r="B264" t="str">
        <f t="shared" si="17"/>
        <v>Customer_0263</v>
      </c>
      <c r="C264" t="str">
        <f t="shared" ca="1" si="18"/>
        <v>Nairobi</v>
      </c>
      <c r="D264" s="34">
        <f t="shared" ca="1" si="19"/>
        <v>355000</v>
      </c>
      <c r="E264">
        <v>795</v>
      </c>
    </row>
    <row r="265" spans="1:5" x14ac:dyDescent="0.35">
      <c r="A265" t="str">
        <f t="shared" si="16"/>
        <v>C0264</v>
      </c>
      <c r="B265" t="str">
        <f t="shared" si="17"/>
        <v>Customer_0264</v>
      </c>
      <c r="C265" t="str">
        <f t="shared" ca="1" si="18"/>
        <v>Central</v>
      </c>
      <c r="D265" s="34">
        <f t="shared" ca="1" si="19"/>
        <v>369000</v>
      </c>
      <c r="E265">
        <v>632</v>
      </c>
    </row>
    <row r="266" spans="1:5" x14ac:dyDescent="0.35">
      <c r="A266" t="str">
        <f t="shared" si="16"/>
        <v>C0265</v>
      </c>
      <c r="B266" t="str">
        <f t="shared" si="17"/>
        <v>Customer_0265</v>
      </c>
      <c r="C266" t="str">
        <f t="shared" ca="1" si="18"/>
        <v>Coast</v>
      </c>
      <c r="D266" s="34">
        <f t="shared" ca="1" si="19"/>
        <v>522000</v>
      </c>
      <c r="E266">
        <v>834</v>
      </c>
    </row>
    <row r="267" spans="1:5" x14ac:dyDescent="0.35">
      <c r="A267" t="str">
        <f t="shared" si="16"/>
        <v>C0266</v>
      </c>
      <c r="B267" t="str">
        <f t="shared" si="17"/>
        <v>Customer_0266</v>
      </c>
      <c r="C267" t="str">
        <f t="shared" ca="1" si="18"/>
        <v>Nairobi</v>
      </c>
      <c r="D267" s="34">
        <f t="shared" ca="1" si="19"/>
        <v>462000</v>
      </c>
      <c r="E267">
        <v>426</v>
      </c>
    </row>
    <row r="268" spans="1:5" x14ac:dyDescent="0.35">
      <c r="A268" t="str">
        <f t="shared" si="16"/>
        <v>C0267</v>
      </c>
      <c r="B268" t="str">
        <f t="shared" si="17"/>
        <v>Customer_0267</v>
      </c>
      <c r="C268" t="str">
        <f t="shared" ca="1" si="18"/>
        <v>Central</v>
      </c>
      <c r="D268" s="34">
        <f t="shared" ca="1" si="19"/>
        <v>615000</v>
      </c>
      <c r="E268">
        <v>376</v>
      </c>
    </row>
    <row r="269" spans="1:5" x14ac:dyDescent="0.35">
      <c r="A269" t="str">
        <f t="shared" si="16"/>
        <v>C0268</v>
      </c>
      <c r="B269" t="str">
        <f t="shared" si="17"/>
        <v>Customer_0268</v>
      </c>
      <c r="C269" t="str">
        <f t="shared" ca="1" si="18"/>
        <v>Nairobi</v>
      </c>
      <c r="D269" s="34">
        <f t="shared" ca="1" si="19"/>
        <v>224000</v>
      </c>
      <c r="E269">
        <v>445</v>
      </c>
    </row>
    <row r="270" spans="1:5" x14ac:dyDescent="0.35">
      <c r="A270" t="str">
        <f t="shared" si="16"/>
        <v>C0269</v>
      </c>
      <c r="B270" t="str">
        <f t="shared" si="17"/>
        <v>Customer_0269</v>
      </c>
      <c r="C270" t="str">
        <f t="shared" ca="1" si="18"/>
        <v>Coast</v>
      </c>
      <c r="D270" s="34">
        <f t="shared" ca="1" si="19"/>
        <v>762000</v>
      </c>
      <c r="E270">
        <v>844</v>
      </c>
    </row>
    <row r="271" spans="1:5" x14ac:dyDescent="0.35">
      <c r="A271" t="str">
        <f t="shared" si="16"/>
        <v>C0270</v>
      </c>
      <c r="B271" t="str">
        <f t="shared" si="17"/>
        <v>Customer_0270</v>
      </c>
      <c r="C271" t="str">
        <f t="shared" ca="1" si="18"/>
        <v>Rift Valley</v>
      </c>
      <c r="D271" s="34">
        <f t="shared" ca="1" si="19"/>
        <v>375000</v>
      </c>
      <c r="E271">
        <v>639</v>
      </c>
    </row>
    <row r="272" spans="1:5" x14ac:dyDescent="0.35">
      <c r="A272" t="str">
        <f t="shared" si="16"/>
        <v>C0271</v>
      </c>
      <c r="B272" t="str">
        <f t="shared" si="17"/>
        <v>Customer_0271</v>
      </c>
      <c r="C272" t="str">
        <f t="shared" ca="1" si="18"/>
        <v>Western</v>
      </c>
      <c r="D272" s="34">
        <f t="shared" ca="1" si="19"/>
        <v>92000</v>
      </c>
      <c r="E272">
        <v>654</v>
      </c>
    </row>
    <row r="273" spans="1:5" x14ac:dyDescent="0.35">
      <c r="A273" t="str">
        <f t="shared" si="16"/>
        <v>C0272</v>
      </c>
      <c r="B273" t="str">
        <f t="shared" si="17"/>
        <v>Customer_0272</v>
      </c>
      <c r="C273" t="str">
        <f t="shared" ca="1" si="18"/>
        <v>Western</v>
      </c>
      <c r="D273" s="34">
        <f t="shared" ca="1" si="19"/>
        <v>695000</v>
      </c>
      <c r="E273">
        <v>621</v>
      </c>
    </row>
    <row r="274" spans="1:5" x14ac:dyDescent="0.35">
      <c r="A274" t="str">
        <f t="shared" si="16"/>
        <v>C0273</v>
      </c>
      <c r="B274" t="str">
        <f t="shared" si="17"/>
        <v>Customer_0273</v>
      </c>
      <c r="C274" t="str">
        <f t="shared" ca="1" si="18"/>
        <v>Coast</v>
      </c>
      <c r="D274" s="34">
        <f t="shared" ca="1" si="19"/>
        <v>341000</v>
      </c>
      <c r="E274">
        <v>586</v>
      </c>
    </row>
    <row r="275" spans="1:5" x14ac:dyDescent="0.35">
      <c r="A275" t="str">
        <f t="shared" si="16"/>
        <v>C0274</v>
      </c>
      <c r="B275" t="str">
        <f t="shared" si="17"/>
        <v>Customer_0274</v>
      </c>
      <c r="C275" t="str">
        <f t="shared" ca="1" si="18"/>
        <v>Nairobi</v>
      </c>
      <c r="D275" s="34">
        <f t="shared" ca="1" si="19"/>
        <v>562000</v>
      </c>
      <c r="E275">
        <v>547</v>
      </c>
    </row>
    <row r="276" spans="1:5" x14ac:dyDescent="0.35">
      <c r="A276" t="str">
        <f t="shared" si="16"/>
        <v>C0275</v>
      </c>
      <c r="B276" t="str">
        <f t="shared" si="17"/>
        <v>Customer_0275</v>
      </c>
      <c r="C276" t="str">
        <f t="shared" ca="1" si="18"/>
        <v>Rift Valley</v>
      </c>
      <c r="D276" s="34">
        <f t="shared" ca="1" si="19"/>
        <v>255000</v>
      </c>
      <c r="E276">
        <v>491</v>
      </c>
    </row>
    <row r="277" spans="1:5" x14ac:dyDescent="0.35">
      <c r="A277" t="str">
        <f t="shared" si="16"/>
        <v>C0276</v>
      </c>
      <c r="B277" t="str">
        <f t="shared" si="17"/>
        <v>Customer_0276</v>
      </c>
      <c r="C277" t="str">
        <f t="shared" ca="1" si="18"/>
        <v>Central</v>
      </c>
      <c r="D277" s="34">
        <f t="shared" ca="1" si="19"/>
        <v>797000</v>
      </c>
      <c r="E277">
        <v>486</v>
      </c>
    </row>
    <row r="278" spans="1:5" x14ac:dyDescent="0.35">
      <c r="A278" t="str">
        <f t="shared" si="16"/>
        <v>C0277</v>
      </c>
      <c r="B278" t="str">
        <f t="shared" si="17"/>
        <v>Customer_0277</v>
      </c>
      <c r="C278" t="str">
        <f t="shared" ca="1" si="18"/>
        <v>Central</v>
      </c>
      <c r="D278" s="34">
        <f t="shared" ca="1" si="19"/>
        <v>705000</v>
      </c>
      <c r="E278">
        <v>557</v>
      </c>
    </row>
    <row r="279" spans="1:5" x14ac:dyDescent="0.35">
      <c r="A279" t="str">
        <f t="shared" si="16"/>
        <v>C0278</v>
      </c>
      <c r="B279" t="str">
        <f t="shared" si="17"/>
        <v>Customer_0278</v>
      </c>
      <c r="C279" t="str">
        <f t="shared" ca="1" si="18"/>
        <v>Coast</v>
      </c>
      <c r="D279" s="34">
        <f t="shared" ca="1" si="19"/>
        <v>165000</v>
      </c>
      <c r="E279">
        <v>666</v>
      </c>
    </row>
    <row r="280" spans="1:5" x14ac:dyDescent="0.35">
      <c r="A280" t="str">
        <f t="shared" si="16"/>
        <v>C0279</v>
      </c>
      <c r="B280" t="str">
        <f t="shared" si="17"/>
        <v>Customer_0279</v>
      </c>
      <c r="C280" t="str">
        <f t="shared" ca="1" si="18"/>
        <v>Nairobi</v>
      </c>
      <c r="D280" s="34">
        <f t="shared" ca="1" si="19"/>
        <v>334000</v>
      </c>
      <c r="E280">
        <v>836</v>
      </c>
    </row>
    <row r="281" spans="1:5" x14ac:dyDescent="0.35">
      <c r="A281" t="str">
        <f t="shared" si="16"/>
        <v>C0280</v>
      </c>
      <c r="B281" t="str">
        <f t="shared" si="17"/>
        <v>Customer_0280</v>
      </c>
      <c r="C281" t="str">
        <f t="shared" ca="1" si="18"/>
        <v>Nairobi</v>
      </c>
      <c r="D281" s="34">
        <f t="shared" ca="1" si="19"/>
        <v>378000</v>
      </c>
      <c r="E281">
        <v>680</v>
      </c>
    </row>
    <row r="282" spans="1:5" x14ac:dyDescent="0.35">
      <c r="A282" t="str">
        <f t="shared" si="16"/>
        <v>C0281</v>
      </c>
      <c r="B282" t="str">
        <f t="shared" si="17"/>
        <v>Customer_0281</v>
      </c>
      <c r="C282" t="str">
        <f t="shared" ca="1" si="18"/>
        <v>Western</v>
      </c>
      <c r="D282" s="34">
        <f t="shared" ca="1" si="19"/>
        <v>205000</v>
      </c>
      <c r="E282">
        <v>534</v>
      </c>
    </row>
    <row r="283" spans="1:5" x14ac:dyDescent="0.35">
      <c r="A283" t="str">
        <f t="shared" si="16"/>
        <v>C0282</v>
      </c>
      <c r="B283" t="str">
        <f t="shared" si="17"/>
        <v>Customer_0282</v>
      </c>
      <c r="C283" t="str">
        <f t="shared" ca="1" si="18"/>
        <v>Western</v>
      </c>
      <c r="D283" s="34">
        <f t="shared" ca="1" si="19"/>
        <v>308000</v>
      </c>
      <c r="E283">
        <v>339</v>
      </c>
    </row>
    <row r="284" spans="1:5" x14ac:dyDescent="0.35">
      <c r="A284" t="str">
        <f t="shared" si="16"/>
        <v>C0283</v>
      </c>
      <c r="B284" t="str">
        <f t="shared" si="17"/>
        <v>Customer_0283</v>
      </c>
      <c r="C284" t="str">
        <f t="shared" ca="1" si="18"/>
        <v>Western</v>
      </c>
      <c r="D284" s="34">
        <f t="shared" ca="1" si="19"/>
        <v>249000</v>
      </c>
      <c r="E284">
        <v>487</v>
      </c>
    </row>
    <row r="285" spans="1:5" x14ac:dyDescent="0.35">
      <c r="A285" t="str">
        <f t="shared" si="16"/>
        <v>C0284</v>
      </c>
      <c r="B285" t="str">
        <f t="shared" si="17"/>
        <v>Customer_0284</v>
      </c>
      <c r="C285" t="str">
        <f t="shared" ca="1" si="18"/>
        <v>Central</v>
      </c>
      <c r="D285" s="34">
        <f t="shared" ca="1" si="19"/>
        <v>623000</v>
      </c>
      <c r="E285">
        <v>777</v>
      </c>
    </row>
    <row r="286" spans="1:5" x14ac:dyDescent="0.35">
      <c r="A286" t="str">
        <f t="shared" si="16"/>
        <v>C0285</v>
      </c>
      <c r="B286" t="str">
        <f t="shared" si="17"/>
        <v>Customer_0285</v>
      </c>
      <c r="C286" t="str">
        <f t="shared" ca="1" si="18"/>
        <v>Coast</v>
      </c>
      <c r="D286" s="34">
        <f t="shared" ca="1" si="19"/>
        <v>767000</v>
      </c>
      <c r="E286">
        <v>626</v>
      </c>
    </row>
    <row r="287" spans="1:5" x14ac:dyDescent="0.35">
      <c r="A287" t="str">
        <f t="shared" si="16"/>
        <v>C0286</v>
      </c>
      <c r="B287" t="str">
        <f t="shared" si="17"/>
        <v>Customer_0286</v>
      </c>
      <c r="C287" t="str">
        <f t="shared" ca="1" si="18"/>
        <v>Coast</v>
      </c>
      <c r="D287" s="34">
        <f t="shared" ca="1" si="19"/>
        <v>252000</v>
      </c>
      <c r="E287">
        <v>422</v>
      </c>
    </row>
    <row r="288" spans="1:5" x14ac:dyDescent="0.35">
      <c r="A288" t="str">
        <f t="shared" si="16"/>
        <v>C0287</v>
      </c>
      <c r="B288" t="str">
        <f t="shared" si="17"/>
        <v>Customer_0287</v>
      </c>
      <c r="C288" t="str">
        <f t="shared" ca="1" si="18"/>
        <v>Rift Valley</v>
      </c>
      <c r="D288" s="34">
        <f t="shared" ca="1" si="19"/>
        <v>391000</v>
      </c>
      <c r="E288">
        <v>657</v>
      </c>
    </row>
    <row r="289" spans="1:5" x14ac:dyDescent="0.35">
      <c r="A289" t="str">
        <f t="shared" si="16"/>
        <v>C0288</v>
      </c>
      <c r="B289" t="str">
        <f t="shared" si="17"/>
        <v>Customer_0288</v>
      </c>
      <c r="C289" t="str">
        <f t="shared" ca="1" si="18"/>
        <v>Central</v>
      </c>
      <c r="D289" s="34">
        <f t="shared" ca="1" si="19"/>
        <v>144000</v>
      </c>
      <c r="E289">
        <v>423</v>
      </c>
    </row>
    <row r="290" spans="1:5" x14ac:dyDescent="0.35">
      <c r="A290" t="str">
        <f t="shared" si="16"/>
        <v>C0289</v>
      </c>
      <c r="B290" t="str">
        <f t="shared" si="17"/>
        <v>Customer_0289</v>
      </c>
      <c r="C290" t="str">
        <f t="shared" ca="1" si="18"/>
        <v>Coast</v>
      </c>
      <c r="D290" s="34">
        <f t="shared" ca="1" si="19"/>
        <v>110000</v>
      </c>
      <c r="E290">
        <v>607</v>
      </c>
    </row>
    <row r="291" spans="1:5" x14ac:dyDescent="0.35">
      <c r="A291" t="str">
        <f t="shared" si="16"/>
        <v>C0290</v>
      </c>
      <c r="B291" t="str">
        <f t="shared" si="17"/>
        <v>Customer_0290</v>
      </c>
      <c r="C291" t="str">
        <f t="shared" ca="1" si="18"/>
        <v>Nairobi</v>
      </c>
      <c r="D291" s="34">
        <f t="shared" ca="1" si="19"/>
        <v>116000</v>
      </c>
      <c r="E291">
        <v>478</v>
      </c>
    </row>
    <row r="292" spans="1:5" x14ac:dyDescent="0.35">
      <c r="A292" t="str">
        <f t="shared" si="16"/>
        <v>C0291</v>
      </c>
      <c r="B292" t="str">
        <f t="shared" si="17"/>
        <v>Customer_0291</v>
      </c>
      <c r="C292" t="str">
        <f t="shared" ca="1" si="18"/>
        <v>Western</v>
      </c>
      <c r="D292" s="34">
        <f t="shared" ca="1" si="19"/>
        <v>248000</v>
      </c>
      <c r="E292">
        <v>300</v>
      </c>
    </row>
    <row r="293" spans="1:5" x14ac:dyDescent="0.35">
      <c r="A293" t="str">
        <f t="shared" si="16"/>
        <v>C0292</v>
      </c>
      <c r="B293" t="str">
        <f t="shared" si="17"/>
        <v>Customer_0292</v>
      </c>
      <c r="C293" t="str">
        <f t="shared" ca="1" si="18"/>
        <v>Western</v>
      </c>
      <c r="D293" s="34">
        <f t="shared" ca="1" si="19"/>
        <v>450000</v>
      </c>
      <c r="E293">
        <v>649</v>
      </c>
    </row>
    <row r="294" spans="1:5" x14ac:dyDescent="0.35">
      <c r="A294" t="str">
        <f t="shared" si="16"/>
        <v>C0293</v>
      </c>
      <c r="B294" t="str">
        <f t="shared" si="17"/>
        <v>Customer_0293</v>
      </c>
      <c r="C294" t="str">
        <f t="shared" ca="1" si="18"/>
        <v>Rift Valley</v>
      </c>
      <c r="D294" s="34">
        <f t="shared" ca="1" si="19"/>
        <v>401000</v>
      </c>
      <c r="E294">
        <v>679</v>
      </c>
    </row>
    <row r="295" spans="1:5" x14ac:dyDescent="0.35">
      <c r="A295" t="str">
        <f t="shared" si="16"/>
        <v>C0294</v>
      </c>
      <c r="B295" t="str">
        <f t="shared" si="17"/>
        <v>Customer_0294</v>
      </c>
      <c r="C295" t="str">
        <f t="shared" ca="1" si="18"/>
        <v>Central</v>
      </c>
      <c r="D295" s="34">
        <f t="shared" ca="1" si="19"/>
        <v>156000</v>
      </c>
      <c r="E295">
        <v>804</v>
      </c>
    </row>
    <row r="296" spans="1:5" x14ac:dyDescent="0.35">
      <c r="A296" t="str">
        <f t="shared" si="16"/>
        <v>C0295</v>
      </c>
      <c r="B296" t="str">
        <f t="shared" si="17"/>
        <v>Customer_0295</v>
      </c>
      <c r="C296" t="str">
        <f t="shared" ca="1" si="18"/>
        <v>Rift Valley</v>
      </c>
      <c r="D296" s="34">
        <f t="shared" ca="1" si="19"/>
        <v>264000</v>
      </c>
      <c r="E296">
        <v>747</v>
      </c>
    </row>
    <row r="297" spans="1:5" x14ac:dyDescent="0.35">
      <c r="A297" t="str">
        <f t="shared" si="16"/>
        <v>C0296</v>
      </c>
      <c r="B297" t="str">
        <f t="shared" si="17"/>
        <v>Customer_0296</v>
      </c>
      <c r="C297" t="str">
        <f t="shared" ca="1" si="18"/>
        <v>Nairobi</v>
      </c>
      <c r="D297" s="34">
        <f t="shared" ca="1" si="19"/>
        <v>289000</v>
      </c>
      <c r="E297">
        <v>525</v>
      </c>
    </row>
    <row r="298" spans="1:5" x14ac:dyDescent="0.35">
      <c r="A298" t="str">
        <f t="shared" si="16"/>
        <v>C0297</v>
      </c>
      <c r="B298" t="str">
        <f t="shared" si="17"/>
        <v>Customer_0297</v>
      </c>
      <c r="C298" t="str">
        <f t="shared" ca="1" si="18"/>
        <v>Nairobi</v>
      </c>
      <c r="D298" s="34">
        <f t="shared" ca="1" si="19"/>
        <v>412000</v>
      </c>
      <c r="E298">
        <v>500</v>
      </c>
    </row>
    <row r="299" spans="1:5" x14ac:dyDescent="0.35">
      <c r="A299" t="str">
        <f t="shared" si="16"/>
        <v>C0298</v>
      </c>
      <c r="B299" t="str">
        <f t="shared" si="17"/>
        <v>Customer_0298</v>
      </c>
      <c r="C299" t="str">
        <f t="shared" ca="1" si="18"/>
        <v>Coast</v>
      </c>
      <c r="D299" s="34">
        <f t="shared" ca="1" si="19"/>
        <v>724000</v>
      </c>
      <c r="E299">
        <v>830</v>
      </c>
    </row>
    <row r="300" spans="1:5" x14ac:dyDescent="0.35">
      <c r="A300" t="str">
        <f t="shared" si="16"/>
        <v>C0299</v>
      </c>
      <c r="B300" t="str">
        <f t="shared" si="17"/>
        <v>Customer_0299</v>
      </c>
      <c r="C300" t="str">
        <f t="shared" ca="1" si="18"/>
        <v>Coast</v>
      </c>
      <c r="D300" s="34">
        <f t="shared" ca="1" si="19"/>
        <v>345000</v>
      </c>
      <c r="E300">
        <v>550</v>
      </c>
    </row>
    <row r="301" spans="1:5" x14ac:dyDescent="0.35">
      <c r="A301" t="str">
        <f t="shared" si="16"/>
        <v>C0300</v>
      </c>
      <c r="B301" t="str">
        <f t="shared" si="17"/>
        <v>Customer_0300</v>
      </c>
      <c r="C301" t="str">
        <f t="shared" ca="1" si="18"/>
        <v>Western</v>
      </c>
      <c r="D301" s="34">
        <f t="shared" ca="1" si="19"/>
        <v>241000</v>
      </c>
      <c r="E301">
        <v>325</v>
      </c>
    </row>
    <row r="302" spans="1:5" x14ac:dyDescent="0.35">
      <c r="A302" t="str">
        <f t="shared" si="16"/>
        <v>C0301</v>
      </c>
      <c r="B302" t="str">
        <f t="shared" si="17"/>
        <v>Customer_0301</v>
      </c>
      <c r="C302" t="str">
        <f t="shared" ca="1" si="18"/>
        <v>Rift Valley</v>
      </c>
      <c r="D302" s="34">
        <f t="shared" ca="1" si="19"/>
        <v>674000</v>
      </c>
      <c r="E302">
        <v>745</v>
      </c>
    </row>
    <row r="303" spans="1:5" x14ac:dyDescent="0.35">
      <c r="A303" t="str">
        <f t="shared" si="16"/>
        <v>C0302</v>
      </c>
      <c r="B303" t="str">
        <f t="shared" si="17"/>
        <v>Customer_0302</v>
      </c>
      <c r="C303" t="str">
        <f t="shared" ca="1" si="18"/>
        <v>Nairobi</v>
      </c>
      <c r="D303" s="34">
        <f t="shared" ca="1" si="19"/>
        <v>306000</v>
      </c>
      <c r="E303">
        <v>333</v>
      </c>
    </row>
    <row r="304" spans="1:5" x14ac:dyDescent="0.35">
      <c r="A304" t="str">
        <f t="shared" si="16"/>
        <v>C0303</v>
      </c>
      <c r="B304" t="str">
        <f t="shared" si="17"/>
        <v>Customer_0303</v>
      </c>
      <c r="C304" t="str">
        <f t="shared" ca="1" si="18"/>
        <v>Central</v>
      </c>
      <c r="D304" s="34">
        <f t="shared" ca="1" si="19"/>
        <v>93000</v>
      </c>
      <c r="E304">
        <v>397</v>
      </c>
    </row>
    <row r="305" spans="1:5" x14ac:dyDescent="0.35">
      <c r="A305" t="str">
        <f t="shared" si="16"/>
        <v>C0304</v>
      </c>
      <c r="B305" t="str">
        <f t="shared" si="17"/>
        <v>Customer_0304</v>
      </c>
      <c r="C305" t="str">
        <f t="shared" ca="1" si="18"/>
        <v>Rift Valley</v>
      </c>
      <c r="D305" s="34">
        <f t="shared" ca="1" si="19"/>
        <v>478000</v>
      </c>
      <c r="E305">
        <v>322</v>
      </c>
    </row>
    <row r="306" spans="1:5" x14ac:dyDescent="0.35">
      <c r="A306" t="str">
        <f t="shared" si="16"/>
        <v>C0305</v>
      </c>
      <c r="B306" t="str">
        <f t="shared" si="17"/>
        <v>Customer_0305</v>
      </c>
      <c r="C306" t="str">
        <f t="shared" ca="1" si="18"/>
        <v>Central</v>
      </c>
      <c r="D306" s="34">
        <f t="shared" ca="1" si="19"/>
        <v>133000</v>
      </c>
      <c r="E306">
        <v>654</v>
      </c>
    </row>
    <row r="307" spans="1:5" x14ac:dyDescent="0.35">
      <c r="A307" t="str">
        <f t="shared" si="16"/>
        <v>C0306</v>
      </c>
      <c r="B307" t="str">
        <f t="shared" si="17"/>
        <v>Customer_0306</v>
      </c>
      <c r="C307" t="str">
        <f t="shared" ca="1" si="18"/>
        <v>Western</v>
      </c>
      <c r="D307" s="34">
        <f t="shared" ca="1" si="19"/>
        <v>134000</v>
      </c>
      <c r="E307">
        <v>457</v>
      </c>
    </row>
    <row r="308" spans="1:5" x14ac:dyDescent="0.35">
      <c r="A308" t="str">
        <f t="shared" si="16"/>
        <v>C0307</v>
      </c>
      <c r="B308" t="str">
        <f t="shared" si="17"/>
        <v>Customer_0307</v>
      </c>
      <c r="C308" t="str">
        <f t="shared" ca="1" si="18"/>
        <v>Coast</v>
      </c>
      <c r="D308" s="34">
        <f t="shared" ca="1" si="19"/>
        <v>740000</v>
      </c>
      <c r="E308">
        <v>322</v>
      </c>
    </row>
    <row r="309" spans="1:5" x14ac:dyDescent="0.35">
      <c r="A309" t="str">
        <f t="shared" si="16"/>
        <v>C0308</v>
      </c>
      <c r="B309" t="str">
        <f t="shared" si="17"/>
        <v>Customer_0308</v>
      </c>
      <c r="C309" t="str">
        <f t="shared" ca="1" si="18"/>
        <v>Nairobi</v>
      </c>
      <c r="D309" s="34">
        <f t="shared" ca="1" si="19"/>
        <v>618000</v>
      </c>
      <c r="E309">
        <v>625</v>
      </c>
    </row>
    <row r="310" spans="1:5" x14ac:dyDescent="0.35">
      <c r="A310" t="str">
        <f t="shared" si="16"/>
        <v>C0309</v>
      </c>
      <c r="B310" t="str">
        <f t="shared" si="17"/>
        <v>Customer_0309</v>
      </c>
      <c r="C310" t="str">
        <f t="shared" ca="1" si="18"/>
        <v>Western</v>
      </c>
      <c r="D310" s="34">
        <f t="shared" ca="1" si="19"/>
        <v>536000</v>
      </c>
      <c r="E310">
        <v>659</v>
      </c>
    </row>
    <row r="311" spans="1:5" x14ac:dyDescent="0.35">
      <c r="A311" t="str">
        <f t="shared" si="16"/>
        <v>C0310</v>
      </c>
      <c r="B311" t="str">
        <f t="shared" si="17"/>
        <v>Customer_0310</v>
      </c>
      <c r="C311" t="str">
        <f t="shared" ca="1" si="18"/>
        <v>Nairobi</v>
      </c>
      <c r="D311" s="34">
        <f t="shared" ca="1" si="19"/>
        <v>733000</v>
      </c>
      <c r="E311">
        <v>664</v>
      </c>
    </row>
    <row r="312" spans="1:5" x14ac:dyDescent="0.35">
      <c r="A312" t="str">
        <f t="shared" si="16"/>
        <v>C0311</v>
      </c>
      <c r="B312" t="str">
        <f t="shared" si="17"/>
        <v>Customer_0311</v>
      </c>
      <c r="C312" t="str">
        <f t="shared" ca="1" si="18"/>
        <v>Nairobi</v>
      </c>
      <c r="D312" s="34">
        <f t="shared" ca="1" si="19"/>
        <v>467000</v>
      </c>
      <c r="E312">
        <v>370</v>
      </c>
    </row>
    <row r="313" spans="1:5" x14ac:dyDescent="0.35">
      <c r="A313" t="str">
        <f t="shared" si="16"/>
        <v>C0312</v>
      </c>
      <c r="B313" t="str">
        <f t="shared" si="17"/>
        <v>Customer_0312</v>
      </c>
      <c r="C313" t="str">
        <f t="shared" ca="1" si="18"/>
        <v>Rift Valley</v>
      </c>
      <c r="D313" s="34">
        <f t="shared" ca="1" si="19"/>
        <v>406000</v>
      </c>
      <c r="E313">
        <v>344</v>
      </c>
    </row>
    <row r="314" spans="1:5" x14ac:dyDescent="0.35">
      <c r="A314" t="str">
        <f t="shared" si="16"/>
        <v>C0313</v>
      </c>
      <c r="B314" t="str">
        <f t="shared" si="17"/>
        <v>Customer_0313</v>
      </c>
      <c r="C314" t="str">
        <f t="shared" ca="1" si="18"/>
        <v>Rift Valley</v>
      </c>
      <c r="D314" s="34">
        <f t="shared" ca="1" si="19"/>
        <v>440000</v>
      </c>
      <c r="E314">
        <v>576</v>
      </c>
    </row>
    <row r="315" spans="1:5" x14ac:dyDescent="0.35">
      <c r="A315" t="str">
        <f t="shared" si="16"/>
        <v>C0314</v>
      </c>
      <c r="B315" t="str">
        <f t="shared" si="17"/>
        <v>Customer_0314</v>
      </c>
      <c r="C315" t="str">
        <f t="shared" ca="1" si="18"/>
        <v>Coast</v>
      </c>
      <c r="D315" s="34">
        <f t="shared" ca="1" si="19"/>
        <v>374000</v>
      </c>
      <c r="E315">
        <v>744</v>
      </c>
    </row>
    <row r="316" spans="1:5" x14ac:dyDescent="0.35">
      <c r="A316" t="str">
        <f t="shared" si="16"/>
        <v>C0315</v>
      </c>
      <c r="B316" t="str">
        <f t="shared" si="17"/>
        <v>Customer_0315</v>
      </c>
      <c r="C316" t="str">
        <f t="shared" ca="1" si="18"/>
        <v>Nairobi</v>
      </c>
      <c r="D316" s="34">
        <f t="shared" ca="1" si="19"/>
        <v>145000</v>
      </c>
      <c r="E316">
        <v>631</v>
      </c>
    </row>
    <row r="317" spans="1:5" x14ac:dyDescent="0.35">
      <c r="A317" t="str">
        <f t="shared" si="16"/>
        <v>C0316</v>
      </c>
      <c r="B317" t="str">
        <f t="shared" si="17"/>
        <v>Customer_0316</v>
      </c>
      <c r="C317" t="str">
        <f t="shared" ca="1" si="18"/>
        <v>Coast</v>
      </c>
      <c r="D317" s="34">
        <f t="shared" ca="1" si="19"/>
        <v>146000</v>
      </c>
      <c r="E317">
        <v>472</v>
      </c>
    </row>
    <row r="318" spans="1:5" x14ac:dyDescent="0.35">
      <c r="A318" t="str">
        <f t="shared" si="16"/>
        <v>C0317</v>
      </c>
      <c r="B318" t="str">
        <f t="shared" si="17"/>
        <v>Customer_0317</v>
      </c>
      <c r="C318" t="str">
        <f t="shared" ca="1" si="18"/>
        <v>Central</v>
      </c>
      <c r="D318" s="34">
        <f t="shared" ca="1" si="19"/>
        <v>338000</v>
      </c>
      <c r="E318">
        <v>521</v>
      </c>
    </row>
    <row r="319" spans="1:5" x14ac:dyDescent="0.35">
      <c r="A319" t="str">
        <f t="shared" si="16"/>
        <v>C0318</v>
      </c>
      <c r="B319" t="str">
        <f t="shared" si="17"/>
        <v>Customer_0318</v>
      </c>
      <c r="C319" t="str">
        <f t="shared" ca="1" si="18"/>
        <v>Rift Valley</v>
      </c>
      <c r="D319" s="34">
        <f t="shared" ca="1" si="19"/>
        <v>756000</v>
      </c>
      <c r="E319">
        <v>461</v>
      </c>
    </row>
    <row r="320" spans="1:5" x14ac:dyDescent="0.35">
      <c r="A320" t="str">
        <f t="shared" si="16"/>
        <v>C0319</v>
      </c>
      <c r="B320" t="str">
        <f t="shared" si="17"/>
        <v>Customer_0319</v>
      </c>
      <c r="C320" t="str">
        <f t="shared" ca="1" si="18"/>
        <v>Coast</v>
      </c>
      <c r="D320" s="34">
        <f t="shared" ca="1" si="19"/>
        <v>301000</v>
      </c>
      <c r="E320">
        <v>502</v>
      </c>
    </row>
    <row r="321" spans="1:5" x14ac:dyDescent="0.35">
      <c r="A321" t="str">
        <f t="shared" si="16"/>
        <v>C0320</v>
      </c>
      <c r="B321" t="str">
        <f t="shared" si="17"/>
        <v>Customer_0320</v>
      </c>
      <c r="C321" t="str">
        <f t="shared" ca="1" si="18"/>
        <v>Nairobi</v>
      </c>
      <c r="D321" s="34">
        <f t="shared" ca="1" si="19"/>
        <v>265000</v>
      </c>
      <c r="E321">
        <v>363</v>
      </c>
    </row>
    <row r="322" spans="1:5" x14ac:dyDescent="0.35">
      <c r="A322" t="str">
        <f t="shared" si="16"/>
        <v>C0321</v>
      </c>
      <c r="B322" t="str">
        <f t="shared" si="17"/>
        <v>Customer_0321</v>
      </c>
      <c r="C322" t="str">
        <f t="shared" ca="1" si="18"/>
        <v>Western</v>
      </c>
      <c r="D322" s="34">
        <f t="shared" ca="1" si="19"/>
        <v>588000</v>
      </c>
      <c r="E322">
        <v>336</v>
      </c>
    </row>
    <row r="323" spans="1:5" x14ac:dyDescent="0.35">
      <c r="A323" t="str">
        <f t="shared" ref="A323:A386" si="20">"C"&amp;TEXT(ROW()-1,"0000")</f>
        <v>C0322</v>
      </c>
      <c r="B323" t="str">
        <f t="shared" ref="B323:B386" si="21">"Customer_"&amp;TEXT(ROW()-1,"0000")</f>
        <v>Customer_0322</v>
      </c>
      <c r="C323" t="str">
        <f t="shared" ref="C323:C386" ca="1" si="22">CHOOSE(RANDBETWEEN(1,5),
"Nairobi",
"Central",
"Coast",
"Rift Valley",
"Western")</f>
        <v>Central</v>
      </c>
      <c r="D323" s="34">
        <f t="shared" ref="D323:D386" ca="1" si="23">ROUND(RANDBETWEEN(50000,800000),-3)</f>
        <v>586000</v>
      </c>
      <c r="E323">
        <v>425</v>
      </c>
    </row>
    <row r="324" spans="1:5" x14ac:dyDescent="0.35">
      <c r="A324" t="str">
        <f t="shared" si="20"/>
        <v>C0323</v>
      </c>
      <c r="B324" t="str">
        <f t="shared" si="21"/>
        <v>Customer_0323</v>
      </c>
      <c r="C324" t="str">
        <f t="shared" ca="1" si="22"/>
        <v>Central</v>
      </c>
      <c r="D324" s="34">
        <f t="shared" ca="1" si="23"/>
        <v>596000</v>
      </c>
      <c r="E324">
        <v>580</v>
      </c>
    </row>
    <row r="325" spans="1:5" x14ac:dyDescent="0.35">
      <c r="A325" t="str">
        <f t="shared" si="20"/>
        <v>C0324</v>
      </c>
      <c r="B325" t="str">
        <f t="shared" si="21"/>
        <v>Customer_0324</v>
      </c>
      <c r="C325" t="str">
        <f t="shared" ca="1" si="22"/>
        <v>Central</v>
      </c>
      <c r="D325" s="34">
        <f t="shared" ca="1" si="23"/>
        <v>163000</v>
      </c>
      <c r="E325">
        <v>321</v>
      </c>
    </row>
    <row r="326" spans="1:5" x14ac:dyDescent="0.35">
      <c r="A326" t="str">
        <f t="shared" si="20"/>
        <v>C0325</v>
      </c>
      <c r="B326" t="str">
        <f t="shared" si="21"/>
        <v>Customer_0325</v>
      </c>
      <c r="C326" t="str">
        <f t="shared" ca="1" si="22"/>
        <v>Rift Valley</v>
      </c>
      <c r="D326" s="34">
        <f t="shared" ca="1" si="23"/>
        <v>739000</v>
      </c>
      <c r="E326">
        <v>397</v>
      </c>
    </row>
    <row r="327" spans="1:5" x14ac:dyDescent="0.35">
      <c r="A327" t="str">
        <f t="shared" si="20"/>
        <v>C0326</v>
      </c>
      <c r="B327" t="str">
        <f t="shared" si="21"/>
        <v>Customer_0326</v>
      </c>
      <c r="C327" t="str">
        <f t="shared" ca="1" si="22"/>
        <v>Coast</v>
      </c>
      <c r="D327" s="34">
        <f t="shared" ca="1" si="23"/>
        <v>272000</v>
      </c>
      <c r="E327">
        <v>537</v>
      </c>
    </row>
    <row r="328" spans="1:5" x14ac:dyDescent="0.35">
      <c r="A328" t="str">
        <f t="shared" si="20"/>
        <v>C0327</v>
      </c>
      <c r="B328" t="str">
        <f t="shared" si="21"/>
        <v>Customer_0327</v>
      </c>
      <c r="C328" t="str">
        <f t="shared" ca="1" si="22"/>
        <v>Coast</v>
      </c>
      <c r="D328" s="34">
        <f t="shared" ca="1" si="23"/>
        <v>598000</v>
      </c>
      <c r="E328">
        <v>318</v>
      </c>
    </row>
    <row r="329" spans="1:5" x14ac:dyDescent="0.35">
      <c r="A329" t="str">
        <f t="shared" si="20"/>
        <v>C0328</v>
      </c>
      <c r="B329" t="str">
        <f t="shared" si="21"/>
        <v>Customer_0328</v>
      </c>
      <c r="C329" t="str">
        <f t="shared" ca="1" si="22"/>
        <v>Nairobi</v>
      </c>
      <c r="D329" s="34">
        <f t="shared" ca="1" si="23"/>
        <v>277000</v>
      </c>
      <c r="E329">
        <v>820</v>
      </c>
    </row>
    <row r="330" spans="1:5" x14ac:dyDescent="0.35">
      <c r="A330" t="str">
        <f t="shared" si="20"/>
        <v>C0329</v>
      </c>
      <c r="B330" t="str">
        <f t="shared" si="21"/>
        <v>Customer_0329</v>
      </c>
      <c r="C330" t="str">
        <f t="shared" ca="1" si="22"/>
        <v>Rift Valley</v>
      </c>
      <c r="D330" s="34">
        <f t="shared" ca="1" si="23"/>
        <v>195000</v>
      </c>
      <c r="E330">
        <v>322</v>
      </c>
    </row>
    <row r="331" spans="1:5" x14ac:dyDescent="0.35">
      <c r="A331" t="str">
        <f t="shared" si="20"/>
        <v>C0330</v>
      </c>
      <c r="B331" t="str">
        <f t="shared" si="21"/>
        <v>Customer_0330</v>
      </c>
      <c r="C331" t="str">
        <f t="shared" ca="1" si="22"/>
        <v>Coast</v>
      </c>
      <c r="D331" s="34">
        <f t="shared" ca="1" si="23"/>
        <v>493000</v>
      </c>
      <c r="E331">
        <v>780</v>
      </c>
    </row>
    <row r="332" spans="1:5" x14ac:dyDescent="0.35">
      <c r="A332" t="str">
        <f t="shared" si="20"/>
        <v>C0331</v>
      </c>
      <c r="B332" t="str">
        <f t="shared" si="21"/>
        <v>Customer_0331</v>
      </c>
      <c r="C332" t="str">
        <f t="shared" ca="1" si="22"/>
        <v>Western</v>
      </c>
      <c r="D332" s="34">
        <f t="shared" ca="1" si="23"/>
        <v>63000</v>
      </c>
      <c r="E332">
        <v>769</v>
      </c>
    </row>
    <row r="333" spans="1:5" x14ac:dyDescent="0.35">
      <c r="A333" t="str">
        <f t="shared" si="20"/>
        <v>C0332</v>
      </c>
      <c r="B333" t="str">
        <f t="shared" si="21"/>
        <v>Customer_0332</v>
      </c>
      <c r="C333" t="str">
        <f t="shared" ca="1" si="22"/>
        <v>Nairobi</v>
      </c>
      <c r="D333" s="34">
        <f t="shared" ca="1" si="23"/>
        <v>443000</v>
      </c>
      <c r="E333">
        <v>701</v>
      </c>
    </row>
    <row r="334" spans="1:5" x14ac:dyDescent="0.35">
      <c r="A334" t="str">
        <f t="shared" si="20"/>
        <v>C0333</v>
      </c>
      <c r="B334" t="str">
        <f t="shared" si="21"/>
        <v>Customer_0333</v>
      </c>
      <c r="C334" t="str">
        <f t="shared" ca="1" si="22"/>
        <v>Coast</v>
      </c>
      <c r="D334" s="34">
        <f t="shared" ca="1" si="23"/>
        <v>382000</v>
      </c>
      <c r="E334">
        <v>577</v>
      </c>
    </row>
    <row r="335" spans="1:5" x14ac:dyDescent="0.35">
      <c r="A335" t="str">
        <f t="shared" si="20"/>
        <v>C0334</v>
      </c>
      <c r="B335" t="str">
        <f t="shared" si="21"/>
        <v>Customer_0334</v>
      </c>
      <c r="C335" t="str">
        <f t="shared" ca="1" si="22"/>
        <v>Western</v>
      </c>
      <c r="D335" s="34">
        <f t="shared" ca="1" si="23"/>
        <v>318000</v>
      </c>
      <c r="E335">
        <v>313</v>
      </c>
    </row>
    <row r="336" spans="1:5" x14ac:dyDescent="0.35">
      <c r="A336" t="str">
        <f t="shared" si="20"/>
        <v>C0335</v>
      </c>
      <c r="B336" t="str">
        <f t="shared" si="21"/>
        <v>Customer_0335</v>
      </c>
      <c r="C336" t="str">
        <f t="shared" ca="1" si="22"/>
        <v>Coast</v>
      </c>
      <c r="D336" s="34">
        <f t="shared" ca="1" si="23"/>
        <v>447000</v>
      </c>
      <c r="E336">
        <v>316</v>
      </c>
    </row>
    <row r="337" spans="1:5" x14ac:dyDescent="0.35">
      <c r="A337" t="str">
        <f t="shared" si="20"/>
        <v>C0336</v>
      </c>
      <c r="B337" t="str">
        <f t="shared" si="21"/>
        <v>Customer_0336</v>
      </c>
      <c r="C337" t="str">
        <f t="shared" ca="1" si="22"/>
        <v>Western</v>
      </c>
      <c r="D337" s="34">
        <f t="shared" ca="1" si="23"/>
        <v>615000</v>
      </c>
      <c r="E337">
        <v>655</v>
      </c>
    </row>
    <row r="338" spans="1:5" x14ac:dyDescent="0.35">
      <c r="A338" t="str">
        <f t="shared" si="20"/>
        <v>C0337</v>
      </c>
      <c r="B338" t="str">
        <f t="shared" si="21"/>
        <v>Customer_0337</v>
      </c>
      <c r="C338" t="str">
        <f t="shared" ca="1" si="22"/>
        <v>Rift Valley</v>
      </c>
      <c r="D338" s="34">
        <f t="shared" ca="1" si="23"/>
        <v>589000</v>
      </c>
      <c r="E338">
        <v>539</v>
      </c>
    </row>
    <row r="339" spans="1:5" x14ac:dyDescent="0.35">
      <c r="A339" t="str">
        <f t="shared" si="20"/>
        <v>C0338</v>
      </c>
      <c r="B339" t="str">
        <f t="shared" si="21"/>
        <v>Customer_0338</v>
      </c>
      <c r="C339" t="str">
        <f t="shared" ca="1" si="22"/>
        <v>Rift Valley</v>
      </c>
      <c r="D339" s="34">
        <f t="shared" ca="1" si="23"/>
        <v>462000</v>
      </c>
      <c r="E339">
        <v>334</v>
      </c>
    </row>
    <row r="340" spans="1:5" x14ac:dyDescent="0.35">
      <c r="A340" t="str">
        <f t="shared" si="20"/>
        <v>C0339</v>
      </c>
      <c r="B340" t="str">
        <f t="shared" si="21"/>
        <v>Customer_0339</v>
      </c>
      <c r="C340" t="str">
        <f t="shared" ca="1" si="22"/>
        <v>Coast</v>
      </c>
      <c r="D340" s="34">
        <f t="shared" ca="1" si="23"/>
        <v>201000</v>
      </c>
      <c r="E340">
        <v>354</v>
      </c>
    </row>
    <row r="341" spans="1:5" x14ac:dyDescent="0.35">
      <c r="A341" t="str">
        <f t="shared" si="20"/>
        <v>C0340</v>
      </c>
      <c r="B341" t="str">
        <f t="shared" si="21"/>
        <v>Customer_0340</v>
      </c>
      <c r="C341" t="str">
        <f t="shared" ca="1" si="22"/>
        <v>Coast</v>
      </c>
      <c r="D341" s="34">
        <f t="shared" ca="1" si="23"/>
        <v>638000</v>
      </c>
      <c r="E341">
        <v>669</v>
      </c>
    </row>
    <row r="342" spans="1:5" x14ac:dyDescent="0.35">
      <c r="A342" t="str">
        <f t="shared" si="20"/>
        <v>C0341</v>
      </c>
      <c r="B342" t="str">
        <f t="shared" si="21"/>
        <v>Customer_0341</v>
      </c>
      <c r="C342" t="str">
        <f t="shared" ca="1" si="22"/>
        <v>Coast</v>
      </c>
      <c r="D342" s="34">
        <f t="shared" ca="1" si="23"/>
        <v>783000</v>
      </c>
      <c r="E342">
        <v>623</v>
      </c>
    </row>
    <row r="343" spans="1:5" x14ac:dyDescent="0.35">
      <c r="A343" t="str">
        <f t="shared" si="20"/>
        <v>C0342</v>
      </c>
      <c r="B343" t="str">
        <f t="shared" si="21"/>
        <v>Customer_0342</v>
      </c>
      <c r="C343" t="str">
        <f t="shared" ca="1" si="22"/>
        <v>Nairobi</v>
      </c>
      <c r="D343" s="34">
        <f t="shared" ca="1" si="23"/>
        <v>335000</v>
      </c>
      <c r="E343">
        <v>477</v>
      </c>
    </row>
    <row r="344" spans="1:5" x14ac:dyDescent="0.35">
      <c r="A344" t="str">
        <f t="shared" si="20"/>
        <v>C0343</v>
      </c>
      <c r="B344" t="str">
        <f t="shared" si="21"/>
        <v>Customer_0343</v>
      </c>
      <c r="C344" t="str">
        <f t="shared" ca="1" si="22"/>
        <v>Western</v>
      </c>
      <c r="D344" s="34">
        <f t="shared" ca="1" si="23"/>
        <v>100000</v>
      </c>
      <c r="E344">
        <v>655</v>
      </c>
    </row>
    <row r="345" spans="1:5" x14ac:dyDescent="0.35">
      <c r="A345" t="str">
        <f t="shared" si="20"/>
        <v>C0344</v>
      </c>
      <c r="B345" t="str">
        <f t="shared" si="21"/>
        <v>Customer_0344</v>
      </c>
      <c r="C345" t="str">
        <f t="shared" ca="1" si="22"/>
        <v>Rift Valley</v>
      </c>
      <c r="D345" s="34">
        <f t="shared" ca="1" si="23"/>
        <v>407000</v>
      </c>
      <c r="E345">
        <v>572</v>
      </c>
    </row>
    <row r="346" spans="1:5" x14ac:dyDescent="0.35">
      <c r="A346" t="str">
        <f t="shared" si="20"/>
        <v>C0345</v>
      </c>
      <c r="B346" t="str">
        <f t="shared" si="21"/>
        <v>Customer_0345</v>
      </c>
      <c r="C346" t="str">
        <f t="shared" ca="1" si="22"/>
        <v>Rift Valley</v>
      </c>
      <c r="D346" s="34">
        <f t="shared" ca="1" si="23"/>
        <v>216000</v>
      </c>
      <c r="E346">
        <v>349</v>
      </c>
    </row>
    <row r="347" spans="1:5" x14ac:dyDescent="0.35">
      <c r="A347" t="str">
        <f t="shared" si="20"/>
        <v>C0346</v>
      </c>
      <c r="B347" t="str">
        <f t="shared" si="21"/>
        <v>Customer_0346</v>
      </c>
      <c r="C347" t="str">
        <f t="shared" ca="1" si="22"/>
        <v>Western</v>
      </c>
      <c r="D347" s="34">
        <f t="shared" ca="1" si="23"/>
        <v>331000</v>
      </c>
      <c r="E347">
        <v>327</v>
      </c>
    </row>
    <row r="348" spans="1:5" x14ac:dyDescent="0.35">
      <c r="A348" t="str">
        <f t="shared" si="20"/>
        <v>C0347</v>
      </c>
      <c r="B348" t="str">
        <f t="shared" si="21"/>
        <v>Customer_0347</v>
      </c>
      <c r="C348" t="str">
        <f t="shared" ca="1" si="22"/>
        <v>Nairobi</v>
      </c>
      <c r="D348" s="34">
        <f t="shared" ca="1" si="23"/>
        <v>451000</v>
      </c>
      <c r="E348">
        <v>624</v>
      </c>
    </row>
    <row r="349" spans="1:5" x14ac:dyDescent="0.35">
      <c r="A349" t="str">
        <f t="shared" si="20"/>
        <v>C0348</v>
      </c>
      <c r="B349" t="str">
        <f t="shared" si="21"/>
        <v>Customer_0348</v>
      </c>
      <c r="C349" t="str">
        <f t="shared" ca="1" si="22"/>
        <v>Rift Valley</v>
      </c>
      <c r="D349" s="34">
        <f t="shared" ca="1" si="23"/>
        <v>770000</v>
      </c>
      <c r="E349">
        <v>532</v>
      </c>
    </row>
    <row r="350" spans="1:5" x14ac:dyDescent="0.35">
      <c r="A350" t="str">
        <f t="shared" si="20"/>
        <v>C0349</v>
      </c>
      <c r="B350" t="str">
        <f t="shared" si="21"/>
        <v>Customer_0349</v>
      </c>
      <c r="C350" t="str">
        <f t="shared" ca="1" si="22"/>
        <v>Coast</v>
      </c>
      <c r="D350" s="34">
        <f t="shared" ca="1" si="23"/>
        <v>487000</v>
      </c>
      <c r="E350">
        <v>789</v>
      </c>
    </row>
    <row r="351" spans="1:5" x14ac:dyDescent="0.35">
      <c r="A351" t="str">
        <f t="shared" si="20"/>
        <v>C0350</v>
      </c>
      <c r="B351" t="str">
        <f t="shared" si="21"/>
        <v>Customer_0350</v>
      </c>
      <c r="C351" t="str">
        <f t="shared" ca="1" si="22"/>
        <v>Nairobi</v>
      </c>
      <c r="D351" s="34">
        <f t="shared" ca="1" si="23"/>
        <v>306000</v>
      </c>
      <c r="E351">
        <v>488</v>
      </c>
    </row>
    <row r="352" spans="1:5" x14ac:dyDescent="0.35">
      <c r="A352" t="str">
        <f t="shared" si="20"/>
        <v>C0351</v>
      </c>
      <c r="B352" t="str">
        <f t="shared" si="21"/>
        <v>Customer_0351</v>
      </c>
      <c r="C352" t="str">
        <f t="shared" ca="1" si="22"/>
        <v>Nairobi</v>
      </c>
      <c r="D352" s="34">
        <f t="shared" ca="1" si="23"/>
        <v>778000</v>
      </c>
      <c r="E352">
        <v>797</v>
      </c>
    </row>
    <row r="353" spans="1:5" x14ac:dyDescent="0.35">
      <c r="A353" t="str">
        <f t="shared" si="20"/>
        <v>C0352</v>
      </c>
      <c r="B353" t="str">
        <f t="shared" si="21"/>
        <v>Customer_0352</v>
      </c>
      <c r="C353" t="str">
        <f t="shared" ca="1" si="22"/>
        <v>Coast</v>
      </c>
      <c r="D353" s="34">
        <f t="shared" ca="1" si="23"/>
        <v>81000</v>
      </c>
      <c r="E353">
        <v>636</v>
      </c>
    </row>
    <row r="354" spans="1:5" x14ac:dyDescent="0.35">
      <c r="A354" t="str">
        <f t="shared" si="20"/>
        <v>C0353</v>
      </c>
      <c r="B354" t="str">
        <f t="shared" si="21"/>
        <v>Customer_0353</v>
      </c>
      <c r="C354" t="str">
        <f t="shared" ca="1" si="22"/>
        <v>Western</v>
      </c>
      <c r="D354" s="34">
        <f t="shared" ca="1" si="23"/>
        <v>766000</v>
      </c>
      <c r="E354">
        <v>418</v>
      </c>
    </row>
    <row r="355" spans="1:5" x14ac:dyDescent="0.35">
      <c r="A355" t="str">
        <f t="shared" si="20"/>
        <v>C0354</v>
      </c>
      <c r="B355" t="str">
        <f t="shared" si="21"/>
        <v>Customer_0354</v>
      </c>
      <c r="C355" t="str">
        <f t="shared" ca="1" si="22"/>
        <v>Western</v>
      </c>
      <c r="D355" s="34">
        <f t="shared" ca="1" si="23"/>
        <v>628000</v>
      </c>
      <c r="E355">
        <v>692</v>
      </c>
    </row>
    <row r="356" spans="1:5" x14ac:dyDescent="0.35">
      <c r="A356" t="str">
        <f t="shared" si="20"/>
        <v>C0355</v>
      </c>
      <c r="B356" t="str">
        <f t="shared" si="21"/>
        <v>Customer_0355</v>
      </c>
      <c r="C356" t="str">
        <f t="shared" ca="1" si="22"/>
        <v>Nairobi</v>
      </c>
      <c r="D356" s="34">
        <f t="shared" ca="1" si="23"/>
        <v>403000</v>
      </c>
      <c r="E356">
        <v>809</v>
      </c>
    </row>
    <row r="357" spans="1:5" x14ac:dyDescent="0.35">
      <c r="A357" t="str">
        <f t="shared" si="20"/>
        <v>C0356</v>
      </c>
      <c r="B357" t="str">
        <f t="shared" si="21"/>
        <v>Customer_0356</v>
      </c>
      <c r="C357" t="str">
        <f t="shared" ca="1" si="22"/>
        <v>Western</v>
      </c>
      <c r="D357" s="34">
        <f t="shared" ca="1" si="23"/>
        <v>518000</v>
      </c>
      <c r="E357">
        <v>641</v>
      </c>
    </row>
    <row r="358" spans="1:5" x14ac:dyDescent="0.35">
      <c r="A358" t="str">
        <f t="shared" si="20"/>
        <v>C0357</v>
      </c>
      <c r="B358" t="str">
        <f t="shared" si="21"/>
        <v>Customer_0357</v>
      </c>
      <c r="C358" t="str">
        <f t="shared" ca="1" si="22"/>
        <v>Coast</v>
      </c>
      <c r="D358" s="34">
        <f t="shared" ca="1" si="23"/>
        <v>309000</v>
      </c>
      <c r="E358">
        <v>510</v>
      </c>
    </row>
    <row r="359" spans="1:5" x14ac:dyDescent="0.35">
      <c r="A359" t="str">
        <f t="shared" si="20"/>
        <v>C0358</v>
      </c>
      <c r="B359" t="str">
        <f t="shared" si="21"/>
        <v>Customer_0358</v>
      </c>
      <c r="C359" t="str">
        <f t="shared" ca="1" si="22"/>
        <v>Western</v>
      </c>
      <c r="D359" s="34">
        <f t="shared" ca="1" si="23"/>
        <v>182000</v>
      </c>
      <c r="E359">
        <v>835</v>
      </c>
    </row>
    <row r="360" spans="1:5" x14ac:dyDescent="0.35">
      <c r="A360" t="str">
        <f t="shared" si="20"/>
        <v>C0359</v>
      </c>
      <c r="B360" t="str">
        <f t="shared" si="21"/>
        <v>Customer_0359</v>
      </c>
      <c r="C360" t="str">
        <f t="shared" ca="1" si="22"/>
        <v>Coast</v>
      </c>
      <c r="D360" s="34">
        <f t="shared" ca="1" si="23"/>
        <v>774000</v>
      </c>
      <c r="E360">
        <v>651</v>
      </c>
    </row>
    <row r="361" spans="1:5" x14ac:dyDescent="0.35">
      <c r="A361" t="str">
        <f t="shared" si="20"/>
        <v>C0360</v>
      </c>
      <c r="B361" t="str">
        <f t="shared" si="21"/>
        <v>Customer_0360</v>
      </c>
      <c r="C361" t="str">
        <f t="shared" ca="1" si="22"/>
        <v>Western</v>
      </c>
      <c r="D361" s="34">
        <f t="shared" ca="1" si="23"/>
        <v>382000</v>
      </c>
      <c r="E361">
        <v>585</v>
      </c>
    </row>
    <row r="362" spans="1:5" x14ac:dyDescent="0.35">
      <c r="A362" t="str">
        <f t="shared" si="20"/>
        <v>C0361</v>
      </c>
      <c r="B362" t="str">
        <f t="shared" si="21"/>
        <v>Customer_0361</v>
      </c>
      <c r="C362" t="str">
        <f t="shared" ca="1" si="22"/>
        <v>Nairobi</v>
      </c>
      <c r="D362" s="34">
        <f t="shared" ca="1" si="23"/>
        <v>677000</v>
      </c>
      <c r="E362">
        <v>545</v>
      </c>
    </row>
    <row r="363" spans="1:5" x14ac:dyDescent="0.35">
      <c r="A363" t="str">
        <f t="shared" si="20"/>
        <v>C0362</v>
      </c>
      <c r="B363" t="str">
        <f t="shared" si="21"/>
        <v>Customer_0362</v>
      </c>
      <c r="C363" t="str">
        <f t="shared" ca="1" si="22"/>
        <v>Western</v>
      </c>
      <c r="D363" s="34">
        <f t="shared" ca="1" si="23"/>
        <v>386000</v>
      </c>
      <c r="E363">
        <v>848</v>
      </c>
    </row>
    <row r="364" spans="1:5" x14ac:dyDescent="0.35">
      <c r="A364" t="str">
        <f t="shared" si="20"/>
        <v>C0363</v>
      </c>
      <c r="B364" t="str">
        <f t="shared" si="21"/>
        <v>Customer_0363</v>
      </c>
      <c r="C364" t="str">
        <f t="shared" ca="1" si="22"/>
        <v>Nairobi</v>
      </c>
      <c r="D364" s="34">
        <f t="shared" ca="1" si="23"/>
        <v>371000</v>
      </c>
      <c r="E364">
        <v>638</v>
      </c>
    </row>
    <row r="365" spans="1:5" x14ac:dyDescent="0.35">
      <c r="A365" t="str">
        <f t="shared" si="20"/>
        <v>C0364</v>
      </c>
      <c r="B365" t="str">
        <f t="shared" si="21"/>
        <v>Customer_0364</v>
      </c>
      <c r="C365" t="str">
        <f t="shared" ca="1" si="22"/>
        <v>Coast</v>
      </c>
      <c r="D365" s="34">
        <f t="shared" ca="1" si="23"/>
        <v>681000</v>
      </c>
      <c r="E365">
        <v>597</v>
      </c>
    </row>
    <row r="366" spans="1:5" x14ac:dyDescent="0.35">
      <c r="A366" t="str">
        <f t="shared" si="20"/>
        <v>C0365</v>
      </c>
      <c r="B366" t="str">
        <f t="shared" si="21"/>
        <v>Customer_0365</v>
      </c>
      <c r="C366" t="str">
        <f t="shared" ca="1" si="22"/>
        <v>Rift Valley</v>
      </c>
      <c r="D366" s="34">
        <f t="shared" ca="1" si="23"/>
        <v>643000</v>
      </c>
      <c r="E366">
        <v>552</v>
      </c>
    </row>
    <row r="367" spans="1:5" x14ac:dyDescent="0.35">
      <c r="A367" t="str">
        <f t="shared" si="20"/>
        <v>C0366</v>
      </c>
      <c r="B367" t="str">
        <f t="shared" si="21"/>
        <v>Customer_0366</v>
      </c>
      <c r="C367" t="str">
        <f t="shared" ca="1" si="22"/>
        <v>Western</v>
      </c>
      <c r="D367" s="34">
        <f t="shared" ca="1" si="23"/>
        <v>431000</v>
      </c>
      <c r="E367">
        <v>603</v>
      </c>
    </row>
    <row r="368" spans="1:5" x14ac:dyDescent="0.35">
      <c r="A368" t="str">
        <f t="shared" si="20"/>
        <v>C0367</v>
      </c>
      <c r="B368" t="str">
        <f t="shared" si="21"/>
        <v>Customer_0367</v>
      </c>
      <c r="C368" t="str">
        <f t="shared" ca="1" si="22"/>
        <v>Rift Valley</v>
      </c>
      <c r="D368" s="34">
        <f t="shared" ca="1" si="23"/>
        <v>271000</v>
      </c>
      <c r="E368">
        <v>309</v>
      </c>
    </row>
    <row r="369" spans="1:5" x14ac:dyDescent="0.35">
      <c r="A369" t="str">
        <f t="shared" si="20"/>
        <v>C0368</v>
      </c>
      <c r="B369" t="str">
        <f t="shared" si="21"/>
        <v>Customer_0368</v>
      </c>
      <c r="C369" t="str">
        <f t="shared" ca="1" si="22"/>
        <v>Central</v>
      </c>
      <c r="D369" s="34">
        <f t="shared" ca="1" si="23"/>
        <v>113000</v>
      </c>
      <c r="E369">
        <v>799</v>
      </c>
    </row>
    <row r="370" spans="1:5" x14ac:dyDescent="0.35">
      <c r="A370" t="str">
        <f t="shared" si="20"/>
        <v>C0369</v>
      </c>
      <c r="B370" t="str">
        <f t="shared" si="21"/>
        <v>Customer_0369</v>
      </c>
      <c r="C370" t="str">
        <f t="shared" ca="1" si="22"/>
        <v>Central</v>
      </c>
      <c r="D370" s="34">
        <f t="shared" ca="1" si="23"/>
        <v>493000</v>
      </c>
      <c r="E370">
        <v>439</v>
      </c>
    </row>
    <row r="371" spans="1:5" x14ac:dyDescent="0.35">
      <c r="A371" t="str">
        <f t="shared" si="20"/>
        <v>C0370</v>
      </c>
      <c r="B371" t="str">
        <f t="shared" si="21"/>
        <v>Customer_0370</v>
      </c>
      <c r="C371" t="str">
        <f t="shared" ca="1" si="22"/>
        <v>Coast</v>
      </c>
      <c r="D371" s="34">
        <f t="shared" ca="1" si="23"/>
        <v>436000</v>
      </c>
      <c r="E371">
        <v>435</v>
      </c>
    </row>
    <row r="372" spans="1:5" x14ac:dyDescent="0.35">
      <c r="A372" t="str">
        <f t="shared" si="20"/>
        <v>C0371</v>
      </c>
      <c r="B372" t="str">
        <f t="shared" si="21"/>
        <v>Customer_0371</v>
      </c>
      <c r="C372" t="str">
        <f t="shared" ca="1" si="22"/>
        <v>Coast</v>
      </c>
      <c r="D372" s="34">
        <f t="shared" ca="1" si="23"/>
        <v>733000</v>
      </c>
      <c r="E372">
        <v>625</v>
      </c>
    </row>
    <row r="373" spans="1:5" x14ac:dyDescent="0.35">
      <c r="A373" t="str">
        <f t="shared" si="20"/>
        <v>C0372</v>
      </c>
      <c r="B373" t="str">
        <f t="shared" si="21"/>
        <v>Customer_0372</v>
      </c>
      <c r="C373" t="str">
        <f t="shared" ca="1" si="22"/>
        <v>Coast</v>
      </c>
      <c r="D373" s="34">
        <f t="shared" ca="1" si="23"/>
        <v>58000</v>
      </c>
      <c r="E373">
        <v>844</v>
      </c>
    </row>
    <row r="374" spans="1:5" x14ac:dyDescent="0.35">
      <c r="A374" t="str">
        <f t="shared" si="20"/>
        <v>C0373</v>
      </c>
      <c r="B374" t="str">
        <f t="shared" si="21"/>
        <v>Customer_0373</v>
      </c>
      <c r="C374" t="str">
        <f t="shared" ca="1" si="22"/>
        <v>Coast</v>
      </c>
      <c r="D374" s="34">
        <f t="shared" ca="1" si="23"/>
        <v>778000</v>
      </c>
      <c r="E374">
        <v>495</v>
      </c>
    </row>
    <row r="375" spans="1:5" x14ac:dyDescent="0.35">
      <c r="A375" t="str">
        <f t="shared" si="20"/>
        <v>C0374</v>
      </c>
      <c r="B375" t="str">
        <f t="shared" si="21"/>
        <v>Customer_0374</v>
      </c>
      <c r="C375" t="str">
        <f t="shared" ca="1" si="22"/>
        <v>Coast</v>
      </c>
      <c r="D375" s="34">
        <f t="shared" ca="1" si="23"/>
        <v>270000</v>
      </c>
      <c r="E375">
        <v>354</v>
      </c>
    </row>
    <row r="376" spans="1:5" x14ac:dyDescent="0.35">
      <c r="A376" t="str">
        <f t="shared" si="20"/>
        <v>C0375</v>
      </c>
      <c r="B376" t="str">
        <f t="shared" si="21"/>
        <v>Customer_0375</v>
      </c>
      <c r="C376" t="str">
        <f t="shared" ca="1" si="22"/>
        <v>Nairobi</v>
      </c>
      <c r="D376" s="34">
        <f t="shared" ca="1" si="23"/>
        <v>419000</v>
      </c>
      <c r="E376">
        <v>411</v>
      </c>
    </row>
    <row r="377" spans="1:5" x14ac:dyDescent="0.35">
      <c r="A377" t="str">
        <f t="shared" si="20"/>
        <v>C0376</v>
      </c>
      <c r="B377" t="str">
        <f t="shared" si="21"/>
        <v>Customer_0376</v>
      </c>
      <c r="C377" t="str">
        <f t="shared" ca="1" si="22"/>
        <v>Coast</v>
      </c>
      <c r="D377" s="34">
        <f t="shared" ca="1" si="23"/>
        <v>211000</v>
      </c>
      <c r="E377">
        <v>828</v>
      </c>
    </row>
    <row r="378" spans="1:5" x14ac:dyDescent="0.35">
      <c r="A378" t="str">
        <f t="shared" si="20"/>
        <v>C0377</v>
      </c>
      <c r="B378" t="str">
        <f t="shared" si="21"/>
        <v>Customer_0377</v>
      </c>
      <c r="C378" t="str">
        <f t="shared" ca="1" si="22"/>
        <v>Western</v>
      </c>
      <c r="D378" s="34">
        <f t="shared" ca="1" si="23"/>
        <v>692000</v>
      </c>
      <c r="E378">
        <v>436</v>
      </c>
    </row>
    <row r="379" spans="1:5" x14ac:dyDescent="0.35">
      <c r="A379" t="str">
        <f t="shared" si="20"/>
        <v>C0378</v>
      </c>
      <c r="B379" t="str">
        <f t="shared" si="21"/>
        <v>Customer_0378</v>
      </c>
      <c r="C379" t="str">
        <f t="shared" ca="1" si="22"/>
        <v>Rift Valley</v>
      </c>
      <c r="D379" s="34">
        <f t="shared" ca="1" si="23"/>
        <v>729000</v>
      </c>
      <c r="E379">
        <v>708</v>
      </c>
    </row>
    <row r="380" spans="1:5" x14ac:dyDescent="0.35">
      <c r="A380" t="str">
        <f t="shared" si="20"/>
        <v>C0379</v>
      </c>
      <c r="B380" t="str">
        <f t="shared" si="21"/>
        <v>Customer_0379</v>
      </c>
      <c r="C380" t="str">
        <f t="shared" ca="1" si="22"/>
        <v>Coast</v>
      </c>
      <c r="D380" s="34">
        <f t="shared" ca="1" si="23"/>
        <v>108000</v>
      </c>
      <c r="E380">
        <v>603</v>
      </c>
    </row>
    <row r="381" spans="1:5" x14ac:dyDescent="0.35">
      <c r="A381" t="str">
        <f t="shared" si="20"/>
        <v>C0380</v>
      </c>
      <c r="B381" t="str">
        <f t="shared" si="21"/>
        <v>Customer_0380</v>
      </c>
      <c r="C381" t="str">
        <f t="shared" ca="1" si="22"/>
        <v>Western</v>
      </c>
      <c r="D381" s="34">
        <f t="shared" ca="1" si="23"/>
        <v>177000</v>
      </c>
      <c r="E381">
        <v>692</v>
      </c>
    </row>
    <row r="382" spans="1:5" x14ac:dyDescent="0.35">
      <c r="A382" t="str">
        <f t="shared" si="20"/>
        <v>C0381</v>
      </c>
      <c r="B382" t="str">
        <f t="shared" si="21"/>
        <v>Customer_0381</v>
      </c>
      <c r="C382" t="str">
        <f t="shared" ca="1" si="22"/>
        <v>Central</v>
      </c>
      <c r="D382" s="34">
        <f t="shared" ca="1" si="23"/>
        <v>612000</v>
      </c>
      <c r="E382">
        <v>350</v>
      </c>
    </row>
    <row r="383" spans="1:5" x14ac:dyDescent="0.35">
      <c r="A383" t="str">
        <f t="shared" si="20"/>
        <v>C0382</v>
      </c>
      <c r="B383" t="str">
        <f t="shared" si="21"/>
        <v>Customer_0382</v>
      </c>
      <c r="C383" t="str">
        <f t="shared" ca="1" si="22"/>
        <v>Coast</v>
      </c>
      <c r="D383" s="34">
        <f t="shared" ca="1" si="23"/>
        <v>322000</v>
      </c>
      <c r="E383">
        <v>714</v>
      </c>
    </row>
    <row r="384" spans="1:5" x14ac:dyDescent="0.35">
      <c r="A384" t="str">
        <f t="shared" si="20"/>
        <v>C0383</v>
      </c>
      <c r="B384" t="str">
        <f t="shared" si="21"/>
        <v>Customer_0383</v>
      </c>
      <c r="C384" t="str">
        <f t="shared" ca="1" si="22"/>
        <v>Coast</v>
      </c>
      <c r="D384" s="34">
        <f t="shared" ca="1" si="23"/>
        <v>760000</v>
      </c>
      <c r="E384">
        <v>417</v>
      </c>
    </row>
    <row r="385" spans="1:5" x14ac:dyDescent="0.35">
      <c r="A385" t="str">
        <f t="shared" si="20"/>
        <v>C0384</v>
      </c>
      <c r="B385" t="str">
        <f t="shared" si="21"/>
        <v>Customer_0384</v>
      </c>
      <c r="C385" t="str">
        <f t="shared" ca="1" si="22"/>
        <v>Coast</v>
      </c>
      <c r="D385" s="34">
        <f t="shared" ca="1" si="23"/>
        <v>502000</v>
      </c>
      <c r="E385">
        <v>361</v>
      </c>
    </row>
    <row r="386" spans="1:5" x14ac:dyDescent="0.35">
      <c r="A386" t="str">
        <f t="shared" si="20"/>
        <v>C0385</v>
      </c>
      <c r="B386" t="str">
        <f t="shared" si="21"/>
        <v>Customer_0385</v>
      </c>
      <c r="C386" t="str">
        <f t="shared" ca="1" si="22"/>
        <v>Nairobi</v>
      </c>
      <c r="D386" s="34">
        <f t="shared" ca="1" si="23"/>
        <v>88000</v>
      </c>
      <c r="E386">
        <v>444</v>
      </c>
    </row>
    <row r="387" spans="1:5" x14ac:dyDescent="0.35">
      <c r="A387" t="str">
        <f t="shared" ref="A387:A450" si="24">"C"&amp;TEXT(ROW()-1,"0000")</f>
        <v>C0386</v>
      </c>
      <c r="B387" t="str">
        <f t="shared" ref="B387:B450" si="25">"Customer_"&amp;TEXT(ROW()-1,"0000")</f>
        <v>Customer_0386</v>
      </c>
      <c r="C387" t="str">
        <f t="shared" ref="C387:C450" ca="1" si="26">CHOOSE(RANDBETWEEN(1,5),
"Nairobi",
"Central",
"Coast",
"Rift Valley",
"Western")</f>
        <v>Rift Valley</v>
      </c>
      <c r="D387" s="34">
        <f t="shared" ref="D387:D450" ca="1" si="27">ROUND(RANDBETWEEN(50000,800000),-3)</f>
        <v>689000</v>
      </c>
      <c r="E387">
        <v>830</v>
      </c>
    </row>
    <row r="388" spans="1:5" x14ac:dyDescent="0.35">
      <c r="A388" t="str">
        <f t="shared" si="24"/>
        <v>C0387</v>
      </c>
      <c r="B388" t="str">
        <f t="shared" si="25"/>
        <v>Customer_0387</v>
      </c>
      <c r="C388" t="str">
        <f t="shared" ca="1" si="26"/>
        <v>Nairobi</v>
      </c>
      <c r="D388" s="34">
        <f t="shared" ca="1" si="27"/>
        <v>435000</v>
      </c>
      <c r="E388">
        <v>718</v>
      </c>
    </row>
    <row r="389" spans="1:5" x14ac:dyDescent="0.35">
      <c r="A389" t="str">
        <f t="shared" si="24"/>
        <v>C0388</v>
      </c>
      <c r="B389" t="str">
        <f t="shared" si="25"/>
        <v>Customer_0388</v>
      </c>
      <c r="C389" t="str">
        <f t="shared" ca="1" si="26"/>
        <v>Rift Valley</v>
      </c>
      <c r="D389" s="34">
        <f t="shared" ca="1" si="27"/>
        <v>85000</v>
      </c>
      <c r="E389">
        <v>428</v>
      </c>
    </row>
    <row r="390" spans="1:5" x14ac:dyDescent="0.35">
      <c r="A390" t="str">
        <f t="shared" si="24"/>
        <v>C0389</v>
      </c>
      <c r="B390" t="str">
        <f t="shared" si="25"/>
        <v>Customer_0389</v>
      </c>
      <c r="C390" t="str">
        <f t="shared" ca="1" si="26"/>
        <v>Rift Valley</v>
      </c>
      <c r="D390" s="34">
        <f t="shared" ca="1" si="27"/>
        <v>610000</v>
      </c>
      <c r="E390">
        <v>751</v>
      </c>
    </row>
    <row r="391" spans="1:5" x14ac:dyDescent="0.35">
      <c r="A391" t="str">
        <f t="shared" si="24"/>
        <v>C0390</v>
      </c>
      <c r="B391" t="str">
        <f t="shared" si="25"/>
        <v>Customer_0390</v>
      </c>
      <c r="C391" t="str">
        <f t="shared" ca="1" si="26"/>
        <v>Nairobi</v>
      </c>
      <c r="D391" s="34">
        <f t="shared" ca="1" si="27"/>
        <v>732000</v>
      </c>
      <c r="E391">
        <v>745</v>
      </c>
    </row>
    <row r="392" spans="1:5" x14ac:dyDescent="0.35">
      <c r="A392" t="str">
        <f t="shared" si="24"/>
        <v>C0391</v>
      </c>
      <c r="B392" t="str">
        <f t="shared" si="25"/>
        <v>Customer_0391</v>
      </c>
      <c r="C392" t="str">
        <f t="shared" ca="1" si="26"/>
        <v>Nairobi</v>
      </c>
      <c r="D392" s="34">
        <f t="shared" ca="1" si="27"/>
        <v>516000</v>
      </c>
      <c r="E392">
        <v>333</v>
      </c>
    </row>
    <row r="393" spans="1:5" x14ac:dyDescent="0.35">
      <c r="A393" t="str">
        <f t="shared" si="24"/>
        <v>C0392</v>
      </c>
      <c r="B393" t="str">
        <f t="shared" si="25"/>
        <v>Customer_0392</v>
      </c>
      <c r="C393" t="str">
        <f t="shared" ca="1" si="26"/>
        <v>Rift Valley</v>
      </c>
      <c r="D393" s="34">
        <f t="shared" ca="1" si="27"/>
        <v>108000</v>
      </c>
      <c r="E393">
        <v>311</v>
      </c>
    </row>
    <row r="394" spans="1:5" x14ac:dyDescent="0.35">
      <c r="A394" t="str">
        <f t="shared" si="24"/>
        <v>C0393</v>
      </c>
      <c r="B394" t="str">
        <f t="shared" si="25"/>
        <v>Customer_0393</v>
      </c>
      <c r="C394" t="str">
        <f t="shared" ca="1" si="26"/>
        <v>Western</v>
      </c>
      <c r="D394" s="34">
        <f t="shared" ca="1" si="27"/>
        <v>464000</v>
      </c>
      <c r="E394">
        <v>549</v>
      </c>
    </row>
    <row r="395" spans="1:5" x14ac:dyDescent="0.35">
      <c r="A395" t="str">
        <f t="shared" si="24"/>
        <v>C0394</v>
      </c>
      <c r="B395" t="str">
        <f t="shared" si="25"/>
        <v>Customer_0394</v>
      </c>
      <c r="C395" t="str">
        <f t="shared" ca="1" si="26"/>
        <v>Rift Valley</v>
      </c>
      <c r="D395" s="34">
        <f t="shared" ca="1" si="27"/>
        <v>448000</v>
      </c>
      <c r="E395">
        <v>707</v>
      </c>
    </row>
    <row r="396" spans="1:5" x14ac:dyDescent="0.35">
      <c r="A396" t="str">
        <f t="shared" si="24"/>
        <v>C0395</v>
      </c>
      <c r="B396" t="str">
        <f t="shared" si="25"/>
        <v>Customer_0395</v>
      </c>
      <c r="C396" t="str">
        <f t="shared" ca="1" si="26"/>
        <v>Rift Valley</v>
      </c>
      <c r="D396" s="34">
        <f t="shared" ca="1" si="27"/>
        <v>752000</v>
      </c>
      <c r="E396">
        <v>320</v>
      </c>
    </row>
    <row r="397" spans="1:5" x14ac:dyDescent="0.35">
      <c r="A397" t="str">
        <f t="shared" si="24"/>
        <v>C0396</v>
      </c>
      <c r="B397" t="str">
        <f t="shared" si="25"/>
        <v>Customer_0396</v>
      </c>
      <c r="C397" t="str">
        <f t="shared" ca="1" si="26"/>
        <v>Western</v>
      </c>
      <c r="D397" s="34">
        <f t="shared" ca="1" si="27"/>
        <v>619000</v>
      </c>
      <c r="E397">
        <v>780</v>
      </c>
    </row>
    <row r="398" spans="1:5" x14ac:dyDescent="0.35">
      <c r="A398" t="str">
        <f t="shared" si="24"/>
        <v>C0397</v>
      </c>
      <c r="B398" t="str">
        <f t="shared" si="25"/>
        <v>Customer_0397</v>
      </c>
      <c r="C398" t="str">
        <f t="shared" ca="1" si="26"/>
        <v>Central</v>
      </c>
      <c r="D398" s="34">
        <f t="shared" ca="1" si="27"/>
        <v>312000</v>
      </c>
      <c r="E398">
        <v>333</v>
      </c>
    </row>
    <row r="399" spans="1:5" x14ac:dyDescent="0.35">
      <c r="A399" t="str">
        <f t="shared" si="24"/>
        <v>C0398</v>
      </c>
      <c r="B399" t="str">
        <f t="shared" si="25"/>
        <v>Customer_0398</v>
      </c>
      <c r="C399" t="str">
        <f t="shared" ca="1" si="26"/>
        <v>Rift Valley</v>
      </c>
      <c r="D399" s="34">
        <f t="shared" ca="1" si="27"/>
        <v>553000</v>
      </c>
      <c r="E399">
        <v>687</v>
      </c>
    </row>
    <row r="400" spans="1:5" x14ac:dyDescent="0.35">
      <c r="A400" t="str">
        <f t="shared" si="24"/>
        <v>C0399</v>
      </c>
      <c r="B400" t="str">
        <f t="shared" si="25"/>
        <v>Customer_0399</v>
      </c>
      <c r="C400" t="str">
        <f t="shared" ca="1" si="26"/>
        <v>Rift Valley</v>
      </c>
      <c r="D400" s="34">
        <f t="shared" ca="1" si="27"/>
        <v>373000</v>
      </c>
      <c r="E400">
        <v>472</v>
      </c>
    </row>
    <row r="401" spans="1:5" x14ac:dyDescent="0.35">
      <c r="A401" t="str">
        <f t="shared" si="24"/>
        <v>C0400</v>
      </c>
      <c r="B401" t="str">
        <f t="shared" si="25"/>
        <v>Customer_0400</v>
      </c>
      <c r="C401" t="str">
        <f t="shared" ca="1" si="26"/>
        <v>Nairobi</v>
      </c>
      <c r="D401" s="34">
        <f t="shared" ca="1" si="27"/>
        <v>363000</v>
      </c>
      <c r="E401">
        <v>441</v>
      </c>
    </row>
    <row r="402" spans="1:5" x14ac:dyDescent="0.35">
      <c r="A402" t="str">
        <f t="shared" si="24"/>
        <v>C0401</v>
      </c>
      <c r="B402" t="str">
        <f t="shared" si="25"/>
        <v>Customer_0401</v>
      </c>
      <c r="C402" t="str">
        <f t="shared" ca="1" si="26"/>
        <v>Western</v>
      </c>
      <c r="D402" s="34">
        <f t="shared" ca="1" si="27"/>
        <v>225000</v>
      </c>
      <c r="E402">
        <v>668</v>
      </c>
    </row>
    <row r="403" spans="1:5" x14ac:dyDescent="0.35">
      <c r="A403" t="str">
        <f t="shared" si="24"/>
        <v>C0402</v>
      </c>
      <c r="B403" t="str">
        <f t="shared" si="25"/>
        <v>Customer_0402</v>
      </c>
      <c r="C403" t="str">
        <f t="shared" ca="1" si="26"/>
        <v>Nairobi</v>
      </c>
      <c r="D403" s="34">
        <f t="shared" ca="1" si="27"/>
        <v>478000</v>
      </c>
      <c r="E403">
        <v>316</v>
      </c>
    </row>
    <row r="404" spans="1:5" x14ac:dyDescent="0.35">
      <c r="A404" t="str">
        <f t="shared" si="24"/>
        <v>C0403</v>
      </c>
      <c r="B404" t="str">
        <f t="shared" si="25"/>
        <v>Customer_0403</v>
      </c>
      <c r="C404" t="str">
        <f t="shared" ca="1" si="26"/>
        <v>Nairobi</v>
      </c>
      <c r="D404" s="34">
        <f t="shared" ca="1" si="27"/>
        <v>695000</v>
      </c>
      <c r="E404">
        <v>787</v>
      </c>
    </row>
    <row r="405" spans="1:5" x14ac:dyDescent="0.35">
      <c r="A405" t="str">
        <f t="shared" si="24"/>
        <v>C0404</v>
      </c>
      <c r="B405" t="str">
        <f t="shared" si="25"/>
        <v>Customer_0404</v>
      </c>
      <c r="C405" t="str">
        <f t="shared" ca="1" si="26"/>
        <v>Coast</v>
      </c>
      <c r="D405" s="34">
        <f t="shared" ca="1" si="27"/>
        <v>188000</v>
      </c>
      <c r="E405">
        <v>766</v>
      </c>
    </row>
    <row r="406" spans="1:5" x14ac:dyDescent="0.35">
      <c r="A406" t="str">
        <f t="shared" si="24"/>
        <v>C0405</v>
      </c>
      <c r="B406" t="str">
        <f t="shared" si="25"/>
        <v>Customer_0405</v>
      </c>
      <c r="C406" t="str">
        <f t="shared" ca="1" si="26"/>
        <v>Nairobi</v>
      </c>
      <c r="D406" s="34">
        <f t="shared" ca="1" si="27"/>
        <v>398000</v>
      </c>
      <c r="E406">
        <v>501</v>
      </c>
    </row>
    <row r="407" spans="1:5" x14ac:dyDescent="0.35">
      <c r="A407" t="str">
        <f t="shared" si="24"/>
        <v>C0406</v>
      </c>
      <c r="B407" t="str">
        <f t="shared" si="25"/>
        <v>Customer_0406</v>
      </c>
      <c r="C407" t="str">
        <f t="shared" ca="1" si="26"/>
        <v>Central</v>
      </c>
      <c r="D407" s="34">
        <f t="shared" ca="1" si="27"/>
        <v>362000</v>
      </c>
      <c r="E407">
        <v>314</v>
      </c>
    </row>
    <row r="408" spans="1:5" x14ac:dyDescent="0.35">
      <c r="A408" t="str">
        <f t="shared" si="24"/>
        <v>C0407</v>
      </c>
      <c r="B408" t="str">
        <f t="shared" si="25"/>
        <v>Customer_0407</v>
      </c>
      <c r="C408" t="str">
        <f t="shared" ca="1" si="26"/>
        <v>Rift Valley</v>
      </c>
      <c r="D408" s="34">
        <f t="shared" ca="1" si="27"/>
        <v>774000</v>
      </c>
      <c r="E408">
        <v>813</v>
      </c>
    </row>
    <row r="409" spans="1:5" x14ac:dyDescent="0.35">
      <c r="A409" t="str">
        <f t="shared" si="24"/>
        <v>C0408</v>
      </c>
      <c r="B409" t="str">
        <f t="shared" si="25"/>
        <v>Customer_0408</v>
      </c>
      <c r="C409" t="str">
        <f t="shared" ca="1" si="26"/>
        <v>Nairobi</v>
      </c>
      <c r="D409" s="34">
        <f t="shared" ca="1" si="27"/>
        <v>100000</v>
      </c>
      <c r="E409">
        <v>572</v>
      </c>
    </row>
    <row r="410" spans="1:5" x14ac:dyDescent="0.35">
      <c r="A410" t="str">
        <f t="shared" si="24"/>
        <v>C0409</v>
      </c>
      <c r="B410" t="str">
        <f t="shared" si="25"/>
        <v>Customer_0409</v>
      </c>
      <c r="C410" t="str">
        <f t="shared" ca="1" si="26"/>
        <v>Rift Valley</v>
      </c>
      <c r="D410" s="34">
        <f t="shared" ca="1" si="27"/>
        <v>550000</v>
      </c>
      <c r="E410">
        <v>324</v>
      </c>
    </row>
    <row r="411" spans="1:5" x14ac:dyDescent="0.35">
      <c r="A411" t="str">
        <f t="shared" si="24"/>
        <v>C0410</v>
      </c>
      <c r="B411" t="str">
        <f t="shared" si="25"/>
        <v>Customer_0410</v>
      </c>
      <c r="C411" t="str">
        <f t="shared" ca="1" si="26"/>
        <v>Nairobi</v>
      </c>
      <c r="D411" s="34">
        <f t="shared" ca="1" si="27"/>
        <v>636000</v>
      </c>
      <c r="E411">
        <v>363</v>
      </c>
    </row>
    <row r="412" spans="1:5" x14ac:dyDescent="0.35">
      <c r="A412" t="str">
        <f t="shared" si="24"/>
        <v>C0411</v>
      </c>
      <c r="B412" t="str">
        <f t="shared" si="25"/>
        <v>Customer_0411</v>
      </c>
      <c r="C412" t="str">
        <f t="shared" ca="1" si="26"/>
        <v>Coast</v>
      </c>
      <c r="D412" s="34">
        <f t="shared" ca="1" si="27"/>
        <v>388000</v>
      </c>
      <c r="E412">
        <v>687</v>
      </c>
    </row>
    <row r="413" spans="1:5" x14ac:dyDescent="0.35">
      <c r="A413" t="str">
        <f t="shared" si="24"/>
        <v>C0412</v>
      </c>
      <c r="B413" t="str">
        <f t="shared" si="25"/>
        <v>Customer_0412</v>
      </c>
      <c r="C413" t="str">
        <f t="shared" ca="1" si="26"/>
        <v>Rift Valley</v>
      </c>
      <c r="D413" s="34">
        <f t="shared" ca="1" si="27"/>
        <v>361000</v>
      </c>
      <c r="E413">
        <v>513</v>
      </c>
    </row>
    <row r="414" spans="1:5" x14ac:dyDescent="0.35">
      <c r="A414" t="str">
        <f t="shared" si="24"/>
        <v>C0413</v>
      </c>
      <c r="B414" t="str">
        <f t="shared" si="25"/>
        <v>Customer_0413</v>
      </c>
      <c r="C414" t="str">
        <f t="shared" ca="1" si="26"/>
        <v>Western</v>
      </c>
      <c r="D414" s="34">
        <f t="shared" ca="1" si="27"/>
        <v>457000</v>
      </c>
      <c r="E414">
        <v>455</v>
      </c>
    </row>
    <row r="415" spans="1:5" x14ac:dyDescent="0.35">
      <c r="A415" t="str">
        <f t="shared" si="24"/>
        <v>C0414</v>
      </c>
      <c r="B415" t="str">
        <f t="shared" si="25"/>
        <v>Customer_0414</v>
      </c>
      <c r="C415" t="str">
        <f t="shared" ca="1" si="26"/>
        <v>Central</v>
      </c>
      <c r="D415" s="34">
        <f t="shared" ca="1" si="27"/>
        <v>472000</v>
      </c>
      <c r="E415">
        <v>708</v>
      </c>
    </row>
    <row r="416" spans="1:5" x14ac:dyDescent="0.35">
      <c r="A416" t="str">
        <f t="shared" si="24"/>
        <v>C0415</v>
      </c>
      <c r="B416" t="str">
        <f t="shared" si="25"/>
        <v>Customer_0415</v>
      </c>
      <c r="C416" t="str">
        <f t="shared" ca="1" si="26"/>
        <v>Western</v>
      </c>
      <c r="D416" s="34">
        <f t="shared" ca="1" si="27"/>
        <v>667000</v>
      </c>
      <c r="E416">
        <v>739</v>
      </c>
    </row>
    <row r="417" spans="1:5" x14ac:dyDescent="0.35">
      <c r="A417" t="str">
        <f t="shared" si="24"/>
        <v>C0416</v>
      </c>
      <c r="B417" t="str">
        <f t="shared" si="25"/>
        <v>Customer_0416</v>
      </c>
      <c r="C417" t="str">
        <f t="shared" ca="1" si="26"/>
        <v>Central</v>
      </c>
      <c r="D417" s="34">
        <f t="shared" ca="1" si="27"/>
        <v>88000</v>
      </c>
      <c r="E417">
        <v>626</v>
      </c>
    </row>
    <row r="418" spans="1:5" x14ac:dyDescent="0.35">
      <c r="A418" t="str">
        <f t="shared" si="24"/>
        <v>C0417</v>
      </c>
      <c r="B418" t="str">
        <f t="shared" si="25"/>
        <v>Customer_0417</v>
      </c>
      <c r="C418" t="str">
        <f t="shared" ca="1" si="26"/>
        <v>Rift Valley</v>
      </c>
      <c r="D418" s="34">
        <f t="shared" ca="1" si="27"/>
        <v>50000</v>
      </c>
      <c r="E418">
        <v>413</v>
      </c>
    </row>
    <row r="419" spans="1:5" x14ac:dyDescent="0.35">
      <c r="A419" t="str">
        <f t="shared" si="24"/>
        <v>C0418</v>
      </c>
      <c r="B419" t="str">
        <f t="shared" si="25"/>
        <v>Customer_0418</v>
      </c>
      <c r="C419" t="str">
        <f t="shared" ca="1" si="26"/>
        <v>Rift Valley</v>
      </c>
      <c r="D419" s="34">
        <f t="shared" ca="1" si="27"/>
        <v>731000</v>
      </c>
      <c r="E419">
        <v>441</v>
      </c>
    </row>
    <row r="420" spans="1:5" x14ac:dyDescent="0.35">
      <c r="A420" t="str">
        <f t="shared" si="24"/>
        <v>C0419</v>
      </c>
      <c r="B420" t="str">
        <f t="shared" si="25"/>
        <v>Customer_0419</v>
      </c>
      <c r="C420" t="str">
        <f t="shared" ca="1" si="26"/>
        <v>Coast</v>
      </c>
      <c r="D420" s="34">
        <f t="shared" ca="1" si="27"/>
        <v>241000</v>
      </c>
      <c r="E420">
        <v>775</v>
      </c>
    </row>
    <row r="421" spans="1:5" x14ac:dyDescent="0.35">
      <c r="A421" t="str">
        <f t="shared" si="24"/>
        <v>C0420</v>
      </c>
      <c r="B421" t="str">
        <f t="shared" si="25"/>
        <v>Customer_0420</v>
      </c>
      <c r="C421" t="str">
        <f t="shared" ca="1" si="26"/>
        <v>Central</v>
      </c>
      <c r="D421" s="34">
        <f t="shared" ca="1" si="27"/>
        <v>572000</v>
      </c>
      <c r="E421">
        <v>732</v>
      </c>
    </row>
    <row r="422" spans="1:5" x14ac:dyDescent="0.35">
      <c r="A422" t="str">
        <f t="shared" si="24"/>
        <v>C0421</v>
      </c>
      <c r="B422" t="str">
        <f t="shared" si="25"/>
        <v>Customer_0421</v>
      </c>
      <c r="C422" t="str">
        <f t="shared" ca="1" si="26"/>
        <v>Nairobi</v>
      </c>
      <c r="D422" s="34">
        <f t="shared" ca="1" si="27"/>
        <v>129000</v>
      </c>
      <c r="E422">
        <v>789</v>
      </c>
    </row>
    <row r="423" spans="1:5" x14ac:dyDescent="0.35">
      <c r="A423" t="str">
        <f t="shared" si="24"/>
        <v>C0422</v>
      </c>
      <c r="B423" t="str">
        <f t="shared" si="25"/>
        <v>Customer_0422</v>
      </c>
      <c r="C423" t="str">
        <f t="shared" ca="1" si="26"/>
        <v>Rift Valley</v>
      </c>
      <c r="D423" s="34">
        <f t="shared" ca="1" si="27"/>
        <v>389000</v>
      </c>
      <c r="E423">
        <v>653</v>
      </c>
    </row>
    <row r="424" spans="1:5" x14ac:dyDescent="0.35">
      <c r="A424" t="str">
        <f t="shared" si="24"/>
        <v>C0423</v>
      </c>
      <c r="B424" t="str">
        <f t="shared" si="25"/>
        <v>Customer_0423</v>
      </c>
      <c r="C424" t="str">
        <f t="shared" ca="1" si="26"/>
        <v>Nairobi</v>
      </c>
      <c r="D424" s="34">
        <f t="shared" ca="1" si="27"/>
        <v>527000</v>
      </c>
      <c r="E424">
        <v>708</v>
      </c>
    </row>
    <row r="425" spans="1:5" x14ac:dyDescent="0.35">
      <c r="A425" t="str">
        <f t="shared" si="24"/>
        <v>C0424</v>
      </c>
      <c r="B425" t="str">
        <f t="shared" si="25"/>
        <v>Customer_0424</v>
      </c>
      <c r="C425" t="str">
        <f t="shared" ca="1" si="26"/>
        <v>Rift Valley</v>
      </c>
      <c r="D425" s="34">
        <f t="shared" ca="1" si="27"/>
        <v>607000</v>
      </c>
      <c r="E425">
        <v>668</v>
      </c>
    </row>
    <row r="426" spans="1:5" x14ac:dyDescent="0.35">
      <c r="A426" t="str">
        <f t="shared" si="24"/>
        <v>C0425</v>
      </c>
      <c r="B426" t="str">
        <f t="shared" si="25"/>
        <v>Customer_0425</v>
      </c>
      <c r="C426" t="str">
        <f t="shared" ca="1" si="26"/>
        <v>Coast</v>
      </c>
      <c r="D426" s="34">
        <f t="shared" ca="1" si="27"/>
        <v>296000</v>
      </c>
      <c r="E426">
        <v>667</v>
      </c>
    </row>
    <row r="427" spans="1:5" x14ac:dyDescent="0.35">
      <c r="A427" t="str">
        <f t="shared" si="24"/>
        <v>C0426</v>
      </c>
      <c r="B427" t="str">
        <f t="shared" si="25"/>
        <v>Customer_0426</v>
      </c>
      <c r="C427" t="str">
        <f t="shared" ca="1" si="26"/>
        <v>Nairobi</v>
      </c>
      <c r="D427" s="34">
        <f t="shared" ca="1" si="27"/>
        <v>482000</v>
      </c>
      <c r="E427">
        <v>487</v>
      </c>
    </row>
    <row r="428" spans="1:5" x14ac:dyDescent="0.35">
      <c r="A428" t="str">
        <f t="shared" si="24"/>
        <v>C0427</v>
      </c>
      <c r="B428" t="str">
        <f t="shared" si="25"/>
        <v>Customer_0427</v>
      </c>
      <c r="C428" t="str">
        <f t="shared" ca="1" si="26"/>
        <v>Coast</v>
      </c>
      <c r="D428" s="34">
        <f t="shared" ca="1" si="27"/>
        <v>672000</v>
      </c>
      <c r="E428">
        <v>567</v>
      </c>
    </row>
    <row r="429" spans="1:5" x14ac:dyDescent="0.35">
      <c r="A429" t="str">
        <f t="shared" si="24"/>
        <v>C0428</v>
      </c>
      <c r="B429" t="str">
        <f t="shared" si="25"/>
        <v>Customer_0428</v>
      </c>
      <c r="C429" t="str">
        <f t="shared" ca="1" si="26"/>
        <v>Nairobi</v>
      </c>
      <c r="D429" s="34">
        <f t="shared" ca="1" si="27"/>
        <v>467000</v>
      </c>
      <c r="E429">
        <v>847</v>
      </c>
    </row>
    <row r="430" spans="1:5" x14ac:dyDescent="0.35">
      <c r="A430" t="str">
        <f t="shared" si="24"/>
        <v>C0429</v>
      </c>
      <c r="B430" t="str">
        <f t="shared" si="25"/>
        <v>Customer_0429</v>
      </c>
      <c r="C430" t="str">
        <f t="shared" ca="1" si="26"/>
        <v>Rift Valley</v>
      </c>
      <c r="D430" s="34">
        <f t="shared" ca="1" si="27"/>
        <v>719000</v>
      </c>
      <c r="E430">
        <v>627</v>
      </c>
    </row>
    <row r="431" spans="1:5" x14ac:dyDescent="0.35">
      <c r="A431" t="str">
        <f t="shared" si="24"/>
        <v>C0430</v>
      </c>
      <c r="B431" t="str">
        <f t="shared" si="25"/>
        <v>Customer_0430</v>
      </c>
      <c r="C431" t="str">
        <f t="shared" ca="1" si="26"/>
        <v>Western</v>
      </c>
      <c r="D431" s="34">
        <f t="shared" ca="1" si="27"/>
        <v>273000</v>
      </c>
      <c r="E431">
        <v>389</v>
      </c>
    </row>
    <row r="432" spans="1:5" x14ac:dyDescent="0.35">
      <c r="A432" t="str">
        <f t="shared" si="24"/>
        <v>C0431</v>
      </c>
      <c r="B432" t="str">
        <f t="shared" si="25"/>
        <v>Customer_0431</v>
      </c>
      <c r="C432" t="str">
        <f t="shared" ca="1" si="26"/>
        <v>Central</v>
      </c>
      <c r="D432" s="34">
        <f t="shared" ca="1" si="27"/>
        <v>752000</v>
      </c>
      <c r="E432">
        <v>511</v>
      </c>
    </row>
    <row r="433" spans="1:5" x14ac:dyDescent="0.35">
      <c r="A433" t="str">
        <f t="shared" si="24"/>
        <v>C0432</v>
      </c>
      <c r="B433" t="str">
        <f t="shared" si="25"/>
        <v>Customer_0432</v>
      </c>
      <c r="C433" t="str">
        <f t="shared" ca="1" si="26"/>
        <v>Rift Valley</v>
      </c>
      <c r="D433" s="34">
        <f t="shared" ca="1" si="27"/>
        <v>513000</v>
      </c>
      <c r="E433">
        <v>694</v>
      </c>
    </row>
    <row r="434" spans="1:5" x14ac:dyDescent="0.35">
      <c r="A434" t="str">
        <f t="shared" si="24"/>
        <v>C0433</v>
      </c>
      <c r="B434" t="str">
        <f t="shared" si="25"/>
        <v>Customer_0433</v>
      </c>
      <c r="C434" t="str">
        <f t="shared" ca="1" si="26"/>
        <v>Coast</v>
      </c>
      <c r="D434" s="34">
        <f t="shared" ca="1" si="27"/>
        <v>160000</v>
      </c>
      <c r="E434">
        <v>457</v>
      </c>
    </row>
    <row r="435" spans="1:5" x14ac:dyDescent="0.35">
      <c r="A435" t="str">
        <f t="shared" si="24"/>
        <v>C0434</v>
      </c>
      <c r="B435" t="str">
        <f t="shared" si="25"/>
        <v>Customer_0434</v>
      </c>
      <c r="C435" t="str">
        <f t="shared" ca="1" si="26"/>
        <v>Coast</v>
      </c>
      <c r="D435" s="34">
        <f t="shared" ca="1" si="27"/>
        <v>104000</v>
      </c>
      <c r="E435">
        <v>473</v>
      </c>
    </row>
    <row r="436" spans="1:5" x14ac:dyDescent="0.35">
      <c r="A436" t="str">
        <f t="shared" si="24"/>
        <v>C0435</v>
      </c>
      <c r="B436" t="str">
        <f t="shared" si="25"/>
        <v>Customer_0435</v>
      </c>
      <c r="C436" t="str">
        <f t="shared" ca="1" si="26"/>
        <v>Rift Valley</v>
      </c>
      <c r="D436" s="34">
        <f t="shared" ca="1" si="27"/>
        <v>767000</v>
      </c>
      <c r="E436">
        <v>391</v>
      </c>
    </row>
    <row r="437" spans="1:5" x14ac:dyDescent="0.35">
      <c r="A437" t="str">
        <f t="shared" si="24"/>
        <v>C0436</v>
      </c>
      <c r="B437" t="str">
        <f t="shared" si="25"/>
        <v>Customer_0436</v>
      </c>
      <c r="C437" t="str">
        <f t="shared" ca="1" si="26"/>
        <v>Central</v>
      </c>
      <c r="D437" s="34">
        <f t="shared" ca="1" si="27"/>
        <v>672000</v>
      </c>
      <c r="E437">
        <v>467</v>
      </c>
    </row>
    <row r="438" spans="1:5" x14ac:dyDescent="0.35">
      <c r="A438" t="str">
        <f t="shared" si="24"/>
        <v>C0437</v>
      </c>
      <c r="B438" t="str">
        <f t="shared" si="25"/>
        <v>Customer_0437</v>
      </c>
      <c r="C438" t="str">
        <f t="shared" ca="1" si="26"/>
        <v>Rift Valley</v>
      </c>
      <c r="D438" s="34">
        <f t="shared" ca="1" si="27"/>
        <v>381000</v>
      </c>
      <c r="E438">
        <v>695</v>
      </c>
    </row>
    <row r="439" spans="1:5" x14ac:dyDescent="0.35">
      <c r="A439" t="str">
        <f t="shared" si="24"/>
        <v>C0438</v>
      </c>
      <c r="B439" t="str">
        <f t="shared" si="25"/>
        <v>Customer_0438</v>
      </c>
      <c r="C439" t="str">
        <f t="shared" ca="1" si="26"/>
        <v>Western</v>
      </c>
      <c r="D439" s="34">
        <f t="shared" ca="1" si="27"/>
        <v>405000</v>
      </c>
      <c r="E439">
        <v>385</v>
      </c>
    </row>
    <row r="440" spans="1:5" x14ac:dyDescent="0.35">
      <c r="A440" t="str">
        <f t="shared" si="24"/>
        <v>C0439</v>
      </c>
      <c r="B440" t="str">
        <f t="shared" si="25"/>
        <v>Customer_0439</v>
      </c>
      <c r="C440" t="str">
        <f t="shared" ca="1" si="26"/>
        <v>Western</v>
      </c>
      <c r="D440" s="34">
        <f t="shared" ca="1" si="27"/>
        <v>220000</v>
      </c>
      <c r="E440">
        <v>466</v>
      </c>
    </row>
    <row r="441" spans="1:5" x14ac:dyDescent="0.35">
      <c r="A441" t="str">
        <f t="shared" si="24"/>
        <v>C0440</v>
      </c>
      <c r="B441" t="str">
        <f t="shared" si="25"/>
        <v>Customer_0440</v>
      </c>
      <c r="C441" t="str">
        <f t="shared" ca="1" si="26"/>
        <v>Western</v>
      </c>
      <c r="D441" s="34">
        <f t="shared" ca="1" si="27"/>
        <v>652000</v>
      </c>
      <c r="E441">
        <v>734</v>
      </c>
    </row>
    <row r="442" spans="1:5" x14ac:dyDescent="0.35">
      <c r="A442" t="str">
        <f t="shared" si="24"/>
        <v>C0441</v>
      </c>
      <c r="B442" t="str">
        <f t="shared" si="25"/>
        <v>Customer_0441</v>
      </c>
      <c r="C442" t="str">
        <f t="shared" ca="1" si="26"/>
        <v>Rift Valley</v>
      </c>
      <c r="D442" s="34">
        <f t="shared" ca="1" si="27"/>
        <v>363000</v>
      </c>
      <c r="E442">
        <v>342</v>
      </c>
    </row>
    <row r="443" spans="1:5" x14ac:dyDescent="0.35">
      <c r="A443" t="str">
        <f t="shared" si="24"/>
        <v>C0442</v>
      </c>
      <c r="B443" t="str">
        <f t="shared" si="25"/>
        <v>Customer_0442</v>
      </c>
      <c r="C443" t="str">
        <f t="shared" ca="1" si="26"/>
        <v>Nairobi</v>
      </c>
      <c r="D443" s="34">
        <f t="shared" ca="1" si="27"/>
        <v>73000</v>
      </c>
      <c r="E443">
        <v>568</v>
      </c>
    </row>
    <row r="444" spans="1:5" x14ac:dyDescent="0.35">
      <c r="A444" t="str">
        <f t="shared" si="24"/>
        <v>C0443</v>
      </c>
      <c r="B444" t="str">
        <f t="shared" si="25"/>
        <v>Customer_0443</v>
      </c>
      <c r="C444" t="str">
        <f t="shared" ca="1" si="26"/>
        <v>Central</v>
      </c>
      <c r="D444" s="34">
        <f t="shared" ca="1" si="27"/>
        <v>62000</v>
      </c>
      <c r="E444">
        <v>654</v>
      </c>
    </row>
    <row r="445" spans="1:5" x14ac:dyDescent="0.35">
      <c r="A445" t="str">
        <f t="shared" si="24"/>
        <v>C0444</v>
      </c>
      <c r="B445" t="str">
        <f t="shared" si="25"/>
        <v>Customer_0444</v>
      </c>
      <c r="C445" t="str">
        <f t="shared" ca="1" si="26"/>
        <v>Coast</v>
      </c>
      <c r="D445" s="34">
        <f t="shared" ca="1" si="27"/>
        <v>471000</v>
      </c>
      <c r="E445">
        <v>486</v>
      </c>
    </row>
    <row r="446" spans="1:5" x14ac:dyDescent="0.35">
      <c r="A446" t="str">
        <f t="shared" si="24"/>
        <v>C0445</v>
      </c>
      <c r="B446" t="str">
        <f t="shared" si="25"/>
        <v>Customer_0445</v>
      </c>
      <c r="C446" t="str">
        <f t="shared" ca="1" si="26"/>
        <v>Central</v>
      </c>
      <c r="D446" s="34">
        <f t="shared" ca="1" si="27"/>
        <v>623000</v>
      </c>
      <c r="E446">
        <v>468</v>
      </c>
    </row>
    <row r="447" spans="1:5" x14ac:dyDescent="0.35">
      <c r="A447" t="str">
        <f t="shared" si="24"/>
        <v>C0446</v>
      </c>
      <c r="B447" t="str">
        <f t="shared" si="25"/>
        <v>Customer_0446</v>
      </c>
      <c r="C447" t="str">
        <f t="shared" ca="1" si="26"/>
        <v>Nairobi</v>
      </c>
      <c r="D447" s="34">
        <f t="shared" ca="1" si="27"/>
        <v>137000</v>
      </c>
      <c r="E447">
        <v>751</v>
      </c>
    </row>
    <row r="448" spans="1:5" x14ac:dyDescent="0.35">
      <c r="A448" t="str">
        <f t="shared" si="24"/>
        <v>C0447</v>
      </c>
      <c r="B448" t="str">
        <f t="shared" si="25"/>
        <v>Customer_0447</v>
      </c>
      <c r="C448" t="str">
        <f t="shared" ca="1" si="26"/>
        <v>Nairobi</v>
      </c>
      <c r="D448" s="34">
        <f t="shared" ca="1" si="27"/>
        <v>675000</v>
      </c>
      <c r="E448">
        <v>508</v>
      </c>
    </row>
    <row r="449" spans="1:5" x14ac:dyDescent="0.35">
      <c r="A449" t="str">
        <f t="shared" si="24"/>
        <v>C0448</v>
      </c>
      <c r="B449" t="str">
        <f t="shared" si="25"/>
        <v>Customer_0448</v>
      </c>
      <c r="C449" t="str">
        <f t="shared" ca="1" si="26"/>
        <v>Central</v>
      </c>
      <c r="D449" s="34">
        <f t="shared" ca="1" si="27"/>
        <v>415000</v>
      </c>
      <c r="E449">
        <v>673</v>
      </c>
    </row>
    <row r="450" spans="1:5" x14ac:dyDescent="0.35">
      <c r="A450" t="str">
        <f t="shared" si="24"/>
        <v>C0449</v>
      </c>
      <c r="B450" t="str">
        <f t="shared" si="25"/>
        <v>Customer_0449</v>
      </c>
      <c r="C450" t="str">
        <f t="shared" ca="1" si="26"/>
        <v>Rift Valley</v>
      </c>
      <c r="D450" s="34">
        <f t="shared" ca="1" si="27"/>
        <v>363000</v>
      </c>
      <c r="E450">
        <v>793</v>
      </c>
    </row>
    <row r="451" spans="1:5" x14ac:dyDescent="0.35">
      <c r="A451" t="str">
        <f t="shared" ref="A451:A514" si="28">"C"&amp;TEXT(ROW()-1,"0000")</f>
        <v>C0450</v>
      </c>
      <c r="B451" t="str">
        <f t="shared" ref="B451:B514" si="29">"Customer_"&amp;TEXT(ROW()-1,"0000")</f>
        <v>Customer_0450</v>
      </c>
      <c r="C451" t="str">
        <f t="shared" ref="C451:C514" ca="1" si="30">CHOOSE(RANDBETWEEN(1,5),
"Nairobi",
"Central",
"Coast",
"Rift Valley",
"Western")</f>
        <v>Nairobi</v>
      </c>
      <c r="D451" s="34">
        <f t="shared" ref="D451:D514" ca="1" si="31">ROUND(RANDBETWEEN(50000,800000),-3)</f>
        <v>227000</v>
      </c>
      <c r="E451">
        <v>749</v>
      </c>
    </row>
    <row r="452" spans="1:5" x14ac:dyDescent="0.35">
      <c r="A452" t="str">
        <f t="shared" si="28"/>
        <v>C0451</v>
      </c>
      <c r="B452" t="str">
        <f t="shared" si="29"/>
        <v>Customer_0451</v>
      </c>
      <c r="C452" t="str">
        <f t="shared" ca="1" si="30"/>
        <v>Rift Valley</v>
      </c>
      <c r="D452" s="34">
        <f t="shared" ca="1" si="31"/>
        <v>471000</v>
      </c>
      <c r="E452">
        <v>825</v>
      </c>
    </row>
    <row r="453" spans="1:5" x14ac:dyDescent="0.35">
      <c r="A453" t="str">
        <f t="shared" si="28"/>
        <v>C0452</v>
      </c>
      <c r="B453" t="str">
        <f t="shared" si="29"/>
        <v>Customer_0452</v>
      </c>
      <c r="C453" t="str">
        <f t="shared" ca="1" si="30"/>
        <v>Central</v>
      </c>
      <c r="D453" s="34">
        <f t="shared" ca="1" si="31"/>
        <v>791000</v>
      </c>
      <c r="E453">
        <v>578</v>
      </c>
    </row>
    <row r="454" spans="1:5" x14ac:dyDescent="0.35">
      <c r="A454" t="str">
        <f t="shared" si="28"/>
        <v>C0453</v>
      </c>
      <c r="B454" t="str">
        <f t="shared" si="29"/>
        <v>Customer_0453</v>
      </c>
      <c r="C454" t="str">
        <f t="shared" ca="1" si="30"/>
        <v>Western</v>
      </c>
      <c r="D454" s="34">
        <f t="shared" ca="1" si="31"/>
        <v>427000</v>
      </c>
      <c r="E454">
        <v>467</v>
      </c>
    </row>
    <row r="455" spans="1:5" x14ac:dyDescent="0.35">
      <c r="A455" t="str">
        <f t="shared" si="28"/>
        <v>C0454</v>
      </c>
      <c r="B455" t="str">
        <f t="shared" si="29"/>
        <v>Customer_0454</v>
      </c>
      <c r="C455" t="str">
        <f t="shared" ca="1" si="30"/>
        <v>Coast</v>
      </c>
      <c r="D455" s="34">
        <f t="shared" ca="1" si="31"/>
        <v>178000</v>
      </c>
      <c r="E455">
        <v>738</v>
      </c>
    </row>
    <row r="456" spans="1:5" x14ac:dyDescent="0.35">
      <c r="A456" t="str">
        <f t="shared" si="28"/>
        <v>C0455</v>
      </c>
      <c r="B456" t="str">
        <f t="shared" si="29"/>
        <v>Customer_0455</v>
      </c>
      <c r="C456" t="str">
        <f t="shared" ca="1" si="30"/>
        <v>Coast</v>
      </c>
      <c r="D456" s="34">
        <f t="shared" ca="1" si="31"/>
        <v>509000</v>
      </c>
      <c r="E456">
        <v>411</v>
      </c>
    </row>
    <row r="457" spans="1:5" x14ac:dyDescent="0.35">
      <c r="A457" t="str">
        <f t="shared" si="28"/>
        <v>C0456</v>
      </c>
      <c r="B457" t="str">
        <f t="shared" si="29"/>
        <v>Customer_0456</v>
      </c>
      <c r="C457" t="str">
        <f t="shared" ca="1" si="30"/>
        <v>Rift Valley</v>
      </c>
      <c r="D457" s="34">
        <f t="shared" ca="1" si="31"/>
        <v>775000</v>
      </c>
      <c r="E457">
        <v>688</v>
      </c>
    </row>
    <row r="458" spans="1:5" x14ac:dyDescent="0.35">
      <c r="A458" t="str">
        <f t="shared" si="28"/>
        <v>C0457</v>
      </c>
      <c r="B458" t="str">
        <f t="shared" si="29"/>
        <v>Customer_0457</v>
      </c>
      <c r="C458" t="str">
        <f t="shared" ca="1" si="30"/>
        <v>Western</v>
      </c>
      <c r="D458" s="34">
        <f t="shared" ca="1" si="31"/>
        <v>466000</v>
      </c>
      <c r="E458">
        <v>306</v>
      </c>
    </row>
    <row r="459" spans="1:5" x14ac:dyDescent="0.35">
      <c r="A459" t="str">
        <f t="shared" si="28"/>
        <v>C0458</v>
      </c>
      <c r="B459" t="str">
        <f t="shared" si="29"/>
        <v>Customer_0458</v>
      </c>
      <c r="C459" t="str">
        <f t="shared" ca="1" si="30"/>
        <v>Western</v>
      </c>
      <c r="D459" s="34">
        <f t="shared" ca="1" si="31"/>
        <v>291000</v>
      </c>
      <c r="E459">
        <v>698</v>
      </c>
    </row>
    <row r="460" spans="1:5" x14ac:dyDescent="0.35">
      <c r="A460" t="str">
        <f t="shared" si="28"/>
        <v>C0459</v>
      </c>
      <c r="B460" t="str">
        <f t="shared" si="29"/>
        <v>Customer_0459</v>
      </c>
      <c r="C460" t="str">
        <f t="shared" ca="1" si="30"/>
        <v>Coast</v>
      </c>
      <c r="D460" s="34">
        <f t="shared" ca="1" si="31"/>
        <v>372000</v>
      </c>
      <c r="E460">
        <v>502</v>
      </c>
    </row>
    <row r="461" spans="1:5" x14ac:dyDescent="0.35">
      <c r="A461" t="str">
        <f t="shared" si="28"/>
        <v>C0460</v>
      </c>
      <c r="B461" t="str">
        <f t="shared" si="29"/>
        <v>Customer_0460</v>
      </c>
      <c r="C461" t="str">
        <f t="shared" ca="1" si="30"/>
        <v>Coast</v>
      </c>
      <c r="D461" s="34">
        <f t="shared" ca="1" si="31"/>
        <v>782000</v>
      </c>
      <c r="E461">
        <v>544</v>
      </c>
    </row>
    <row r="462" spans="1:5" x14ac:dyDescent="0.35">
      <c r="A462" t="str">
        <f t="shared" si="28"/>
        <v>C0461</v>
      </c>
      <c r="B462" t="str">
        <f t="shared" si="29"/>
        <v>Customer_0461</v>
      </c>
      <c r="C462" t="str">
        <f t="shared" ca="1" si="30"/>
        <v>Rift Valley</v>
      </c>
      <c r="D462" s="34">
        <f t="shared" ca="1" si="31"/>
        <v>708000</v>
      </c>
      <c r="E462">
        <v>769</v>
      </c>
    </row>
    <row r="463" spans="1:5" x14ac:dyDescent="0.35">
      <c r="A463" t="str">
        <f t="shared" si="28"/>
        <v>C0462</v>
      </c>
      <c r="B463" t="str">
        <f t="shared" si="29"/>
        <v>Customer_0462</v>
      </c>
      <c r="C463" t="str">
        <f t="shared" ca="1" si="30"/>
        <v>Nairobi</v>
      </c>
      <c r="D463" s="34">
        <f t="shared" ca="1" si="31"/>
        <v>749000</v>
      </c>
      <c r="E463">
        <v>706</v>
      </c>
    </row>
    <row r="464" spans="1:5" x14ac:dyDescent="0.35">
      <c r="A464" t="str">
        <f t="shared" si="28"/>
        <v>C0463</v>
      </c>
      <c r="B464" t="str">
        <f t="shared" si="29"/>
        <v>Customer_0463</v>
      </c>
      <c r="C464" t="str">
        <f t="shared" ca="1" si="30"/>
        <v>Western</v>
      </c>
      <c r="D464" s="34">
        <f t="shared" ca="1" si="31"/>
        <v>141000</v>
      </c>
      <c r="E464">
        <v>619</v>
      </c>
    </row>
    <row r="465" spans="1:5" x14ac:dyDescent="0.35">
      <c r="A465" t="str">
        <f t="shared" si="28"/>
        <v>C0464</v>
      </c>
      <c r="B465" t="str">
        <f t="shared" si="29"/>
        <v>Customer_0464</v>
      </c>
      <c r="C465" t="str">
        <f t="shared" ca="1" si="30"/>
        <v>Nairobi</v>
      </c>
      <c r="D465" s="34">
        <f t="shared" ca="1" si="31"/>
        <v>650000</v>
      </c>
      <c r="E465">
        <v>310</v>
      </c>
    </row>
    <row r="466" spans="1:5" x14ac:dyDescent="0.35">
      <c r="A466" t="str">
        <f t="shared" si="28"/>
        <v>C0465</v>
      </c>
      <c r="B466" t="str">
        <f t="shared" si="29"/>
        <v>Customer_0465</v>
      </c>
      <c r="C466" t="str">
        <f t="shared" ca="1" si="30"/>
        <v>Rift Valley</v>
      </c>
      <c r="D466" s="34">
        <f t="shared" ca="1" si="31"/>
        <v>370000</v>
      </c>
      <c r="E466">
        <v>358</v>
      </c>
    </row>
    <row r="467" spans="1:5" x14ac:dyDescent="0.35">
      <c r="A467" t="str">
        <f t="shared" si="28"/>
        <v>C0466</v>
      </c>
      <c r="B467" t="str">
        <f t="shared" si="29"/>
        <v>Customer_0466</v>
      </c>
      <c r="C467" t="str">
        <f t="shared" ca="1" si="30"/>
        <v>Coast</v>
      </c>
      <c r="D467" s="34">
        <f t="shared" ca="1" si="31"/>
        <v>254000</v>
      </c>
      <c r="E467">
        <v>368</v>
      </c>
    </row>
    <row r="468" spans="1:5" x14ac:dyDescent="0.35">
      <c r="A468" t="str">
        <f t="shared" si="28"/>
        <v>C0467</v>
      </c>
      <c r="B468" t="str">
        <f t="shared" si="29"/>
        <v>Customer_0467</v>
      </c>
      <c r="C468" t="str">
        <f t="shared" ca="1" si="30"/>
        <v>Western</v>
      </c>
      <c r="D468" s="34">
        <f t="shared" ca="1" si="31"/>
        <v>550000</v>
      </c>
      <c r="E468">
        <v>303</v>
      </c>
    </row>
    <row r="469" spans="1:5" x14ac:dyDescent="0.35">
      <c r="A469" t="str">
        <f t="shared" si="28"/>
        <v>C0468</v>
      </c>
      <c r="B469" t="str">
        <f t="shared" si="29"/>
        <v>Customer_0468</v>
      </c>
      <c r="C469" t="str">
        <f t="shared" ca="1" si="30"/>
        <v>Coast</v>
      </c>
      <c r="D469" s="34">
        <f t="shared" ca="1" si="31"/>
        <v>631000</v>
      </c>
      <c r="E469">
        <v>604</v>
      </c>
    </row>
    <row r="470" spans="1:5" x14ac:dyDescent="0.35">
      <c r="A470" t="str">
        <f t="shared" si="28"/>
        <v>C0469</v>
      </c>
      <c r="B470" t="str">
        <f t="shared" si="29"/>
        <v>Customer_0469</v>
      </c>
      <c r="C470" t="str">
        <f t="shared" ca="1" si="30"/>
        <v>Coast</v>
      </c>
      <c r="D470" s="34">
        <f t="shared" ca="1" si="31"/>
        <v>527000</v>
      </c>
      <c r="E470">
        <v>760</v>
      </c>
    </row>
    <row r="471" spans="1:5" x14ac:dyDescent="0.35">
      <c r="A471" t="str">
        <f t="shared" si="28"/>
        <v>C0470</v>
      </c>
      <c r="B471" t="str">
        <f t="shared" si="29"/>
        <v>Customer_0470</v>
      </c>
      <c r="C471" t="str">
        <f t="shared" ca="1" si="30"/>
        <v>Nairobi</v>
      </c>
      <c r="D471" s="34">
        <f t="shared" ca="1" si="31"/>
        <v>457000</v>
      </c>
      <c r="E471">
        <v>718</v>
      </c>
    </row>
    <row r="472" spans="1:5" x14ac:dyDescent="0.35">
      <c r="A472" t="str">
        <f t="shared" si="28"/>
        <v>C0471</v>
      </c>
      <c r="B472" t="str">
        <f t="shared" si="29"/>
        <v>Customer_0471</v>
      </c>
      <c r="C472" t="str">
        <f t="shared" ca="1" si="30"/>
        <v>Western</v>
      </c>
      <c r="D472" s="34">
        <f t="shared" ca="1" si="31"/>
        <v>548000</v>
      </c>
      <c r="E472">
        <v>499</v>
      </c>
    </row>
    <row r="473" spans="1:5" x14ac:dyDescent="0.35">
      <c r="A473" t="str">
        <f t="shared" si="28"/>
        <v>C0472</v>
      </c>
      <c r="B473" t="str">
        <f t="shared" si="29"/>
        <v>Customer_0472</v>
      </c>
      <c r="C473" t="str">
        <f t="shared" ca="1" si="30"/>
        <v>Coast</v>
      </c>
      <c r="D473" s="34">
        <f t="shared" ca="1" si="31"/>
        <v>365000</v>
      </c>
      <c r="E473">
        <v>767</v>
      </c>
    </row>
    <row r="474" spans="1:5" x14ac:dyDescent="0.35">
      <c r="A474" t="str">
        <f t="shared" si="28"/>
        <v>C0473</v>
      </c>
      <c r="B474" t="str">
        <f t="shared" si="29"/>
        <v>Customer_0473</v>
      </c>
      <c r="C474" t="str">
        <f t="shared" ca="1" si="30"/>
        <v>Western</v>
      </c>
      <c r="D474" s="34">
        <f t="shared" ca="1" si="31"/>
        <v>471000</v>
      </c>
      <c r="E474">
        <v>674</v>
      </c>
    </row>
    <row r="475" spans="1:5" x14ac:dyDescent="0.35">
      <c r="A475" t="str">
        <f t="shared" si="28"/>
        <v>C0474</v>
      </c>
      <c r="B475" t="str">
        <f t="shared" si="29"/>
        <v>Customer_0474</v>
      </c>
      <c r="C475" t="str">
        <f t="shared" ca="1" si="30"/>
        <v>Rift Valley</v>
      </c>
      <c r="D475" s="34">
        <f t="shared" ca="1" si="31"/>
        <v>244000</v>
      </c>
      <c r="E475">
        <v>485</v>
      </c>
    </row>
    <row r="476" spans="1:5" x14ac:dyDescent="0.35">
      <c r="A476" t="str">
        <f t="shared" si="28"/>
        <v>C0475</v>
      </c>
      <c r="B476" t="str">
        <f t="shared" si="29"/>
        <v>Customer_0475</v>
      </c>
      <c r="C476" t="str">
        <f t="shared" ca="1" si="30"/>
        <v>Nairobi</v>
      </c>
      <c r="D476" s="34">
        <f t="shared" ca="1" si="31"/>
        <v>417000</v>
      </c>
      <c r="E476">
        <v>428</v>
      </c>
    </row>
    <row r="477" spans="1:5" x14ac:dyDescent="0.35">
      <c r="A477" t="str">
        <f t="shared" si="28"/>
        <v>C0476</v>
      </c>
      <c r="B477" t="str">
        <f t="shared" si="29"/>
        <v>Customer_0476</v>
      </c>
      <c r="C477" t="str">
        <f t="shared" ca="1" si="30"/>
        <v>Rift Valley</v>
      </c>
      <c r="D477" s="34">
        <f t="shared" ca="1" si="31"/>
        <v>569000</v>
      </c>
      <c r="E477">
        <v>625</v>
      </c>
    </row>
    <row r="478" spans="1:5" x14ac:dyDescent="0.35">
      <c r="A478" t="str">
        <f t="shared" si="28"/>
        <v>C0477</v>
      </c>
      <c r="B478" t="str">
        <f t="shared" si="29"/>
        <v>Customer_0477</v>
      </c>
      <c r="C478" t="str">
        <f t="shared" ca="1" si="30"/>
        <v>Coast</v>
      </c>
      <c r="D478" s="34">
        <f t="shared" ca="1" si="31"/>
        <v>527000</v>
      </c>
      <c r="E478">
        <v>518</v>
      </c>
    </row>
    <row r="479" spans="1:5" x14ac:dyDescent="0.35">
      <c r="A479" t="str">
        <f t="shared" si="28"/>
        <v>C0478</v>
      </c>
      <c r="B479" t="str">
        <f t="shared" si="29"/>
        <v>Customer_0478</v>
      </c>
      <c r="C479" t="str">
        <f t="shared" ca="1" si="30"/>
        <v>Western</v>
      </c>
      <c r="D479" s="34">
        <f t="shared" ca="1" si="31"/>
        <v>662000</v>
      </c>
      <c r="E479">
        <v>343</v>
      </c>
    </row>
    <row r="480" spans="1:5" x14ac:dyDescent="0.35">
      <c r="A480" t="str">
        <f t="shared" si="28"/>
        <v>C0479</v>
      </c>
      <c r="B480" t="str">
        <f t="shared" si="29"/>
        <v>Customer_0479</v>
      </c>
      <c r="C480" t="str">
        <f t="shared" ca="1" si="30"/>
        <v>Coast</v>
      </c>
      <c r="D480" s="34">
        <f t="shared" ca="1" si="31"/>
        <v>68000</v>
      </c>
      <c r="E480">
        <v>430</v>
      </c>
    </row>
    <row r="481" spans="1:5" x14ac:dyDescent="0.35">
      <c r="A481" t="str">
        <f t="shared" si="28"/>
        <v>C0480</v>
      </c>
      <c r="B481" t="str">
        <f t="shared" si="29"/>
        <v>Customer_0480</v>
      </c>
      <c r="C481" t="str">
        <f t="shared" ca="1" si="30"/>
        <v>Rift Valley</v>
      </c>
      <c r="D481" s="34">
        <f t="shared" ca="1" si="31"/>
        <v>622000</v>
      </c>
      <c r="E481">
        <v>493</v>
      </c>
    </row>
    <row r="482" spans="1:5" x14ac:dyDescent="0.35">
      <c r="A482" t="str">
        <f t="shared" si="28"/>
        <v>C0481</v>
      </c>
      <c r="B482" t="str">
        <f t="shared" si="29"/>
        <v>Customer_0481</v>
      </c>
      <c r="C482" t="str">
        <f t="shared" ca="1" si="30"/>
        <v>Western</v>
      </c>
      <c r="D482" s="34">
        <f t="shared" ca="1" si="31"/>
        <v>144000</v>
      </c>
      <c r="E482">
        <v>420</v>
      </c>
    </row>
    <row r="483" spans="1:5" x14ac:dyDescent="0.35">
      <c r="A483" t="str">
        <f t="shared" si="28"/>
        <v>C0482</v>
      </c>
      <c r="B483" t="str">
        <f t="shared" si="29"/>
        <v>Customer_0482</v>
      </c>
      <c r="C483" t="str">
        <f t="shared" ca="1" si="30"/>
        <v>Western</v>
      </c>
      <c r="D483" s="34">
        <f t="shared" ca="1" si="31"/>
        <v>705000</v>
      </c>
      <c r="E483">
        <v>723</v>
      </c>
    </row>
    <row r="484" spans="1:5" x14ac:dyDescent="0.35">
      <c r="A484" t="str">
        <f t="shared" si="28"/>
        <v>C0483</v>
      </c>
      <c r="B484" t="str">
        <f t="shared" si="29"/>
        <v>Customer_0483</v>
      </c>
      <c r="C484" t="str">
        <f t="shared" ca="1" si="30"/>
        <v>Central</v>
      </c>
      <c r="D484" s="34">
        <f t="shared" ca="1" si="31"/>
        <v>122000</v>
      </c>
      <c r="E484">
        <v>665</v>
      </c>
    </row>
    <row r="485" spans="1:5" x14ac:dyDescent="0.35">
      <c r="A485" t="str">
        <f t="shared" si="28"/>
        <v>C0484</v>
      </c>
      <c r="B485" t="str">
        <f t="shared" si="29"/>
        <v>Customer_0484</v>
      </c>
      <c r="C485" t="str">
        <f t="shared" ca="1" si="30"/>
        <v>Coast</v>
      </c>
      <c r="D485" s="34">
        <f t="shared" ca="1" si="31"/>
        <v>605000</v>
      </c>
      <c r="E485">
        <v>686</v>
      </c>
    </row>
    <row r="486" spans="1:5" x14ac:dyDescent="0.35">
      <c r="A486" t="str">
        <f t="shared" si="28"/>
        <v>C0485</v>
      </c>
      <c r="B486" t="str">
        <f t="shared" si="29"/>
        <v>Customer_0485</v>
      </c>
      <c r="C486" t="str">
        <f t="shared" ca="1" si="30"/>
        <v>Central</v>
      </c>
      <c r="D486" s="34">
        <f t="shared" ca="1" si="31"/>
        <v>799000</v>
      </c>
      <c r="E486">
        <v>567</v>
      </c>
    </row>
    <row r="487" spans="1:5" x14ac:dyDescent="0.35">
      <c r="A487" t="str">
        <f t="shared" si="28"/>
        <v>C0486</v>
      </c>
      <c r="B487" t="str">
        <f t="shared" si="29"/>
        <v>Customer_0486</v>
      </c>
      <c r="C487" t="str">
        <f t="shared" ca="1" si="30"/>
        <v>Western</v>
      </c>
      <c r="D487" s="34">
        <f t="shared" ca="1" si="31"/>
        <v>554000</v>
      </c>
      <c r="E487">
        <v>559</v>
      </c>
    </row>
    <row r="488" spans="1:5" x14ac:dyDescent="0.35">
      <c r="A488" t="str">
        <f t="shared" si="28"/>
        <v>C0487</v>
      </c>
      <c r="B488" t="str">
        <f t="shared" si="29"/>
        <v>Customer_0487</v>
      </c>
      <c r="C488" t="str">
        <f t="shared" ca="1" si="30"/>
        <v>Western</v>
      </c>
      <c r="D488" s="34">
        <f t="shared" ca="1" si="31"/>
        <v>597000</v>
      </c>
      <c r="E488">
        <v>782</v>
      </c>
    </row>
    <row r="489" spans="1:5" x14ac:dyDescent="0.35">
      <c r="A489" t="str">
        <f t="shared" si="28"/>
        <v>C0488</v>
      </c>
      <c r="B489" t="str">
        <f t="shared" si="29"/>
        <v>Customer_0488</v>
      </c>
      <c r="C489" t="str">
        <f t="shared" ca="1" si="30"/>
        <v>Coast</v>
      </c>
      <c r="D489" s="34">
        <f t="shared" ca="1" si="31"/>
        <v>342000</v>
      </c>
      <c r="E489">
        <v>530</v>
      </c>
    </row>
    <row r="490" spans="1:5" x14ac:dyDescent="0.35">
      <c r="A490" t="str">
        <f t="shared" si="28"/>
        <v>C0489</v>
      </c>
      <c r="B490" t="str">
        <f t="shared" si="29"/>
        <v>Customer_0489</v>
      </c>
      <c r="C490" t="str">
        <f t="shared" ca="1" si="30"/>
        <v>Rift Valley</v>
      </c>
      <c r="D490" s="34">
        <f t="shared" ca="1" si="31"/>
        <v>244000</v>
      </c>
      <c r="E490">
        <v>690</v>
      </c>
    </row>
    <row r="491" spans="1:5" x14ac:dyDescent="0.35">
      <c r="A491" t="str">
        <f t="shared" si="28"/>
        <v>C0490</v>
      </c>
      <c r="B491" t="str">
        <f t="shared" si="29"/>
        <v>Customer_0490</v>
      </c>
      <c r="C491" t="str">
        <f t="shared" ca="1" si="30"/>
        <v>Central</v>
      </c>
      <c r="D491" s="34">
        <f t="shared" ca="1" si="31"/>
        <v>679000</v>
      </c>
      <c r="E491">
        <v>552</v>
      </c>
    </row>
    <row r="492" spans="1:5" x14ac:dyDescent="0.35">
      <c r="A492" t="str">
        <f t="shared" si="28"/>
        <v>C0491</v>
      </c>
      <c r="B492" t="str">
        <f t="shared" si="29"/>
        <v>Customer_0491</v>
      </c>
      <c r="C492" t="str">
        <f t="shared" ca="1" si="30"/>
        <v>Coast</v>
      </c>
      <c r="D492" s="34">
        <f t="shared" ca="1" si="31"/>
        <v>589000</v>
      </c>
      <c r="E492">
        <v>406</v>
      </c>
    </row>
    <row r="493" spans="1:5" x14ac:dyDescent="0.35">
      <c r="A493" t="str">
        <f t="shared" si="28"/>
        <v>C0492</v>
      </c>
      <c r="B493" t="str">
        <f t="shared" si="29"/>
        <v>Customer_0492</v>
      </c>
      <c r="C493" t="str">
        <f t="shared" ca="1" si="30"/>
        <v>Central</v>
      </c>
      <c r="D493" s="34">
        <f t="shared" ca="1" si="31"/>
        <v>206000</v>
      </c>
      <c r="E493">
        <v>611</v>
      </c>
    </row>
    <row r="494" spans="1:5" x14ac:dyDescent="0.35">
      <c r="A494" t="str">
        <f t="shared" si="28"/>
        <v>C0493</v>
      </c>
      <c r="B494" t="str">
        <f t="shared" si="29"/>
        <v>Customer_0493</v>
      </c>
      <c r="C494" t="str">
        <f t="shared" ca="1" si="30"/>
        <v>Coast</v>
      </c>
      <c r="D494" s="34">
        <f t="shared" ca="1" si="31"/>
        <v>430000</v>
      </c>
      <c r="E494">
        <v>377</v>
      </c>
    </row>
    <row r="495" spans="1:5" x14ac:dyDescent="0.35">
      <c r="A495" t="str">
        <f t="shared" si="28"/>
        <v>C0494</v>
      </c>
      <c r="B495" t="str">
        <f t="shared" si="29"/>
        <v>Customer_0494</v>
      </c>
      <c r="C495" t="str">
        <f t="shared" ca="1" si="30"/>
        <v>Central</v>
      </c>
      <c r="D495" s="34">
        <f t="shared" ca="1" si="31"/>
        <v>265000</v>
      </c>
      <c r="E495">
        <v>474</v>
      </c>
    </row>
    <row r="496" spans="1:5" x14ac:dyDescent="0.35">
      <c r="A496" t="str">
        <f t="shared" si="28"/>
        <v>C0495</v>
      </c>
      <c r="B496" t="str">
        <f t="shared" si="29"/>
        <v>Customer_0495</v>
      </c>
      <c r="C496" t="str">
        <f t="shared" ca="1" si="30"/>
        <v>Nairobi</v>
      </c>
      <c r="D496" s="34">
        <f t="shared" ca="1" si="31"/>
        <v>242000</v>
      </c>
      <c r="E496">
        <v>519</v>
      </c>
    </row>
    <row r="497" spans="1:5" x14ac:dyDescent="0.35">
      <c r="A497" t="str">
        <f t="shared" si="28"/>
        <v>C0496</v>
      </c>
      <c r="B497" t="str">
        <f t="shared" si="29"/>
        <v>Customer_0496</v>
      </c>
      <c r="C497" t="str">
        <f t="shared" ca="1" si="30"/>
        <v>Rift Valley</v>
      </c>
      <c r="D497" s="34">
        <f t="shared" ca="1" si="31"/>
        <v>692000</v>
      </c>
      <c r="E497">
        <v>604</v>
      </c>
    </row>
    <row r="498" spans="1:5" x14ac:dyDescent="0.35">
      <c r="A498" t="str">
        <f t="shared" si="28"/>
        <v>C0497</v>
      </c>
      <c r="B498" t="str">
        <f t="shared" si="29"/>
        <v>Customer_0497</v>
      </c>
      <c r="C498" t="str">
        <f t="shared" ca="1" si="30"/>
        <v>Nairobi</v>
      </c>
      <c r="D498" s="34">
        <f t="shared" ca="1" si="31"/>
        <v>55000</v>
      </c>
      <c r="E498">
        <v>426</v>
      </c>
    </row>
    <row r="499" spans="1:5" x14ac:dyDescent="0.35">
      <c r="A499" t="str">
        <f t="shared" si="28"/>
        <v>C0498</v>
      </c>
      <c r="B499" t="str">
        <f t="shared" si="29"/>
        <v>Customer_0498</v>
      </c>
      <c r="C499" t="str">
        <f t="shared" ca="1" si="30"/>
        <v>Rift Valley</v>
      </c>
      <c r="D499" s="34">
        <f t="shared" ca="1" si="31"/>
        <v>390000</v>
      </c>
      <c r="E499">
        <v>309</v>
      </c>
    </row>
    <row r="500" spans="1:5" x14ac:dyDescent="0.35">
      <c r="A500" t="str">
        <f t="shared" si="28"/>
        <v>C0499</v>
      </c>
      <c r="B500" t="str">
        <f t="shared" si="29"/>
        <v>Customer_0499</v>
      </c>
      <c r="C500" t="str">
        <f t="shared" ca="1" si="30"/>
        <v>Rift Valley</v>
      </c>
      <c r="D500" s="34">
        <f t="shared" ca="1" si="31"/>
        <v>161000</v>
      </c>
      <c r="E500">
        <v>600</v>
      </c>
    </row>
    <row r="501" spans="1:5" x14ac:dyDescent="0.35">
      <c r="A501" t="str">
        <f t="shared" si="28"/>
        <v>C0500</v>
      </c>
      <c r="B501" t="str">
        <f t="shared" si="29"/>
        <v>Customer_0500</v>
      </c>
      <c r="C501" t="str">
        <f t="shared" ca="1" si="30"/>
        <v>Nairobi</v>
      </c>
      <c r="D501" s="34">
        <f t="shared" ca="1" si="31"/>
        <v>783000</v>
      </c>
      <c r="E501">
        <v>428</v>
      </c>
    </row>
    <row r="502" spans="1:5" x14ac:dyDescent="0.35">
      <c r="A502" t="str">
        <f t="shared" si="28"/>
        <v>C0501</v>
      </c>
      <c r="B502" t="str">
        <f t="shared" si="29"/>
        <v>Customer_0501</v>
      </c>
      <c r="C502" t="str">
        <f t="shared" ca="1" si="30"/>
        <v>Coast</v>
      </c>
      <c r="D502" s="34">
        <f t="shared" ca="1" si="31"/>
        <v>413000</v>
      </c>
      <c r="E502">
        <v>306</v>
      </c>
    </row>
    <row r="503" spans="1:5" x14ac:dyDescent="0.35">
      <c r="A503" t="str">
        <f t="shared" si="28"/>
        <v>C0502</v>
      </c>
      <c r="B503" t="str">
        <f t="shared" si="29"/>
        <v>Customer_0502</v>
      </c>
      <c r="C503" t="str">
        <f t="shared" ca="1" si="30"/>
        <v>Rift Valley</v>
      </c>
      <c r="D503" s="34">
        <f t="shared" ca="1" si="31"/>
        <v>462000</v>
      </c>
      <c r="E503">
        <v>671</v>
      </c>
    </row>
    <row r="504" spans="1:5" x14ac:dyDescent="0.35">
      <c r="A504" t="str">
        <f t="shared" si="28"/>
        <v>C0503</v>
      </c>
      <c r="B504" t="str">
        <f t="shared" si="29"/>
        <v>Customer_0503</v>
      </c>
      <c r="C504" t="str">
        <f t="shared" ca="1" si="30"/>
        <v>Western</v>
      </c>
      <c r="D504" s="34">
        <f t="shared" ca="1" si="31"/>
        <v>604000</v>
      </c>
      <c r="E504">
        <v>568</v>
      </c>
    </row>
    <row r="505" spans="1:5" x14ac:dyDescent="0.35">
      <c r="A505" t="str">
        <f t="shared" si="28"/>
        <v>C0504</v>
      </c>
      <c r="B505" t="str">
        <f t="shared" si="29"/>
        <v>Customer_0504</v>
      </c>
      <c r="C505" t="str">
        <f t="shared" ca="1" si="30"/>
        <v>Rift Valley</v>
      </c>
      <c r="D505" s="34">
        <f t="shared" ca="1" si="31"/>
        <v>732000</v>
      </c>
      <c r="E505">
        <v>834</v>
      </c>
    </row>
    <row r="506" spans="1:5" x14ac:dyDescent="0.35">
      <c r="A506" t="str">
        <f t="shared" si="28"/>
        <v>C0505</v>
      </c>
      <c r="B506" t="str">
        <f t="shared" si="29"/>
        <v>Customer_0505</v>
      </c>
      <c r="C506" t="str">
        <f t="shared" ca="1" si="30"/>
        <v>Rift Valley</v>
      </c>
      <c r="D506" s="34">
        <f t="shared" ca="1" si="31"/>
        <v>331000</v>
      </c>
      <c r="E506">
        <v>543</v>
      </c>
    </row>
    <row r="507" spans="1:5" x14ac:dyDescent="0.35">
      <c r="A507" t="str">
        <f t="shared" si="28"/>
        <v>C0506</v>
      </c>
      <c r="B507" t="str">
        <f t="shared" si="29"/>
        <v>Customer_0506</v>
      </c>
      <c r="C507" t="str">
        <f t="shared" ca="1" si="30"/>
        <v>Rift Valley</v>
      </c>
      <c r="D507" s="34">
        <f t="shared" ca="1" si="31"/>
        <v>702000</v>
      </c>
      <c r="E507">
        <v>377</v>
      </c>
    </row>
    <row r="508" spans="1:5" x14ac:dyDescent="0.35">
      <c r="A508" t="str">
        <f t="shared" si="28"/>
        <v>C0507</v>
      </c>
      <c r="B508" t="str">
        <f t="shared" si="29"/>
        <v>Customer_0507</v>
      </c>
      <c r="C508" t="str">
        <f t="shared" ca="1" si="30"/>
        <v>Nairobi</v>
      </c>
      <c r="D508" s="34">
        <f t="shared" ca="1" si="31"/>
        <v>584000</v>
      </c>
      <c r="E508">
        <v>734</v>
      </c>
    </row>
    <row r="509" spans="1:5" x14ac:dyDescent="0.35">
      <c r="A509" t="str">
        <f t="shared" si="28"/>
        <v>C0508</v>
      </c>
      <c r="B509" t="str">
        <f t="shared" si="29"/>
        <v>Customer_0508</v>
      </c>
      <c r="C509" t="str">
        <f t="shared" ca="1" si="30"/>
        <v>Central</v>
      </c>
      <c r="D509" s="34">
        <f t="shared" ca="1" si="31"/>
        <v>282000</v>
      </c>
      <c r="E509">
        <v>842</v>
      </c>
    </row>
    <row r="510" spans="1:5" x14ac:dyDescent="0.35">
      <c r="A510" t="str">
        <f t="shared" si="28"/>
        <v>C0509</v>
      </c>
      <c r="B510" t="str">
        <f t="shared" si="29"/>
        <v>Customer_0509</v>
      </c>
      <c r="C510" t="str">
        <f t="shared" ca="1" si="30"/>
        <v>Nairobi</v>
      </c>
      <c r="D510" s="34">
        <f t="shared" ca="1" si="31"/>
        <v>711000</v>
      </c>
      <c r="E510">
        <v>662</v>
      </c>
    </row>
    <row r="511" spans="1:5" x14ac:dyDescent="0.35">
      <c r="A511" t="str">
        <f t="shared" si="28"/>
        <v>C0510</v>
      </c>
      <c r="B511" t="str">
        <f t="shared" si="29"/>
        <v>Customer_0510</v>
      </c>
      <c r="C511" t="str">
        <f t="shared" ca="1" si="30"/>
        <v>Rift Valley</v>
      </c>
      <c r="D511" s="34">
        <f t="shared" ca="1" si="31"/>
        <v>713000</v>
      </c>
      <c r="E511">
        <v>361</v>
      </c>
    </row>
    <row r="512" spans="1:5" x14ac:dyDescent="0.35">
      <c r="A512" t="str">
        <f t="shared" si="28"/>
        <v>C0511</v>
      </c>
      <c r="B512" t="str">
        <f t="shared" si="29"/>
        <v>Customer_0511</v>
      </c>
      <c r="C512" t="str">
        <f t="shared" ca="1" si="30"/>
        <v>Rift Valley</v>
      </c>
      <c r="D512" s="34">
        <f t="shared" ca="1" si="31"/>
        <v>601000</v>
      </c>
      <c r="E512">
        <v>607</v>
      </c>
    </row>
    <row r="513" spans="1:5" x14ac:dyDescent="0.35">
      <c r="A513" t="str">
        <f t="shared" si="28"/>
        <v>C0512</v>
      </c>
      <c r="B513" t="str">
        <f t="shared" si="29"/>
        <v>Customer_0512</v>
      </c>
      <c r="C513" t="str">
        <f t="shared" ca="1" si="30"/>
        <v>Rift Valley</v>
      </c>
      <c r="D513" s="34">
        <f t="shared" ca="1" si="31"/>
        <v>470000</v>
      </c>
      <c r="E513">
        <v>663</v>
      </c>
    </row>
    <row r="514" spans="1:5" x14ac:dyDescent="0.35">
      <c r="A514" t="str">
        <f t="shared" si="28"/>
        <v>C0513</v>
      </c>
      <c r="B514" t="str">
        <f t="shared" si="29"/>
        <v>Customer_0513</v>
      </c>
      <c r="C514" t="str">
        <f t="shared" ca="1" si="30"/>
        <v>Rift Valley</v>
      </c>
      <c r="D514" s="34">
        <f t="shared" ca="1" si="31"/>
        <v>754000</v>
      </c>
      <c r="E514">
        <v>825</v>
      </c>
    </row>
    <row r="515" spans="1:5" x14ac:dyDescent="0.35">
      <c r="A515" t="str">
        <f t="shared" ref="A515:A578" si="32">"C"&amp;TEXT(ROW()-1,"0000")</f>
        <v>C0514</v>
      </c>
      <c r="B515" t="str">
        <f t="shared" ref="B515:B578" si="33">"Customer_"&amp;TEXT(ROW()-1,"0000")</f>
        <v>Customer_0514</v>
      </c>
      <c r="C515" t="str">
        <f t="shared" ref="C515:C578" ca="1" si="34">CHOOSE(RANDBETWEEN(1,5),
"Nairobi",
"Central",
"Coast",
"Rift Valley",
"Western")</f>
        <v>Western</v>
      </c>
      <c r="D515" s="34">
        <f t="shared" ref="D515:D578" ca="1" si="35">ROUND(RANDBETWEEN(50000,800000),-3)</f>
        <v>67000</v>
      </c>
      <c r="E515">
        <v>681</v>
      </c>
    </row>
    <row r="516" spans="1:5" x14ac:dyDescent="0.35">
      <c r="A516" t="str">
        <f t="shared" si="32"/>
        <v>C0515</v>
      </c>
      <c r="B516" t="str">
        <f t="shared" si="33"/>
        <v>Customer_0515</v>
      </c>
      <c r="C516" t="str">
        <f t="shared" ca="1" si="34"/>
        <v>Nairobi</v>
      </c>
      <c r="D516" s="34">
        <f t="shared" ca="1" si="35"/>
        <v>535000</v>
      </c>
      <c r="E516">
        <v>543</v>
      </c>
    </row>
    <row r="517" spans="1:5" x14ac:dyDescent="0.35">
      <c r="A517" t="str">
        <f t="shared" si="32"/>
        <v>C0516</v>
      </c>
      <c r="B517" t="str">
        <f t="shared" si="33"/>
        <v>Customer_0516</v>
      </c>
      <c r="C517" t="str">
        <f t="shared" ca="1" si="34"/>
        <v>Rift Valley</v>
      </c>
      <c r="D517" s="34">
        <f t="shared" ca="1" si="35"/>
        <v>585000</v>
      </c>
      <c r="E517">
        <v>631</v>
      </c>
    </row>
    <row r="518" spans="1:5" x14ac:dyDescent="0.35">
      <c r="A518" t="str">
        <f t="shared" si="32"/>
        <v>C0517</v>
      </c>
      <c r="B518" t="str">
        <f t="shared" si="33"/>
        <v>Customer_0517</v>
      </c>
      <c r="C518" t="str">
        <f t="shared" ca="1" si="34"/>
        <v>Rift Valley</v>
      </c>
      <c r="D518" s="34">
        <f t="shared" ca="1" si="35"/>
        <v>678000</v>
      </c>
      <c r="E518">
        <v>430</v>
      </c>
    </row>
    <row r="519" spans="1:5" x14ac:dyDescent="0.35">
      <c r="A519" t="str">
        <f t="shared" si="32"/>
        <v>C0518</v>
      </c>
      <c r="B519" t="str">
        <f t="shared" si="33"/>
        <v>Customer_0518</v>
      </c>
      <c r="C519" t="str">
        <f t="shared" ca="1" si="34"/>
        <v>Coast</v>
      </c>
      <c r="D519" s="34">
        <f t="shared" ca="1" si="35"/>
        <v>724000</v>
      </c>
      <c r="E519">
        <v>793</v>
      </c>
    </row>
    <row r="520" spans="1:5" x14ac:dyDescent="0.35">
      <c r="A520" t="str">
        <f t="shared" si="32"/>
        <v>C0519</v>
      </c>
      <c r="B520" t="str">
        <f t="shared" si="33"/>
        <v>Customer_0519</v>
      </c>
      <c r="C520" t="str">
        <f t="shared" ca="1" si="34"/>
        <v>Coast</v>
      </c>
      <c r="D520" s="34">
        <f t="shared" ca="1" si="35"/>
        <v>453000</v>
      </c>
      <c r="E520">
        <v>329</v>
      </c>
    </row>
    <row r="521" spans="1:5" x14ac:dyDescent="0.35">
      <c r="A521" t="str">
        <f t="shared" si="32"/>
        <v>C0520</v>
      </c>
      <c r="B521" t="str">
        <f t="shared" si="33"/>
        <v>Customer_0520</v>
      </c>
      <c r="C521" t="str">
        <f t="shared" ca="1" si="34"/>
        <v>Central</v>
      </c>
      <c r="D521" s="34">
        <f t="shared" ca="1" si="35"/>
        <v>795000</v>
      </c>
      <c r="E521">
        <v>820</v>
      </c>
    </row>
    <row r="522" spans="1:5" x14ac:dyDescent="0.35">
      <c r="A522" t="str">
        <f t="shared" si="32"/>
        <v>C0521</v>
      </c>
      <c r="B522" t="str">
        <f t="shared" si="33"/>
        <v>Customer_0521</v>
      </c>
      <c r="C522" t="str">
        <f t="shared" ca="1" si="34"/>
        <v>Rift Valley</v>
      </c>
      <c r="D522" s="34">
        <f t="shared" ca="1" si="35"/>
        <v>729000</v>
      </c>
      <c r="E522">
        <v>309</v>
      </c>
    </row>
    <row r="523" spans="1:5" x14ac:dyDescent="0.35">
      <c r="A523" t="str">
        <f t="shared" si="32"/>
        <v>C0522</v>
      </c>
      <c r="B523" t="str">
        <f t="shared" si="33"/>
        <v>Customer_0522</v>
      </c>
      <c r="C523" t="str">
        <f t="shared" ca="1" si="34"/>
        <v>Central</v>
      </c>
      <c r="D523" s="34">
        <f t="shared" ca="1" si="35"/>
        <v>420000</v>
      </c>
      <c r="E523">
        <v>711</v>
      </c>
    </row>
    <row r="524" spans="1:5" x14ac:dyDescent="0.35">
      <c r="A524" t="str">
        <f t="shared" si="32"/>
        <v>C0523</v>
      </c>
      <c r="B524" t="str">
        <f t="shared" si="33"/>
        <v>Customer_0523</v>
      </c>
      <c r="C524" t="str">
        <f t="shared" ca="1" si="34"/>
        <v>Central</v>
      </c>
      <c r="D524" s="34">
        <f t="shared" ca="1" si="35"/>
        <v>339000</v>
      </c>
      <c r="E524">
        <v>375</v>
      </c>
    </row>
    <row r="525" spans="1:5" x14ac:dyDescent="0.35">
      <c r="A525" t="str">
        <f t="shared" si="32"/>
        <v>C0524</v>
      </c>
      <c r="B525" t="str">
        <f t="shared" si="33"/>
        <v>Customer_0524</v>
      </c>
      <c r="C525" t="str">
        <f t="shared" ca="1" si="34"/>
        <v>Central</v>
      </c>
      <c r="D525" s="34">
        <f t="shared" ca="1" si="35"/>
        <v>395000</v>
      </c>
      <c r="E525">
        <v>662</v>
      </c>
    </row>
    <row r="526" spans="1:5" x14ac:dyDescent="0.35">
      <c r="A526" t="str">
        <f t="shared" si="32"/>
        <v>C0525</v>
      </c>
      <c r="B526" t="str">
        <f t="shared" si="33"/>
        <v>Customer_0525</v>
      </c>
      <c r="C526" t="str">
        <f t="shared" ca="1" si="34"/>
        <v>Coast</v>
      </c>
      <c r="D526" s="34">
        <f t="shared" ca="1" si="35"/>
        <v>655000</v>
      </c>
      <c r="E526">
        <v>557</v>
      </c>
    </row>
    <row r="527" spans="1:5" x14ac:dyDescent="0.35">
      <c r="A527" t="str">
        <f t="shared" si="32"/>
        <v>C0526</v>
      </c>
      <c r="B527" t="str">
        <f t="shared" si="33"/>
        <v>Customer_0526</v>
      </c>
      <c r="C527" t="str">
        <f t="shared" ca="1" si="34"/>
        <v>Nairobi</v>
      </c>
      <c r="D527" s="34">
        <f t="shared" ca="1" si="35"/>
        <v>200000</v>
      </c>
      <c r="E527">
        <v>501</v>
      </c>
    </row>
    <row r="528" spans="1:5" x14ac:dyDescent="0.35">
      <c r="A528" t="str">
        <f t="shared" si="32"/>
        <v>C0527</v>
      </c>
      <c r="B528" t="str">
        <f t="shared" si="33"/>
        <v>Customer_0527</v>
      </c>
      <c r="C528" t="str">
        <f t="shared" ca="1" si="34"/>
        <v>Western</v>
      </c>
      <c r="D528" s="34">
        <f t="shared" ca="1" si="35"/>
        <v>624000</v>
      </c>
      <c r="E528">
        <v>340</v>
      </c>
    </row>
    <row r="529" spans="1:5" x14ac:dyDescent="0.35">
      <c r="A529" t="str">
        <f t="shared" si="32"/>
        <v>C0528</v>
      </c>
      <c r="B529" t="str">
        <f t="shared" si="33"/>
        <v>Customer_0528</v>
      </c>
      <c r="C529" t="str">
        <f t="shared" ca="1" si="34"/>
        <v>Central</v>
      </c>
      <c r="D529" s="34">
        <f t="shared" ca="1" si="35"/>
        <v>323000</v>
      </c>
      <c r="E529">
        <v>558</v>
      </c>
    </row>
    <row r="530" spans="1:5" x14ac:dyDescent="0.35">
      <c r="A530" t="str">
        <f t="shared" si="32"/>
        <v>C0529</v>
      </c>
      <c r="B530" t="str">
        <f t="shared" si="33"/>
        <v>Customer_0529</v>
      </c>
      <c r="C530" t="str">
        <f t="shared" ca="1" si="34"/>
        <v>Rift Valley</v>
      </c>
      <c r="D530" s="34">
        <f t="shared" ca="1" si="35"/>
        <v>755000</v>
      </c>
      <c r="E530">
        <v>787</v>
      </c>
    </row>
    <row r="531" spans="1:5" x14ac:dyDescent="0.35">
      <c r="A531" t="str">
        <f t="shared" si="32"/>
        <v>C0530</v>
      </c>
      <c r="B531" t="str">
        <f t="shared" si="33"/>
        <v>Customer_0530</v>
      </c>
      <c r="C531" t="str">
        <f t="shared" ca="1" si="34"/>
        <v>Nairobi</v>
      </c>
      <c r="D531" s="34">
        <f t="shared" ca="1" si="35"/>
        <v>192000</v>
      </c>
      <c r="E531">
        <v>802</v>
      </c>
    </row>
    <row r="532" spans="1:5" x14ac:dyDescent="0.35">
      <c r="A532" t="str">
        <f t="shared" si="32"/>
        <v>C0531</v>
      </c>
      <c r="B532" t="str">
        <f t="shared" si="33"/>
        <v>Customer_0531</v>
      </c>
      <c r="C532" t="str">
        <f t="shared" ca="1" si="34"/>
        <v>Nairobi</v>
      </c>
      <c r="D532" s="34">
        <f t="shared" ca="1" si="35"/>
        <v>445000</v>
      </c>
      <c r="E532">
        <v>434</v>
      </c>
    </row>
    <row r="533" spans="1:5" x14ac:dyDescent="0.35">
      <c r="A533" t="str">
        <f t="shared" si="32"/>
        <v>C0532</v>
      </c>
      <c r="B533" t="str">
        <f t="shared" si="33"/>
        <v>Customer_0532</v>
      </c>
      <c r="C533" t="str">
        <f t="shared" ca="1" si="34"/>
        <v>Western</v>
      </c>
      <c r="D533" s="34">
        <f t="shared" ca="1" si="35"/>
        <v>726000</v>
      </c>
      <c r="E533">
        <v>602</v>
      </c>
    </row>
    <row r="534" spans="1:5" x14ac:dyDescent="0.35">
      <c r="A534" t="str">
        <f t="shared" si="32"/>
        <v>C0533</v>
      </c>
      <c r="B534" t="str">
        <f t="shared" si="33"/>
        <v>Customer_0533</v>
      </c>
      <c r="C534" t="str">
        <f t="shared" ca="1" si="34"/>
        <v>Rift Valley</v>
      </c>
      <c r="D534" s="34">
        <f t="shared" ca="1" si="35"/>
        <v>71000</v>
      </c>
      <c r="E534">
        <v>797</v>
      </c>
    </row>
    <row r="535" spans="1:5" x14ac:dyDescent="0.35">
      <c r="A535" t="str">
        <f t="shared" si="32"/>
        <v>C0534</v>
      </c>
      <c r="B535" t="str">
        <f t="shared" si="33"/>
        <v>Customer_0534</v>
      </c>
      <c r="C535" t="str">
        <f t="shared" ca="1" si="34"/>
        <v>Rift Valley</v>
      </c>
      <c r="D535" s="34">
        <f t="shared" ca="1" si="35"/>
        <v>484000</v>
      </c>
      <c r="E535">
        <v>350</v>
      </c>
    </row>
    <row r="536" spans="1:5" x14ac:dyDescent="0.35">
      <c r="A536" t="str">
        <f t="shared" si="32"/>
        <v>C0535</v>
      </c>
      <c r="B536" t="str">
        <f t="shared" si="33"/>
        <v>Customer_0535</v>
      </c>
      <c r="C536" t="str">
        <f t="shared" ca="1" si="34"/>
        <v>Coast</v>
      </c>
      <c r="D536" s="34">
        <f t="shared" ca="1" si="35"/>
        <v>112000</v>
      </c>
      <c r="E536">
        <v>717</v>
      </c>
    </row>
    <row r="537" spans="1:5" x14ac:dyDescent="0.35">
      <c r="A537" t="str">
        <f t="shared" si="32"/>
        <v>C0536</v>
      </c>
      <c r="B537" t="str">
        <f t="shared" si="33"/>
        <v>Customer_0536</v>
      </c>
      <c r="C537" t="str">
        <f t="shared" ca="1" si="34"/>
        <v>Central</v>
      </c>
      <c r="D537" s="34">
        <f t="shared" ca="1" si="35"/>
        <v>381000</v>
      </c>
      <c r="E537">
        <v>614</v>
      </c>
    </row>
    <row r="538" spans="1:5" x14ac:dyDescent="0.35">
      <c r="A538" t="str">
        <f t="shared" si="32"/>
        <v>C0537</v>
      </c>
      <c r="B538" t="str">
        <f t="shared" si="33"/>
        <v>Customer_0537</v>
      </c>
      <c r="C538" t="str">
        <f t="shared" ca="1" si="34"/>
        <v>Coast</v>
      </c>
      <c r="D538" s="34">
        <f t="shared" ca="1" si="35"/>
        <v>663000</v>
      </c>
      <c r="E538">
        <v>595</v>
      </c>
    </row>
    <row r="539" spans="1:5" x14ac:dyDescent="0.35">
      <c r="A539" t="str">
        <f t="shared" si="32"/>
        <v>C0538</v>
      </c>
      <c r="B539" t="str">
        <f t="shared" si="33"/>
        <v>Customer_0538</v>
      </c>
      <c r="C539" t="str">
        <f t="shared" ca="1" si="34"/>
        <v>Central</v>
      </c>
      <c r="D539" s="34">
        <f t="shared" ca="1" si="35"/>
        <v>180000</v>
      </c>
      <c r="E539">
        <v>485</v>
      </c>
    </row>
    <row r="540" spans="1:5" x14ac:dyDescent="0.35">
      <c r="A540" t="str">
        <f t="shared" si="32"/>
        <v>C0539</v>
      </c>
      <c r="B540" t="str">
        <f t="shared" si="33"/>
        <v>Customer_0539</v>
      </c>
      <c r="C540" t="str">
        <f t="shared" ca="1" si="34"/>
        <v>Western</v>
      </c>
      <c r="D540" s="34">
        <f t="shared" ca="1" si="35"/>
        <v>710000</v>
      </c>
      <c r="E540">
        <v>714</v>
      </c>
    </row>
    <row r="541" spans="1:5" x14ac:dyDescent="0.35">
      <c r="A541" t="str">
        <f t="shared" si="32"/>
        <v>C0540</v>
      </c>
      <c r="B541" t="str">
        <f t="shared" si="33"/>
        <v>Customer_0540</v>
      </c>
      <c r="C541" t="str">
        <f t="shared" ca="1" si="34"/>
        <v>Coast</v>
      </c>
      <c r="D541" s="34">
        <f t="shared" ca="1" si="35"/>
        <v>657000</v>
      </c>
      <c r="E541">
        <v>823</v>
      </c>
    </row>
    <row r="542" spans="1:5" x14ac:dyDescent="0.35">
      <c r="A542" t="str">
        <f t="shared" si="32"/>
        <v>C0541</v>
      </c>
      <c r="B542" t="str">
        <f t="shared" si="33"/>
        <v>Customer_0541</v>
      </c>
      <c r="C542" t="str">
        <f t="shared" ca="1" si="34"/>
        <v>Rift Valley</v>
      </c>
      <c r="D542" s="34">
        <f t="shared" ca="1" si="35"/>
        <v>312000</v>
      </c>
      <c r="E542">
        <v>544</v>
      </c>
    </row>
    <row r="543" spans="1:5" x14ac:dyDescent="0.35">
      <c r="A543" t="str">
        <f t="shared" si="32"/>
        <v>C0542</v>
      </c>
      <c r="B543" t="str">
        <f t="shared" si="33"/>
        <v>Customer_0542</v>
      </c>
      <c r="C543" t="str">
        <f t="shared" ca="1" si="34"/>
        <v>Western</v>
      </c>
      <c r="D543" s="34">
        <f t="shared" ca="1" si="35"/>
        <v>606000</v>
      </c>
      <c r="E543">
        <v>635</v>
      </c>
    </row>
    <row r="544" spans="1:5" x14ac:dyDescent="0.35">
      <c r="A544" t="str">
        <f t="shared" si="32"/>
        <v>C0543</v>
      </c>
      <c r="B544" t="str">
        <f t="shared" si="33"/>
        <v>Customer_0543</v>
      </c>
      <c r="C544" t="str">
        <f t="shared" ca="1" si="34"/>
        <v>Rift Valley</v>
      </c>
      <c r="D544" s="34">
        <f t="shared" ca="1" si="35"/>
        <v>540000</v>
      </c>
      <c r="E544">
        <v>705</v>
      </c>
    </row>
    <row r="545" spans="1:5" x14ac:dyDescent="0.35">
      <c r="A545" t="str">
        <f t="shared" si="32"/>
        <v>C0544</v>
      </c>
      <c r="B545" t="str">
        <f t="shared" si="33"/>
        <v>Customer_0544</v>
      </c>
      <c r="C545" t="str">
        <f t="shared" ca="1" si="34"/>
        <v>Western</v>
      </c>
      <c r="D545" s="34">
        <f t="shared" ca="1" si="35"/>
        <v>660000</v>
      </c>
      <c r="E545">
        <v>590</v>
      </c>
    </row>
    <row r="546" spans="1:5" x14ac:dyDescent="0.35">
      <c r="A546" t="str">
        <f t="shared" si="32"/>
        <v>C0545</v>
      </c>
      <c r="B546" t="str">
        <f t="shared" si="33"/>
        <v>Customer_0545</v>
      </c>
      <c r="C546" t="str">
        <f t="shared" ca="1" si="34"/>
        <v>Rift Valley</v>
      </c>
      <c r="D546" s="34">
        <f t="shared" ca="1" si="35"/>
        <v>125000</v>
      </c>
      <c r="E546">
        <v>406</v>
      </c>
    </row>
    <row r="547" spans="1:5" x14ac:dyDescent="0.35">
      <c r="A547" t="str">
        <f t="shared" si="32"/>
        <v>C0546</v>
      </c>
      <c r="B547" t="str">
        <f t="shared" si="33"/>
        <v>Customer_0546</v>
      </c>
      <c r="C547" t="str">
        <f t="shared" ca="1" si="34"/>
        <v>Central</v>
      </c>
      <c r="D547" s="34">
        <f t="shared" ca="1" si="35"/>
        <v>246000</v>
      </c>
      <c r="E547">
        <v>397</v>
      </c>
    </row>
    <row r="548" spans="1:5" x14ac:dyDescent="0.35">
      <c r="A548" t="str">
        <f t="shared" si="32"/>
        <v>C0547</v>
      </c>
      <c r="B548" t="str">
        <f t="shared" si="33"/>
        <v>Customer_0547</v>
      </c>
      <c r="C548" t="str">
        <f t="shared" ca="1" si="34"/>
        <v>Nairobi</v>
      </c>
      <c r="D548" s="34">
        <f t="shared" ca="1" si="35"/>
        <v>754000</v>
      </c>
      <c r="E548">
        <v>733</v>
      </c>
    </row>
    <row r="549" spans="1:5" x14ac:dyDescent="0.35">
      <c r="A549" t="str">
        <f t="shared" si="32"/>
        <v>C0548</v>
      </c>
      <c r="B549" t="str">
        <f t="shared" si="33"/>
        <v>Customer_0548</v>
      </c>
      <c r="C549" t="str">
        <f t="shared" ca="1" si="34"/>
        <v>Coast</v>
      </c>
      <c r="D549" s="34">
        <f t="shared" ca="1" si="35"/>
        <v>330000</v>
      </c>
      <c r="E549">
        <v>696</v>
      </c>
    </row>
    <row r="550" spans="1:5" x14ac:dyDescent="0.35">
      <c r="A550" t="str">
        <f t="shared" si="32"/>
        <v>C0549</v>
      </c>
      <c r="B550" t="str">
        <f t="shared" si="33"/>
        <v>Customer_0549</v>
      </c>
      <c r="C550" t="str">
        <f t="shared" ca="1" si="34"/>
        <v>Coast</v>
      </c>
      <c r="D550" s="34">
        <f t="shared" ca="1" si="35"/>
        <v>101000</v>
      </c>
      <c r="E550">
        <v>556</v>
      </c>
    </row>
    <row r="551" spans="1:5" x14ac:dyDescent="0.35">
      <c r="A551" t="str">
        <f t="shared" si="32"/>
        <v>C0550</v>
      </c>
      <c r="B551" t="str">
        <f t="shared" si="33"/>
        <v>Customer_0550</v>
      </c>
      <c r="C551" t="str">
        <f t="shared" ca="1" si="34"/>
        <v>Nairobi</v>
      </c>
      <c r="D551" s="34">
        <f t="shared" ca="1" si="35"/>
        <v>177000</v>
      </c>
      <c r="E551">
        <v>565</v>
      </c>
    </row>
    <row r="552" spans="1:5" x14ac:dyDescent="0.35">
      <c r="A552" t="str">
        <f t="shared" si="32"/>
        <v>C0551</v>
      </c>
      <c r="B552" t="str">
        <f t="shared" si="33"/>
        <v>Customer_0551</v>
      </c>
      <c r="C552" t="str">
        <f t="shared" ca="1" si="34"/>
        <v>Nairobi</v>
      </c>
      <c r="D552" s="34">
        <f t="shared" ca="1" si="35"/>
        <v>724000</v>
      </c>
      <c r="E552">
        <v>476</v>
      </c>
    </row>
    <row r="553" spans="1:5" x14ac:dyDescent="0.35">
      <c r="A553" t="str">
        <f t="shared" si="32"/>
        <v>C0552</v>
      </c>
      <c r="B553" t="str">
        <f t="shared" si="33"/>
        <v>Customer_0552</v>
      </c>
      <c r="C553" t="str">
        <f t="shared" ca="1" si="34"/>
        <v>Nairobi</v>
      </c>
      <c r="D553" s="34">
        <f t="shared" ca="1" si="35"/>
        <v>364000</v>
      </c>
      <c r="E553">
        <v>415</v>
      </c>
    </row>
    <row r="554" spans="1:5" x14ac:dyDescent="0.35">
      <c r="A554" t="str">
        <f t="shared" si="32"/>
        <v>C0553</v>
      </c>
      <c r="B554" t="str">
        <f t="shared" si="33"/>
        <v>Customer_0553</v>
      </c>
      <c r="C554" t="str">
        <f t="shared" ca="1" si="34"/>
        <v>Western</v>
      </c>
      <c r="D554" s="34">
        <f t="shared" ca="1" si="35"/>
        <v>571000</v>
      </c>
      <c r="E554">
        <v>634</v>
      </c>
    </row>
    <row r="555" spans="1:5" x14ac:dyDescent="0.35">
      <c r="A555" t="str">
        <f t="shared" si="32"/>
        <v>C0554</v>
      </c>
      <c r="B555" t="str">
        <f t="shared" si="33"/>
        <v>Customer_0554</v>
      </c>
      <c r="C555" t="str">
        <f t="shared" ca="1" si="34"/>
        <v>Coast</v>
      </c>
      <c r="D555" s="34">
        <f t="shared" ca="1" si="35"/>
        <v>659000</v>
      </c>
      <c r="E555">
        <v>664</v>
      </c>
    </row>
    <row r="556" spans="1:5" x14ac:dyDescent="0.35">
      <c r="A556" t="str">
        <f t="shared" si="32"/>
        <v>C0555</v>
      </c>
      <c r="B556" t="str">
        <f t="shared" si="33"/>
        <v>Customer_0555</v>
      </c>
      <c r="C556" t="str">
        <f t="shared" ca="1" si="34"/>
        <v>Western</v>
      </c>
      <c r="D556" s="34">
        <f t="shared" ca="1" si="35"/>
        <v>201000</v>
      </c>
      <c r="E556">
        <v>642</v>
      </c>
    </row>
    <row r="557" spans="1:5" x14ac:dyDescent="0.35">
      <c r="A557" t="str">
        <f t="shared" si="32"/>
        <v>C0556</v>
      </c>
      <c r="B557" t="str">
        <f t="shared" si="33"/>
        <v>Customer_0556</v>
      </c>
      <c r="C557" t="str">
        <f t="shared" ca="1" si="34"/>
        <v>Central</v>
      </c>
      <c r="D557" s="34">
        <f t="shared" ca="1" si="35"/>
        <v>96000</v>
      </c>
      <c r="E557">
        <v>343</v>
      </c>
    </row>
    <row r="558" spans="1:5" x14ac:dyDescent="0.35">
      <c r="A558" t="str">
        <f t="shared" si="32"/>
        <v>C0557</v>
      </c>
      <c r="B558" t="str">
        <f t="shared" si="33"/>
        <v>Customer_0557</v>
      </c>
      <c r="C558" t="str">
        <f t="shared" ca="1" si="34"/>
        <v>Western</v>
      </c>
      <c r="D558" s="34">
        <f t="shared" ca="1" si="35"/>
        <v>53000</v>
      </c>
      <c r="E558">
        <v>376</v>
      </c>
    </row>
    <row r="559" spans="1:5" x14ac:dyDescent="0.35">
      <c r="A559" t="str">
        <f t="shared" si="32"/>
        <v>C0558</v>
      </c>
      <c r="B559" t="str">
        <f t="shared" si="33"/>
        <v>Customer_0558</v>
      </c>
      <c r="C559" t="str">
        <f t="shared" ca="1" si="34"/>
        <v>Nairobi</v>
      </c>
      <c r="D559" s="34">
        <f t="shared" ca="1" si="35"/>
        <v>135000</v>
      </c>
      <c r="E559">
        <v>350</v>
      </c>
    </row>
    <row r="560" spans="1:5" x14ac:dyDescent="0.35">
      <c r="A560" t="str">
        <f t="shared" si="32"/>
        <v>C0559</v>
      </c>
      <c r="B560" t="str">
        <f t="shared" si="33"/>
        <v>Customer_0559</v>
      </c>
      <c r="C560" t="str">
        <f t="shared" ca="1" si="34"/>
        <v>Western</v>
      </c>
      <c r="D560" s="34">
        <f t="shared" ca="1" si="35"/>
        <v>639000</v>
      </c>
      <c r="E560">
        <v>320</v>
      </c>
    </row>
    <row r="561" spans="1:5" x14ac:dyDescent="0.35">
      <c r="A561" t="str">
        <f t="shared" si="32"/>
        <v>C0560</v>
      </c>
      <c r="B561" t="str">
        <f t="shared" si="33"/>
        <v>Customer_0560</v>
      </c>
      <c r="C561" t="str">
        <f t="shared" ca="1" si="34"/>
        <v>Rift Valley</v>
      </c>
      <c r="D561" s="34">
        <f t="shared" ca="1" si="35"/>
        <v>759000</v>
      </c>
      <c r="E561">
        <v>464</v>
      </c>
    </row>
    <row r="562" spans="1:5" x14ac:dyDescent="0.35">
      <c r="A562" t="str">
        <f t="shared" si="32"/>
        <v>C0561</v>
      </c>
      <c r="B562" t="str">
        <f t="shared" si="33"/>
        <v>Customer_0561</v>
      </c>
      <c r="C562" t="str">
        <f t="shared" ca="1" si="34"/>
        <v>Western</v>
      </c>
      <c r="D562" s="34">
        <f t="shared" ca="1" si="35"/>
        <v>595000</v>
      </c>
      <c r="E562">
        <v>621</v>
      </c>
    </row>
    <row r="563" spans="1:5" x14ac:dyDescent="0.35">
      <c r="A563" t="str">
        <f t="shared" si="32"/>
        <v>C0562</v>
      </c>
      <c r="B563" t="str">
        <f t="shared" si="33"/>
        <v>Customer_0562</v>
      </c>
      <c r="C563" t="str">
        <f t="shared" ca="1" si="34"/>
        <v>Rift Valley</v>
      </c>
      <c r="D563" s="34">
        <f t="shared" ca="1" si="35"/>
        <v>390000</v>
      </c>
      <c r="E563">
        <v>610</v>
      </c>
    </row>
    <row r="564" spans="1:5" x14ac:dyDescent="0.35">
      <c r="A564" t="str">
        <f t="shared" si="32"/>
        <v>C0563</v>
      </c>
      <c r="B564" t="str">
        <f t="shared" si="33"/>
        <v>Customer_0563</v>
      </c>
      <c r="C564" t="str">
        <f t="shared" ca="1" si="34"/>
        <v>Nairobi</v>
      </c>
      <c r="D564" s="34">
        <f t="shared" ca="1" si="35"/>
        <v>322000</v>
      </c>
      <c r="E564">
        <v>323</v>
      </c>
    </row>
    <row r="565" spans="1:5" x14ac:dyDescent="0.35">
      <c r="A565" t="str">
        <f t="shared" si="32"/>
        <v>C0564</v>
      </c>
      <c r="B565" t="str">
        <f t="shared" si="33"/>
        <v>Customer_0564</v>
      </c>
      <c r="C565" t="str">
        <f t="shared" ca="1" si="34"/>
        <v>Nairobi</v>
      </c>
      <c r="D565" s="34">
        <f t="shared" ca="1" si="35"/>
        <v>607000</v>
      </c>
      <c r="E565">
        <v>595</v>
      </c>
    </row>
    <row r="566" spans="1:5" x14ac:dyDescent="0.35">
      <c r="A566" t="str">
        <f t="shared" si="32"/>
        <v>C0565</v>
      </c>
      <c r="B566" t="str">
        <f t="shared" si="33"/>
        <v>Customer_0565</v>
      </c>
      <c r="C566" t="str">
        <f t="shared" ca="1" si="34"/>
        <v>Nairobi</v>
      </c>
      <c r="D566" s="34">
        <f t="shared" ca="1" si="35"/>
        <v>111000</v>
      </c>
      <c r="E566">
        <v>598</v>
      </c>
    </row>
    <row r="567" spans="1:5" x14ac:dyDescent="0.35">
      <c r="A567" t="str">
        <f t="shared" si="32"/>
        <v>C0566</v>
      </c>
      <c r="B567" t="str">
        <f t="shared" si="33"/>
        <v>Customer_0566</v>
      </c>
      <c r="C567" t="str">
        <f t="shared" ca="1" si="34"/>
        <v>Central</v>
      </c>
      <c r="D567" s="34">
        <f t="shared" ca="1" si="35"/>
        <v>121000</v>
      </c>
      <c r="E567">
        <v>517</v>
      </c>
    </row>
    <row r="568" spans="1:5" x14ac:dyDescent="0.35">
      <c r="A568" t="str">
        <f t="shared" si="32"/>
        <v>C0567</v>
      </c>
      <c r="B568" t="str">
        <f t="shared" si="33"/>
        <v>Customer_0567</v>
      </c>
      <c r="C568" t="str">
        <f t="shared" ca="1" si="34"/>
        <v>Nairobi</v>
      </c>
      <c r="D568" s="34">
        <f t="shared" ca="1" si="35"/>
        <v>326000</v>
      </c>
      <c r="E568">
        <v>649</v>
      </c>
    </row>
    <row r="569" spans="1:5" x14ac:dyDescent="0.35">
      <c r="A569" t="str">
        <f t="shared" si="32"/>
        <v>C0568</v>
      </c>
      <c r="B569" t="str">
        <f t="shared" si="33"/>
        <v>Customer_0568</v>
      </c>
      <c r="C569" t="str">
        <f t="shared" ca="1" si="34"/>
        <v>Central</v>
      </c>
      <c r="D569" s="34">
        <f t="shared" ca="1" si="35"/>
        <v>139000</v>
      </c>
      <c r="E569">
        <v>724</v>
      </c>
    </row>
    <row r="570" spans="1:5" x14ac:dyDescent="0.35">
      <c r="A570" t="str">
        <f t="shared" si="32"/>
        <v>C0569</v>
      </c>
      <c r="B570" t="str">
        <f t="shared" si="33"/>
        <v>Customer_0569</v>
      </c>
      <c r="C570" t="str">
        <f t="shared" ca="1" si="34"/>
        <v>Rift Valley</v>
      </c>
      <c r="D570" s="34">
        <f t="shared" ca="1" si="35"/>
        <v>429000</v>
      </c>
      <c r="E570">
        <v>469</v>
      </c>
    </row>
    <row r="571" spans="1:5" x14ac:dyDescent="0.35">
      <c r="A571" t="str">
        <f t="shared" si="32"/>
        <v>C0570</v>
      </c>
      <c r="B571" t="str">
        <f t="shared" si="33"/>
        <v>Customer_0570</v>
      </c>
      <c r="C571" t="str">
        <f t="shared" ca="1" si="34"/>
        <v>Rift Valley</v>
      </c>
      <c r="D571" s="34">
        <f t="shared" ca="1" si="35"/>
        <v>500000</v>
      </c>
      <c r="E571">
        <v>712</v>
      </c>
    </row>
    <row r="572" spans="1:5" x14ac:dyDescent="0.35">
      <c r="A572" t="str">
        <f t="shared" si="32"/>
        <v>C0571</v>
      </c>
      <c r="B572" t="str">
        <f t="shared" si="33"/>
        <v>Customer_0571</v>
      </c>
      <c r="C572" t="str">
        <f t="shared" ca="1" si="34"/>
        <v>Rift Valley</v>
      </c>
      <c r="D572" s="34">
        <f t="shared" ca="1" si="35"/>
        <v>281000</v>
      </c>
      <c r="E572">
        <v>593</v>
      </c>
    </row>
    <row r="573" spans="1:5" x14ac:dyDescent="0.35">
      <c r="A573" t="str">
        <f t="shared" si="32"/>
        <v>C0572</v>
      </c>
      <c r="B573" t="str">
        <f t="shared" si="33"/>
        <v>Customer_0572</v>
      </c>
      <c r="C573" t="str">
        <f t="shared" ca="1" si="34"/>
        <v>Coast</v>
      </c>
      <c r="D573" s="34">
        <f t="shared" ca="1" si="35"/>
        <v>667000</v>
      </c>
      <c r="E573">
        <v>816</v>
      </c>
    </row>
    <row r="574" spans="1:5" x14ac:dyDescent="0.35">
      <c r="A574" t="str">
        <f t="shared" si="32"/>
        <v>C0573</v>
      </c>
      <c r="B574" t="str">
        <f t="shared" si="33"/>
        <v>Customer_0573</v>
      </c>
      <c r="C574" t="str">
        <f t="shared" ca="1" si="34"/>
        <v>Western</v>
      </c>
      <c r="D574" s="34">
        <f t="shared" ca="1" si="35"/>
        <v>705000</v>
      </c>
      <c r="E574">
        <v>682</v>
      </c>
    </row>
    <row r="575" spans="1:5" x14ac:dyDescent="0.35">
      <c r="A575" t="str">
        <f t="shared" si="32"/>
        <v>C0574</v>
      </c>
      <c r="B575" t="str">
        <f t="shared" si="33"/>
        <v>Customer_0574</v>
      </c>
      <c r="C575" t="str">
        <f t="shared" ca="1" si="34"/>
        <v>Nairobi</v>
      </c>
      <c r="D575" s="34">
        <f t="shared" ca="1" si="35"/>
        <v>730000</v>
      </c>
      <c r="E575">
        <v>559</v>
      </c>
    </row>
    <row r="576" spans="1:5" x14ac:dyDescent="0.35">
      <c r="A576" t="str">
        <f t="shared" si="32"/>
        <v>C0575</v>
      </c>
      <c r="B576" t="str">
        <f t="shared" si="33"/>
        <v>Customer_0575</v>
      </c>
      <c r="C576" t="str">
        <f t="shared" ca="1" si="34"/>
        <v>Western</v>
      </c>
      <c r="D576" s="34">
        <f t="shared" ca="1" si="35"/>
        <v>304000</v>
      </c>
      <c r="E576">
        <v>803</v>
      </c>
    </row>
    <row r="577" spans="1:5" x14ac:dyDescent="0.35">
      <c r="A577" t="str">
        <f t="shared" si="32"/>
        <v>C0576</v>
      </c>
      <c r="B577" t="str">
        <f t="shared" si="33"/>
        <v>Customer_0576</v>
      </c>
      <c r="C577" t="str">
        <f t="shared" ca="1" si="34"/>
        <v>Central</v>
      </c>
      <c r="D577" s="34">
        <f t="shared" ca="1" si="35"/>
        <v>738000</v>
      </c>
      <c r="E577">
        <v>758</v>
      </c>
    </row>
    <row r="578" spans="1:5" x14ac:dyDescent="0.35">
      <c r="A578" t="str">
        <f t="shared" si="32"/>
        <v>C0577</v>
      </c>
      <c r="B578" t="str">
        <f t="shared" si="33"/>
        <v>Customer_0577</v>
      </c>
      <c r="C578" t="str">
        <f t="shared" ca="1" si="34"/>
        <v>Central</v>
      </c>
      <c r="D578" s="34">
        <f t="shared" ca="1" si="35"/>
        <v>88000</v>
      </c>
      <c r="E578">
        <v>440</v>
      </c>
    </row>
    <row r="579" spans="1:5" x14ac:dyDescent="0.35">
      <c r="A579" t="str">
        <f t="shared" ref="A579:A642" si="36">"C"&amp;TEXT(ROW()-1,"0000")</f>
        <v>C0578</v>
      </c>
      <c r="B579" t="str">
        <f t="shared" ref="B579:B642" si="37">"Customer_"&amp;TEXT(ROW()-1,"0000")</f>
        <v>Customer_0578</v>
      </c>
      <c r="C579" t="str">
        <f t="shared" ref="C579:C642" ca="1" si="38">CHOOSE(RANDBETWEEN(1,5),
"Nairobi",
"Central",
"Coast",
"Rift Valley",
"Western")</f>
        <v>Western</v>
      </c>
      <c r="D579" s="34">
        <f t="shared" ref="D579:D642" ca="1" si="39">ROUND(RANDBETWEEN(50000,800000),-3)</f>
        <v>424000</v>
      </c>
      <c r="E579">
        <v>642</v>
      </c>
    </row>
    <row r="580" spans="1:5" x14ac:dyDescent="0.35">
      <c r="A580" t="str">
        <f t="shared" si="36"/>
        <v>C0579</v>
      </c>
      <c r="B580" t="str">
        <f t="shared" si="37"/>
        <v>Customer_0579</v>
      </c>
      <c r="C580" t="str">
        <f t="shared" ca="1" si="38"/>
        <v>Rift Valley</v>
      </c>
      <c r="D580" s="34">
        <f t="shared" ca="1" si="39"/>
        <v>241000</v>
      </c>
      <c r="E580">
        <v>850</v>
      </c>
    </row>
    <row r="581" spans="1:5" x14ac:dyDescent="0.35">
      <c r="A581" t="str">
        <f t="shared" si="36"/>
        <v>C0580</v>
      </c>
      <c r="B581" t="str">
        <f t="shared" si="37"/>
        <v>Customer_0580</v>
      </c>
      <c r="C581" t="str">
        <f t="shared" ca="1" si="38"/>
        <v>Central</v>
      </c>
      <c r="D581" s="34">
        <f t="shared" ca="1" si="39"/>
        <v>280000</v>
      </c>
      <c r="E581">
        <v>554</v>
      </c>
    </row>
    <row r="582" spans="1:5" x14ac:dyDescent="0.35">
      <c r="A582" t="str">
        <f t="shared" si="36"/>
        <v>C0581</v>
      </c>
      <c r="B582" t="str">
        <f t="shared" si="37"/>
        <v>Customer_0581</v>
      </c>
      <c r="C582" t="str">
        <f t="shared" ca="1" si="38"/>
        <v>Nairobi</v>
      </c>
      <c r="D582" s="34">
        <f t="shared" ca="1" si="39"/>
        <v>687000</v>
      </c>
      <c r="E582">
        <v>474</v>
      </c>
    </row>
    <row r="583" spans="1:5" x14ac:dyDescent="0.35">
      <c r="A583" t="str">
        <f t="shared" si="36"/>
        <v>C0582</v>
      </c>
      <c r="B583" t="str">
        <f t="shared" si="37"/>
        <v>Customer_0582</v>
      </c>
      <c r="C583" t="str">
        <f t="shared" ca="1" si="38"/>
        <v>Western</v>
      </c>
      <c r="D583" s="34">
        <f t="shared" ca="1" si="39"/>
        <v>77000</v>
      </c>
      <c r="E583">
        <v>639</v>
      </c>
    </row>
    <row r="584" spans="1:5" x14ac:dyDescent="0.35">
      <c r="A584" t="str">
        <f t="shared" si="36"/>
        <v>C0583</v>
      </c>
      <c r="B584" t="str">
        <f t="shared" si="37"/>
        <v>Customer_0583</v>
      </c>
      <c r="C584" t="str">
        <f t="shared" ca="1" si="38"/>
        <v>Nairobi</v>
      </c>
      <c r="D584" s="34">
        <f t="shared" ca="1" si="39"/>
        <v>720000</v>
      </c>
      <c r="E584">
        <v>425</v>
      </c>
    </row>
    <row r="585" spans="1:5" x14ac:dyDescent="0.35">
      <c r="A585" t="str">
        <f t="shared" si="36"/>
        <v>C0584</v>
      </c>
      <c r="B585" t="str">
        <f t="shared" si="37"/>
        <v>Customer_0584</v>
      </c>
      <c r="C585" t="str">
        <f t="shared" ca="1" si="38"/>
        <v>Nairobi</v>
      </c>
      <c r="D585" s="34">
        <f t="shared" ca="1" si="39"/>
        <v>672000</v>
      </c>
      <c r="E585">
        <v>813</v>
      </c>
    </row>
    <row r="586" spans="1:5" x14ac:dyDescent="0.35">
      <c r="A586" t="str">
        <f t="shared" si="36"/>
        <v>C0585</v>
      </c>
      <c r="B586" t="str">
        <f t="shared" si="37"/>
        <v>Customer_0585</v>
      </c>
      <c r="C586" t="str">
        <f t="shared" ca="1" si="38"/>
        <v>Central</v>
      </c>
      <c r="D586" s="34">
        <f t="shared" ca="1" si="39"/>
        <v>773000</v>
      </c>
      <c r="E586">
        <v>308</v>
      </c>
    </row>
    <row r="587" spans="1:5" x14ac:dyDescent="0.35">
      <c r="A587" t="str">
        <f t="shared" si="36"/>
        <v>C0586</v>
      </c>
      <c r="B587" t="str">
        <f t="shared" si="37"/>
        <v>Customer_0586</v>
      </c>
      <c r="C587" t="str">
        <f t="shared" ca="1" si="38"/>
        <v>Coast</v>
      </c>
      <c r="D587" s="34">
        <f t="shared" ca="1" si="39"/>
        <v>744000</v>
      </c>
      <c r="E587">
        <v>416</v>
      </c>
    </row>
    <row r="588" spans="1:5" x14ac:dyDescent="0.35">
      <c r="A588" t="str">
        <f t="shared" si="36"/>
        <v>C0587</v>
      </c>
      <c r="B588" t="str">
        <f t="shared" si="37"/>
        <v>Customer_0587</v>
      </c>
      <c r="C588" t="str">
        <f t="shared" ca="1" si="38"/>
        <v>Coast</v>
      </c>
      <c r="D588" s="34">
        <f t="shared" ca="1" si="39"/>
        <v>151000</v>
      </c>
      <c r="E588">
        <v>346</v>
      </c>
    </row>
    <row r="589" spans="1:5" x14ac:dyDescent="0.35">
      <c r="A589" t="str">
        <f t="shared" si="36"/>
        <v>C0588</v>
      </c>
      <c r="B589" t="str">
        <f t="shared" si="37"/>
        <v>Customer_0588</v>
      </c>
      <c r="C589" t="str">
        <f t="shared" ca="1" si="38"/>
        <v>Nairobi</v>
      </c>
      <c r="D589" s="34">
        <f t="shared" ca="1" si="39"/>
        <v>209000</v>
      </c>
      <c r="E589">
        <v>571</v>
      </c>
    </row>
    <row r="590" spans="1:5" x14ac:dyDescent="0.35">
      <c r="A590" t="str">
        <f t="shared" si="36"/>
        <v>C0589</v>
      </c>
      <c r="B590" t="str">
        <f t="shared" si="37"/>
        <v>Customer_0589</v>
      </c>
      <c r="C590" t="str">
        <f t="shared" ca="1" si="38"/>
        <v>Rift Valley</v>
      </c>
      <c r="D590" s="34">
        <f t="shared" ca="1" si="39"/>
        <v>222000</v>
      </c>
      <c r="E590">
        <v>498</v>
      </c>
    </row>
    <row r="591" spans="1:5" x14ac:dyDescent="0.35">
      <c r="A591" t="str">
        <f t="shared" si="36"/>
        <v>C0590</v>
      </c>
      <c r="B591" t="str">
        <f t="shared" si="37"/>
        <v>Customer_0590</v>
      </c>
      <c r="C591" t="str">
        <f t="shared" ca="1" si="38"/>
        <v>Rift Valley</v>
      </c>
      <c r="D591" s="34">
        <f t="shared" ca="1" si="39"/>
        <v>477000</v>
      </c>
      <c r="E591">
        <v>369</v>
      </c>
    </row>
    <row r="592" spans="1:5" x14ac:dyDescent="0.35">
      <c r="A592" t="str">
        <f t="shared" si="36"/>
        <v>C0591</v>
      </c>
      <c r="B592" t="str">
        <f t="shared" si="37"/>
        <v>Customer_0591</v>
      </c>
      <c r="C592" t="str">
        <f t="shared" ca="1" si="38"/>
        <v>Western</v>
      </c>
      <c r="D592" s="34">
        <f t="shared" ca="1" si="39"/>
        <v>235000</v>
      </c>
      <c r="E592">
        <v>512</v>
      </c>
    </row>
    <row r="593" spans="1:5" x14ac:dyDescent="0.35">
      <c r="A593" t="str">
        <f t="shared" si="36"/>
        <v>C0592</v>
      </c>
      <c r="B593" t="str">
        <f t="shared" si="37"/>
        <v>Customer_0592</v>
      </c>
      <c r="C593" t="str">
        <f t="shared" ca="1" si="38"/>
        <v>Rift Valley</v>
      </c>
      <c r="D593" s="34">
        <f t="shared" ca="1" si="39"/>
        <v>227000</v>
      </c>
      <c r="E593">
        <v>334</v>
      </c>
    </row>
    <row r="594" spans="1:5" x14ac:dyDescent="0.35">
      <c r="A594" t="str">
        <f t="shared" si="36"/>
        <v>C0593</v>
      </c>
      <c r="B594" t="str">
        <f t="shared" si="37"/>
        <v>Customer_0593</v>
      </c>
      <c r="C594" t="str">
        <f t="shared" ca="1" si="38"/>
        <v>Nairobi</v>
      </c>
      <c r="D594" s="34">
        <f t="shared" ca="1" si="39"/>
        <v>349000</v>
      </c>
      <c r="E594">
        <v>564</v>
      </c>
    </row>
    <row r="595" spans="1:5" x14ac:dyDescent="0.35">
      <c r="A595" t="str">
        <f t="shared" si="36"/>
        <v>C0594</v>
      </c>
      <c r="B595" t="str">
        <f t="shared" si="37"/>
        <v>Customer_0594</v>
      </c>
      <c r="C595" t="str">
        <f t="shared" ca="1" si="38"/>
        <v>Nairobi</v>
      </c>
      <c r="D595" s="34">
        <f t="shared" ca="1" si="39"/>
        <v>666000</v>
      </c>
      <c r="E595">
        <v>313</v>
      </c>
    </row>
    <row r="596" spans="1:5" x14ac:dyDescent="0.35">
      <c r="A596" t="str">
        <f t="shared" si="36"/>
        <v>C0595</v>
      </c>
      <c r="B596" t="str">
        <f t="shared" si="37"/>
        <v>Customer_0595</v>
      </c>
      <c r="C596" t="str">
        <f t="shared" ca="1" si="38"/>
        <v>Central</v>
      </c>
      <c r="D596" s="34">
        <f t="shared" ca="1" si="39"/>
        <v>269000</v>
      </c>
      <c r="E596">
        <v>490</v>
      </c>
    </row>
    <row r="597" spans="1:5" x14ac:dyDescent="0.35">
      <c r="A597" t="str">
        <f t="shared" si="36"/>
        <v>C0596</v>
      </c>
      <c r="B597" t="str">
        <f t="shared" si="37"/>
        <v>Customer_0596</v>
      </c>
      <c r="C597" t="str">
        <f t="shared" ca="1" si="38"/>
        <v>Nairobi</v>
      </c>
      <c r="D597" s="34">
        <f t="shared" ca="1" si="39"/>
        <v>142000</v>
      </c>
      <c r="E597">
        <v>755</v>
      </c>
    </row>
    <row r="598" spans="1:5" x14ac:dyDescent="0.35">
      <c r="A598" t="str">
        <f t="shared" si="36"/>
        <v>C0597</v>
      </c>
      <c r="B598" t="str">
        <f t="shared" si="37"/>
        <v>Customer_0597</v>
      </c>
      <c r="C598" t="str">
        <f t="shared" ca="1" si="38"/>
        <v>Coast</v>
      </c>
      <c r="D598" s="34">
        <f t="shared" ca="1" si="39"/>
        <v>637000</v>
      </c>
      <c r="E598">
        <v>639</v>
      </c>
    </row>
    <row r="599" spans="1:5" x14ac:dyDescent="0.35">
      <c r="A599" t="str">
        <f t="shared" si="36"/>
        <v>C0598</v>
      </c>
      <c r="B599" t="str">
        <f t="shared" si="37"/>
        <v>Customer_0598</v>
      </c>
      <c r="C599" t="str">
        <f t="shared" ca="1" si="38"/>
        <v>Coast</v>
      </c>
      <c r="D599" s="34">
        <f t="shared" ca="1" si="39"/>
        <v>181000</v>
      </c>
      <c r="E599">
        <v>627</v>
      </c>
    </row>
    <row r="600" spans="1:5" x14ac:dyDescent="0.35">
      <c r="A600" t="str">
        <f t="shared" si="36"/>
        <v>C0599</v>
      </c>
      <c r="B600" t="str">
        <f t="shared" si="37"/>
        <v>Customer_0599</v>
      </c>
      <c r="C600" t="str">
        <f t="shared" ca="1" si="38"/>
        <v>Western</v>
      </c>
      <c r="D600" s="34">
        <f t="shared" ca="1" si="39"/>
        <v>508000</v>
      </c>
      <c r="E600">
        <v>835</v>
      </c>
    </row>
    <row r="601" spans="1:5" x14ac:dyDescent="0.35">
      <c r="A601" t="str">
        <f t="shared" si="36"/>
        <v>C0600</v>
      </c>
      <c r="B601" t="str">
        <f t="shared" si="37"/>
        <v>Customer_0600</v>
      </c>
      <c r="C601" t="str">
        <f t="shared" ca="1" si="38"/>
        <v>Western</v>
      </c>
      <c r="D601" s="34">
        <f t="shared" ca="1" si="39"/>
        <v>633000</v>
      </c>
      <c r="E601">
        <v>381</v>
      </c>
    </row>
    <row r="602" spans="1:5" x14ac:dyDescent="0.35">
      <c r="A602" t="str">
        <f t="shared" si="36"/>
        <v>C0601</v>
      </c>
      <c r="B602" t="str">
        <f t="shared" si="37"/>
        <v>Customer_0601</v>
      </c>
      <c r="C602" t="str">
        <f t="shared" ca="1" si="38"/>
        <v>Western</v>
      </c>
      <c r="D602" s="34">
        <f t="shared" ca="1" si="39"/>
        <v>311000</v>
      </c>
      <c r="E602">
        <v>551</v>
      </c>
    </row>
    <row r="603" spans="1:5" x14ac:dyDescent="0.35">
      <c r="A603" t="str">
        <f t="shared" si="36"/>
        <v>C0602</v>
      </c>
      <c r="B603" t="str">
        <f t="shared" si="37"/>
        <v>Customer_0602</v>
      </c>
      <c r="C603" t="str">
        <f t="shared" ca="1" si="38"/>
        <v>Rift Valley</v>
      </c>
      <c r="D603" s="34">
        <f t="shared" ca="1" si="39"/>
        <v>305000</v>
      </c>
      <c r="E603">
        <v>839</v>
      </c>
    </row>
    <row r="604" spans="1:5" x14ac:dyDescent="0.35">
      <c r="A604" t="str">
        <f t="shared" si="36"/>
        <v>C0603</v>
      </c>
      <c r="B604" t="str">
        <f t="shared" si="37"/>
        <v>Customer_0603</v>
      </c>
      <c r="C604" t="str">
        <f t="shared" ca="1" si="38"/>
        <v>Rift Valley</v>
      </c>
      <c r="D604" s="34">
        <f t="shared" ca="1" si="39"/>
        <v>525000</v>
      </c>
      <c r="E604">
        <v>802</v>
      </c>
    </row>
    <row r="605" spans="1:5" x14ac:dyDescent="0.35">
      <c r="A605" t="str">
        <f t="shared" si="36"/>
        <v>C0604</v>
      </c>
      <c r="B605" t="str">
        <f t="shared" si="37"/>
        <v>Customer_0604</v>
      </c>
      <c r="C605" t="str">
        <f t="shared" ca="1" si="38"/>
        <v>Central</v>
      </c>
      <c r="D605" s="34">
        <f t="shared" ca="1" si="39"/>
        <v>403000</v>
      </c>
      <c r="E605">
        <v>554</v>
      </c>
    </row>
    <row r="606" spans="1:5" x14ac:dyDescent="0.35">
      <c r="A606" t="str">
        <f t="shared" si="36"/>
        <v>C0605</v>
      </c>
      <c r="B606" t="str">
        <f t="shared" si="37"/>
        <v>Customer_0605</v>
      </c>
      <c r="C606" t="str">
        <f t="shared" ca="1" si="38"/>
        <v>Rift Valley</v>
      </c>
      <c r="D606" s="34">
        <f t="shared" ca="1" si="39"/>
        <v>221000</v>
      </c>
      <c r="E606">
        <v>459</v>
      </c>
    </row>
    <row r="607" spans="1:5" x14ac:dyDescent="0.35">
      <c r="A607" t="str">
        <f t="shared" si="36"/>
        <v>C0606</v>
      </c>
      <c r="B607" t="str">
        <f t="shared" si="37"/>
        <v>Customer_0606</v>
      </c>
      <c r="C607" t="str">
        <f t="shared" ca="1" si="38"/>
        <v>Rift Valley</v>
      </c>
      <c r="D607" s="34">
        <f t="shared" ca="1" si="39"/>
        <v>495000</v>
      </c>
      <c r="E607">
        <v>597</v>
      </c>
    </row>
    <row r="608" spans="1:5" x14ac:dyDescent="0.35">
      <c r="A608" t="str">
        <f t="shared" si="36"/>
        <v>C0607</v>
      </c>
      <c r="B608" t="str">
        <f t="shared" si="37"/>
        <v>Customer_0607</v>
      </c>
      <c r="C608" t="str">
        <f t="shared" ca="1" si="38"/>
        <v>Rift Valley</v>
      </c>
      <c r="D608" s="34">
        <f t="shared" ca="1" si="39"/>
        <v>204000</v>
      </c>
      <c r="E608">
        <v>504</v>
      </c>
    </row>
    <row r="609" spans="1:5" x14ac:dyDescent="0.35">
      <c r="A609" t="str">
        <f t="shared" si="36"/>
        <v>C0608</v>
      </c>
      <c r="B609" t="str">
        <f t="shared" si="37"/>
        <v>Customer_0608</v>
      </c>
      <c r="C609" t="str">
        <f t="shared" ca="1" si="38"/>
        <v>Rift Valley</v>
      </c>
      <c r="D609" s="34">
        <f t="shared" ca="1" si="39"/>
        <v>359000</v>
      </c>
      <c r="E609">
        <v>315</v>
      </c>
    </row>
    <row r="610" spans="1:5" x14ac:dyDescent="0.35">
      <c r="A610" t="str">
        <f t="shared" si="36"/>
        <v>C0609</v>
      </c>
      <c r="B610" t="str">
        <f t="shared" si="37"/>
        <v>Customer_0609</v>
      </c>
      <c r="C610" t="str">
        <f t="shared" ca="1" si="38"/>
        <v>Western</v>
      </c>
      <c r="D610" s="34">
        <f t="shared" ca="1" si="39"/>
        <v>498000</v>
      </c>
      <c r="E610">
        <v>775</v>
      </c>
    </row>
    <row r="611" spans="1:5" x14ac:dyDescent="0.35">
      <c r="A611" t="str">
        <f t="shared" si="36"/>
        <v>C0610</v>
      </c>
      <c r="B611" t="str">
        <f t="shared" si="37"/>
        <v>Customer_0610</v>
      </c>
      <c r="C611" t="str">
        <f t="shared" ca="1" si="38"/>
        <v>Central</v>
      </c>
      <c r="D611" s="34">
        <f t="shared" ca="1" si="39"/>
        <v>441000</v>
      </c>
      <c r="E611">
        <v>318</v>
      </c>
    </row>
    <row r="612" spans="1:5" x14ac:dyDescent="0.35">
      <c r="A612" t="str">
        <f t="shared" si="36"/>
        <v>C0611</v>
      </c>
      <c r="B612" t="str">
        <f t="shared" si="37"/>
        <v>Customer_0611</v>
      </c>
      <c r="C612" t="str">
        <f t="shared" ca="1" si="38"/>
        <v>Rift Valley</v>
      </c>
      <c r="D612" s="34">
        <f t="shared" ca="1" si="39"/>
        <v>627000</v>
      </c>
      <c r="E612">
        <v>402</v>
      </c>
    </row>
    <row r="613" spans="1:5" x14ac:dyDescent="0.35">
      <c r="A613" t="str">
        <f t="shared" si="36"/>
        <v>C0612</v>
      </c>
      <c r="B613" t="str">
        <f t="shared" si="37"/>
        <v>Customer_0612</v>
      </c>
      <c r="C613" t="str">
        <f t="shared" ca="1" si="38"/>
        <v>Nairobi</v>
      </c>
      <c r="D613" s="34">
        <f t="shared" ca="1" si="39"/>
        <v>781000</v>
      </c>
      <c r="E613">
        <v>367</v>
      </c>
    </row>
    <row r="614" spans="1:5" x14ac:dyDescent="0.35">
      <c r="A614" t="str">
        <f t="shared" si="36"/>
        <v>C0613</v>
      </c>
      <c r="B614" t="str">
        <f t="shared" si="37"/>
        <v>Customer_0613</v>
      </c>
      <c r="C614" t="str">
        <f t="shared" ca="1" si="38"/>
        <v>Nairobi</v>
      </c>
      <c r="D614" s="34">
        <f t="shared" ca="1" si="39"/>
        <v>352000</v>
      </c>
      <c r="E614">
        <v>764</v>
      </c>
    </row>
    <row r="615" spans="1:5" x14ac:dyDescent="0.35">
      <c r="A615" t="str">
        <f t="shared" si="36"/>
        <v>C0614</v>
      </c>
      <c r="B615" t="str">
        <f t="shared" si="37"/>
        <v>Customer_0614</v>
      </c>
      <c r="C615" t="str">
        <f t="shared" ca="1" si="38"/>
        <v>Rift Valley</v>
      </c>
      <c r="D615" s="34">
        <f t="shared" ca="1" si="39"/>
        <v>422000</v>
      </c>
      <c r="E615">
        <v>793</v>
      </c>
    </row>
    <row r="616" spans="1:5" x14ac:dyDescent="0.35">
      <c r="A616" t="str">
        <f t="shared" si="36"/>
        <v>C0615</v>
      </c>
      <c r="B616" t="str">
        <f t="shared" si="37"/>
        <v>Customer_0615</v>
      </c>
      <c r="C616" t="str">
        <f t="shared" ca="1" si="38"/>
        <v>Rift Valley</v>
      </c>
      <c r="D616" s="34">
        <f t="shared" ca="1" si="39"/>
        <v>543000</v>
      </c>
      <c r="E616">
        <v>763</v>
      </c>
    </row>
    <row r="617" spans="1:5" x14ac:dyDescent="0.35">
      <c r="A617" t="str">
        <f t="shared" si="36"/>
        <v>C0616</v>
      </c>
      <c r="B617" t="str">
        <f t="shared" si="37"/>
        <v>Customer_0616</v>
      </c>
      <c r="C617" t="str">
        <f t="shared" ca="1" si="38"/>
        <v>Rift Valley</v>
      </c>
      <c r="D617" s="34">
        <f t="shared" ca="1" si="39"/>
        <v>124000</v>
      </c>
      <c r="E617">
        <v>529</v>
      </c>
    </row>
    <row r="618" spans="1:5" x14ac:dyDescent="0.35">
      <c r="A618" t="str">
        <f t="shared" si="36"/>
        <v>C0617</v>
      </c>
      <c r="B618" t="str">
        <f t="shared" si="37"/>
        <v>Customer_0617</v>
      </c>
      <c r="C618" t="str">
        <f t="shared" ca="1" si="38"/>
        <v>Rift Valley</v>
      </c>
      <c r="D618" s="34">
        <f t="shared" ca="1" si="39"/>
        <v>410000</v>
      </c>
      <c r="E618">
        <v>681</v>
      </c>
    </row>
    <row r="619" spans="1:5" x14ac:dyDescent="0.35">
      <c r="A619" t="str">
        <f t="shared" si="36"/>
        <v>C0618</v>
      </c>
      <c r="B619" t="str">
        <f t="shared" si="37"/>
        <v>Customer_0618</v>
      </c>
      <c r="C619" t="str">
        <f t="shared" ca="1" si="38"/>
        <v>Rift Valley</v>
      </c>
      <c r="D619" s="34">
        <f t="shared" ca="1" si="39"/>
        <v>603000</v>
      </c>
      <c r="E619">
        <v>647</v>
      </c>
    </row>
    <row r="620" spans="1:5" x14ac:dyDescent="0.35">
      <c r="A620" t="str">
        <f t="shared" si="36"/>
        <v>C0619</v>
      </c>
      <c r="B620" t="str">
        <f t="shared" si="37"/>
        <v>Customer_0619</v>
      </c>
      <c r="C620" t="str">
        <f t="shared" ca="1" si="38"/>
        <v>Rift Valley</v>
      </c>
      <c r="D620" s="34">
        <f t="shared" ca="1" si="39"/>
        <v>330000</v>
      </c>
      <c r="E620">
        <v>553</v>
      </c>
    </row>
    <row r="621" spans="1:5" x14ac:dyDescent="0.35">
      <c r="A621" t="str">
        <f t="shared" si="36"/>
        <v>C0620</v>
      </c>
      <c r="B621" t="str">
        <f t="shared" si="37"/>
        <v>Customer_0620</v>
      </c>
      <c r="C621" t="str">
        <f t="shared" ca="1" si="38"/>
        <v>Coast</v>
      </c>
      <c r="D621" s="34">
        <f t="shared" ca="1" si="39"/>
        <v>87000</v>
      </c>
      <c r="E621">
        <v>653</v>
      </c>
    </row>
    <row r="622" spans="1:5" x14ac:dyDescent="0.35">
      <c r="A622" t="str">
        <f t="shared" si="36"/>
        <v>C0621</v>
      </c>
      <c r="B622" t="str">
        <f t="shared" si="37"/>
        <v>Customer_0621</v>
      </c>
      <c r="C622" t="str">
        <f t="shared" ca="1" si="38"/>
        <v>Nairobi</v>
      </c>
      <c r="D622" s="34">
        <f t="shared" ca="1" si="39"/>
        <v>123000</v>
      </c>
      <c r="E622">
        <v>702</v>
      </c>
    </row>
    <row r="623" spans="1:5" x14ac:dyDescent="0.35">
      <c r="A623" t="str">
        <f t="shared" si="36"/>
        <v>C0622</v>
      </c>
      <c r="B623" t="str">
        <f t="shared" si="37"/>
        <v>Customer_0622</v>
      </c>
      <c r="C623" t="str">
        <f t="shared" ca="1" si="38"/>
        <v>Nairobi</v>
      </c>
      <c r="D623" s="34">
        <f t="shared" ca="1" si="39"/>
        <v>553000</v>
      </c>
      <c r="E623">
        <v>634</v>
      </c>
    </row>
    <row r="624" spans="1:5" x14ac:dyDescent="0.35">
      <c r="A624" t="str">
        <f t="shared" si="36"/>
        <v>C0623</v>
      </c>
      <c r="B624" t="str">
        <f t="shared" si="37"/>
        <v>Customer_0623</v>
      </c>
      <c r="C624" t="str">
        <f t="shared" ca="1" si="38"/>
        <v>Coast</v>
      </c>
      <c r="D624" s="34">
        <f t="shared" ca="1" si="39"/>
        <v>500000</v>
      </c>
      <c r="E624">
        <v>726</v>
      </c>
    </row>
    <row r="625" spans="1:5" x14ac:dyDescent="0.35">
      <c r="A625" t="str">
        <f t="shared" si="36"/>
        <v>C0624</v>
      </c>
      <c r="B625" t="str">
        <f t="shared" si="37"/>
        <v>Customer_0624</v>
      </c>
      <c r="C625" t="str">
        <f t="shared" ca="1" si="38"/>
        <v>Coast</v>
      </c>
      <c r="D625" s="34">
        <f t="shared" ca="1" si="39"/>
        <v>554000</v>
      </c>
      <c r="E625">
        <v>437</v>
      </c>
    </row>
    <row r="626" spans="1:5" x14ac:dyDescent="0.35">
      <c r="A626" t="str">
        <f t="shared" si="36"/>
        <v>C0625</v>
      </c>
      <c r="B626" t="str">
        <f t="shared" si="37"/>
        <v>Customer_0625</v>
      </c>
      <c r="C626" t="str">
        <f t="shared" ca="1" si="38"/>
        <v>Coast</v>
      </c>
      <c r="D626" s="34">
        <f t="shared" ca="1" si="39"/>
        <v>559000</v>
      </c>
      <c r="E626">
        <v>501</v>
      </c>
    </row>
    <row r="627" spans="1:5" x14ac:dyDescent="0.35">
      <c r="A627" t="str">
        <f t="shared" si="36"/>
        <v>C0626</v>
      </c>
      <c r="B627" t="str">
        <f t="shared" si="37"/>
        <v>Customer_0626</v>
      </c>
      <c r="C627" t="str">
        <f t="shared" ca="1" si="38"/>
        <v>Coast</v>
      </c>
      <c r="D627" s="34">
        <f t="shared" ca="1" si="39"/>
        <v>263000</v>
      </c>
      <c r="E627">
        <v>795</v>
      </c>
    </row>
    <row r="628" spans="1:5" x14ac:dyDescent="0.35">
      <c r="A628" t="str">
        <f t="shared" si="36"/>
        <v>C0627</v>
      </c>
      <c r="B628" t="str">
        <f t="shared" si="37"/>
        <v>Customer_0627</v>
      </c>
      <c r="C628" t="str">
        <f t="shared" ca="1" si="38"/>
        <v>Nairobi</v>
      </c>
      <c r="D628" s="34">
        <f t="shared" ca="1" si="39"/>
        <v>797000</v>
      </c>
      <c r="E628">
        <v>541</v>
      </c>
    </row>
    <row r="629" spans="1:5" x14ac:dyDescent="0.35">
      <c r="A629" t="str">
        <f t="shared" si="36"/>
        <v>C0628</v>
      </c>
      <c r="B629" t="str">
        <f t="shared" si="37"/>
        <v>Customer_0628</v>
      </c>
      <c r="C629" t="str">
        <f t="shared" ca="1" si="38"/>
        <v>Central</v>
      </c>
      <c r="D629" s="34">
        <f t="shared" ca="1" si="39"/>
        <v>722000</v>
      </c>
      <c r="E629">
        <v>575</v>
      </c>
    </row>
    <row r="630" spans="1:5" x14ac:dyDescent="0.35">
      <c r="A630" t="str">
        <f t="shared" si="36"/>
        <v>C0629</v>
      </c>
      <c r="B630" t="str">
        <f t="shared" si="37"/>
        <v>Customer_0629</v>
      </c>
      <c r="C630" t="str">
        <f t="shared" ca="1" si="38"/>
        <v>Western</v>
      </c>
      <c r="D630" s="34">
        <f t="shared" ca="1" si="39"/>
        <v>587000</v>
      </c>
      <c r="E630">
        <v>502</v>
      </c>
    </row>
    <row r="631" spans="1:5" x14ac:dyDescent="0.35">
      <c r="A631" t="str">
        <f t="shared" si="36"/>
        <v>C0630</v>
      </c>
      <c r="B631" t="str">
        <f t="shared" si="37"/>
        <v>Customer_0630</v>
      </c>
      <c r="C631" t="str">
        <f t="shared" ca="1" si="38"/>
        <v>Central</v>
      </c>
      <c r="D631" s="34">
        <f t="shared" ca="1" si="39"/>
        <v>442000</v>
      </c>
      <c r="E631">
        <v>434</v>
      </c>
    </row>
    <row r="632" spans="1:5" x14ac:dyDescent="0.35">
      <c r="A632" t="str">
        <f t="shared" si="36"/>
        <v>C0631</v>
      </c>
      <c r="B632" t="str">
        <f t="shared" si="37"/>
        <v>Customer_0631</v>
      </c>
      <c r="C632" t="str">
        <f t="shared" ca="1" si="38"/>
        <v>Coast</v>
      </c>
      <c r="D632" s="34">
        <f t="shared" ca="1" si="39"/>
        <v>226000</v>
      </c>
      <c r="E632">
        <v>799</v>
      </c>
    </row>
    <row r="633" spans="1:5" x14ac:dyDescent="0.35">
      <c r="A633" t="str">
        <f t="shared" si="36"/>
        <v>C0632</v>
      </c>
      <c r="B633" t="str">
        <f t="shared" si="37"/>
        <v>Customer_0632</v>
      </c>
      <c r="C633" t="str">
        <f t="shared" ca="1" si="38"/>
        <v>Rift Valley</v>
      </c>
      <c r="D633" s="34">
        <f t="shared" ca="1" si="39"/>
        <v>724000</v>
      </c>
      <c r="E633">
        <v>580</v>
      </c>
    </row>
    <row r="634" spans="1:5" x14ac:dyDescent="0.35">
      <c r="A634" t="str">
        <f t="shared" si="36"/>
        <v>C0633</v>
      </c>
      <c r="B634" t="str">
        <f t="shared" si="37"/>
        <v>Customer_0633</v>
      </c>
      <c r="C634" t="str">
        <f t="shared" ca="1" si="38"/>
        <v>Rift Valley</v>
      </c>
      <c r="D634" s="34">
        <f t="shared" ca="1" si="39"/>
        <v>99000</v>
      </c>
      <c r="E634">
        <v>406</v>
      </c>
    </row>
    <row r="635" spans="1:5" x14ac:dyDescent="0.35">
      <c r="A635" t="str">
        <f t="shared" si="36"/>
        <v>C0634</v>
      </c>
      <c r="B635" t="str">
        <f t="shared" si="37"/>
        <v>Customer_0634</v>
      </c>
      <c r="C635" t="str">
        <f t="shared" ca="1" si="38"/>
        <v>Nairobi</v>
      </c>
      <c r="D635" s="34">
        <f t="shared" ca="1" si="39"/>
        <v>298000</v>
      </c>
      <c r="E635">
        <v>816</v>
      </c>
    </row>
    <row r="636" spans="1:5" x14ac:dyDescent="0.35">
      <c r="A636" t="str">
        <f t="shared" si="36"/>
        <v>C0635</v>
      </c>
      <c r="B636" t="str">
        <f t="shared" si="37"/>
        <v>Customer_0635</v>
      </c>
      <c r="C636" t="str">
        <f t="shared" ca="1" si="38"/>
        <v>Coast</v>
      </c>
      <c r="D636" s="34">
        <f t="shared" ca="1" si="39"/>
        <v>348000</v>
      </c>
      <c r="E636">
        <v>657</v>
      </c>
    </row>
    <row r="637" spans="1:5" x14ac:dyDescent="0.35">
      <c r="A637" t="str">
        <f t="shared" si="36"/>
        <v>C0636</v>
      </c>
      <c r="B637" t="str">
        <f t="shared" si="37"/>
        <v>Customer_0636</v>
      </c>
      <c r="C637" t="str">
        <f t="shared" ca="1" si="38"/>
        <v>Nairobi</v>
      </c>
      <c r="D637" s="34">
        <f t="shared" ca="1" si="39"/>
        <v>758000</v>
      </c>
      <c r="E637">
        <v>782</v>
      </c>
    </row>
    <row r="638" spans="1:5" x14ac:dyDescent="0.35">
      <c r="A638" t="str">
        <f t="shared" si="36"/>
        <v>C0637</v>
      </c>
      <c r="B638" t="str">
        <f t="shared" si="37"/>
        <v>Customer_0637</v>
      </c>
      <c r="C638" t="str">
        <f t="shared" ca="1" si="38"/>
        <v>Central</v>
      </c>
      <c r="D638" s="34">
        <f t="shared" ca="1" si="39"/>
        <v>122000</v>
      </c>
      <c r="E638">
        <v>444</v>
      </c>
    </row>
    <row r="639" spans="1:5" x14ac:dyDescent="0.35">
      <c r="A639" t="str">
        <f t="shared" si="36"/>
        <v>C0638</v>
      </c>
      <c r="B639" t="str">
        <f t="shared" si="37"/>
        <v>Customer_0638</v>
      </c>
      <c r="C639" t="str">
        <f t="shared" ca="1" si="38"/>
        <v>Western</v>
      </c>
      <c r="D639" s="34">
        <f t="shared" ca="1" si="39"/>
        <v>464000</v>
      </c>
      <c r="E639">
        <v>746</v>
      </c>
    </row>
    <row r="640" spans="1:5" x14ac:dyDescent="0.35">
      <c r="A640" t="str">
        <f t="shared" si="36"/>
        <v>C0639</v>
      </c>
      <c r="B640" t="str">
        <f t="shared" si="37"/>
        <v>Customer_0639</v>
      </c>
      <c r="C640" t="str">
        <f t="shared" ca="1" si="38"/>
        <v>Central</v>
      </c>
      <c r="D640" s="34">
        <f t="shared" ca="1" si="39"/>
        <v>210000</v>
      </c>
      <c r="E640">
        <v>567</v>
      </c>
    </row>
    <row r="641" spans="1:5" x14ac:dyDescent="0.35">
      <c r="A641" t="str">
        <f t="shared" si="36"/>
        <v>C0640</v>
      </c>
      <c r="B641" t="str">
        <f t="shared" si="37"/>
        <v>Customer_0640</v>
      </c>
      <c r="C641" t="str">
        <f t="shared" ca="1" si="38"/>
        <v>Coast</v>
      </c>
      <c r="D641" s="34">
        <f t="shared" ca="1" si="39"/>
        <v>310000</v>
      </c>
      <c r="E641">
        <v>829</v>
      </c>
    </row>
    <row r="642" spans="1:5" x14ac:dyDescent="0.35">
      <c r="A642" t="str">
        <f t="shared" si="36"/>
        <v>C0641</v>
      </c>
      <c r="B642" t="str">
        <f t="shared" si="37"/>
        <v>Customer_0641</v>
      </c>
      <c r="C642" t="str">
        <f t="shared" ca="1" si="38"/>
        <v>Nairobi</v>
      </c>
      <c r="D642" s="34">
        <f t="shared" ca="1" si="39"/>
        <v>747000</v>
      </c>
      <c r="E642">
        <v>790</v>
      </c>
    </row>
    <row r="643" spans="1:5" x14ac:dyDescent="0.35">
      <c r="A643" t="str">
        <f t="shared" ref="A643:A701" si="40">"C"&amp;TEXT(ROW()-1,"0000")</f>
        <v>C0642</v>
      </c>
      <c r="B643" t="str">
        <f t="shared" ref="B643:B701" si="41">"Customer_"&amp;TEXT(ROW()-1,"0000")</f>
        <v>Customer_0642</v>
      </c>
      <c r="C643" t="str">
        <f t="shared" ref="C643:C701" ca="1" si="42">CHOOSE(RANDBETWEEN(1,5),
"Nairobi",
"Central",
"Coast",
"Rift Valley",
"Western")</f>
        <v>Central</v>
      </c>
      <c r="D643" s="34">
        <f t="shared" ref="D643:D701" ca="1" si="43">ROUND(RANDBETWEEN(50000,800000),-3)</f>
        <v>526000</v>
      </c>
      <c r="E643">
        <v>522</v>
      </c>
    </row>
    <row r="644" spans="1:5" x14ac:dyDescent="0.35">
      <c r="A644" t="str">
        <f t="shared" si="40"/>
        <v>C0643</v>
      </c>
      <c r="B644" t="str">
        <f t="shared" si="41"/>
        <v>Customer_0643</v>
      </c>
      <c r="C644" t="str">
        <f t="shared" ca="1" si="42"/>
        <v>Nairobi</v>
      </c>
      <c r="D644" s="34">
        <f t="shared" ca="1" si="43"/>
        <v>663000</v>
      </c>
      <c r="E644">
        <v>634</v>
      </c>
    </row>
    <row r="645" spans="1:5" x14ac:dyDescent="0.35">
      <c r="A645" t="str">
        <f t="shared" si="40"/>
        <v>C0644</v>
      </c>
      <c r="B645" t="str">
        <f t="shared" si="41"/>
        <v>Customer_0644</v>
      </c>
      <c r="C645" t="str">
        <f t="shared" ca="1" si="42"/>
        <v>Coast</v>
      </c>
      <c r="D645" s="34">
        <f t="shared" ca="1" si="43"/>
        <v>507000</v>
      </c>
      <c r="E645">
        <v>772</v>
      </c>
    </row>
    <row r="646" spans="1:5" x14ac:dyDescent="0.35">
      <c r="A646" t="str">
        <f t="shared" si="40"/>
        <v>C0645</v>
      </c>
      <c r="B646" t="str">
        <f t="shared" si="41"/>
        <v>Customer_0645</v>
      </c>
      <c r="C646" t="str">
        <f t="shared" ca="1" si="42"/>
        <v>Western</v>
      </c>
      <c r="D646" s="34">
        <f t="shared" ca="1" si="43"/>
        <v>720000</v>
      </c>
      <c r="E646">
        <v>422</v>
      </c>
    </row>
    <row r="647" spans="1:5" x14ac:dyDescent="0.35">
      <c r="A647" t="str">
        <f t="shared" si="40"/>
        <v>C0646</v>
      </c>
      <c r="B647" t="str">
        <f t="shared" si="41"/>
        <v>Customer_0646</v>
      </c>
      <c r="C647" t="str">
        <f t="shared" ca="1" si="42"/>
        <v>Nairobi</v>
      </c>
      <c r="D647" s="34">
        <f t="shared" ca="1" si="43"/>
        <v>214000</v>
      </c>
      <c r="E647">
        <v>755</v>
      </c>
    </row>
    <row r="648" spans="1:5" x14ac:dyDescent="0.35">
      <c r="A648" t="str">
        <f t="shared" si="40"/>
        <v>C0647</v>
      </c>
      <c r="B648" t="str">
        <f t="shared" si="41"/>
        <v>Customer_0647</v>
      </c>
      <c r="C648" t="str">
        <f t="shared" ca="1" si="42"/>
        <v>Rift Valley</v>
      </c>
      <c r="D648" s="34">
        <f t="shared" ca="1" si="43"/>
        <v>269000</v>
      </c>
      <c r="E648">
        <v>305</v>
      </c>
    </row>
    <row r="649" spans="1:5" x14ac:dyDescent="0.35">
      <c r="A649" t="str">
        <f t="shared" si="40"/>
        <v>C0648</v>
      </c>
      <c r="B649" t="str">
        <f t="shared" si="41"/>
        <v>Customer_0648</v>
      </c>
      <c r="C649" t="str">
        <f t="shared" ca="1" si="42"/>
        <v>Nairobi</v>
      </c>
      <c r="D649" s="34">
        <f t="shared" ca="1" si="43"/>
        <v>660000</v>
      </c>
      <c r="E649">
        <v>794</v>
      </c>
    </row>
    <row r="650" spans="1:5" x14ac:dyDescent="0.35">
      <c r="A650" t="str">
        <f t="shared" si="40"/>
        <v>C0649</v>
      </c>
      <c r="B650" t="str">
        <f t="shared" si="41"/>
        <v>Customer_0649</v>
      </c>
      <c r="C650" t="str">
        <f t="shared" ca="1" si="42"/>
        <v>Central</v>
      </c>
      <c r="D650" s="34">
        <f t="shared" ca="1" si="43"/>
        <v>669000</v>
      </c>
      <c r="E650">
        <v>307</v>
      </c>
    </row>
    <row r="651" spans="1:5" x14ac:dyDescent="0.35">
      <c r="A651" t="str">
        <f t="shared" si="40"/>
        <v>C0650</v>
      </c>
      <c r="B651" t="str">
        <f t="shared" si="41"/>
        <v>Customer_0650</v>
      </c>
      <c r="C651" t="str">
        <f t="shared" ca="1" si="42"/>
        <v>Central</v>
      </c>
      <c r="D651" s="34">
        <f t="shared" ca="1" si="43"/>
        <v>302000</v>
      </c>
      <c r="E651">
        <v>325</v>
      </c>
    </row>
    <row r="652" spans="1:5" x14ac:dyDescent="0.35">
      <c r="A652" t="str">
        <f t="shared" si="40"/>
        <v>C0651</v>
      </c>
      <c r="B652" t="str">
        <f t="shared" si="41"/>
        <v>Customer_0651</v>
      </c>
      <c r="C652" t="str">
        <f t="shared" ca="1" si="42"/>
        <v>Nairobi</v>
      </c>
      <c r="D652" s="34">
        <f t="shared" ca="1" si="43"/>
        <v>676000</v>
      </c>
      <c r="E652">
        <v>600</v>
      </c>
    </row>
    <row r="653" spans="1:5" x14ac:dyDescent="0.35">
      <c r="A653" t="str">
        <f t="shared" si="40"/>
        <v>C0652</v>
      </c>
      <c r="B653" t="str">
        <f t="shared" si="41"/>
        <v>Customer_0652</v>
      </c>
      <c r="C653" t="str">
        <f t="shared" ca="1" si="42"/>
        <v>Western</v>
      </c>
      <c r="D653" s="34">
        <f t="shared" ca="1" si="43"/>
        <v>697000</v>
      </c>
      <c r="E653">
        <v>383</v>
      </c>
    </row>
    <row r="654" spans="1:5" x14ac:dyDescent="0.35">
      <c r="A654" t="str">
        <f t="shared" si="40"/>
        <v>C0653</v>
      </c>
      <c r="B654" t="str">
        <f t="shared" si="41"/>
        <v>Customer_0653</v>
      </c>
      <c r="C654" t="str">
        <f t="shared" ca="1" si="42"/>
        <v>Central</v>
      </c>
      <c r="D654" s="34">
        <f t="shared" ca="1" si="43"/>
        <v>727000</v>
      </c>
      <c r="E654">
        <v>755</v>
      </c>
    </row>
    <row r="655" spans="1:5" x14ac:dyDescent="0.35">
      <c r="A655" t="str">
        <f t="shared" si="40"/>
        <v>C0654</v>
      </c>
      <c r="B655" t="str">
        <f t="shared" si="41"/>
        <v>Customer_0654</v>
      </c>
      <c r="C655" t="str">
        <f t="shared" ca="1" si="42"/>
        <v>Western</v>
      </c>
      <c r="D655" s="34">
        <f t="shared" ca="1" si="43"/>
        <v>212000</v>
      </c>
      <c r="E655">
        <v>511</v>
      </c>
    </row>
    <row r="656" spans="1:5" x14ac:dyDescent="0.35">
      <c r="A656" t="str">
        <f t="shared" si="40"/>
        <v>C0655</v>
      </c>
      <c r="B656" t="str">
        <f t="shared" si="41"/>
        <v>Customer_0655</v>
      </c>
      <c r="C656" t="str">
        <f t="shared" ca="1" si="42"/>
        <v>Central</v>
      </c>
      <c r="D656" s="34">
        <f t="shared" ca="1" si="43"/>
        <v>424000</v>
      </c>
      <c r="E656">
        <v>317</v>
      </c>
    </row>
    <row r="657" spans="1:5" x14ac:dyDescent="0.35">
      <c r="A657" t="str">
        <f t="shared" si="40"/>
        <v>C0656</v>
      </c>
      <c r="B657" t="str">
        <f t="shared" si="41"/>
        <v>Customer_0656</v>
      </c>
      <c r="C657" t="str">
        <f t="shared" ca="1" si="42"/>
        <v>Rift Valley</v>
      </c>
      <c r="D657" s="34">
        <f t="shared" ca="1" si="43"/>
        <v>102000</v>
      </c>
      <c r="E657">
        <v>485</v>
      </c>
    </row>
    <row r="658" spans="1:5" x14ac:dyDescent="0.35">
      <c r="A658" t="str">
        <f t="shared" si="40"/>
        <v>C0657</v>
      </c>
      <c r="B658" t="str">
        <f t="shared" si="41"/>
        <v>Customer_0657</v>
      </c>
      <c r="C658" t="str">
        <f t="shared" ca="1" si="42"/>
        <v>Central</v>
      </c>
      <c r="D658" s="34">
        <f t="shared" ca="1" si="43"/>
        <v>591000</v>
      </c>
      <c r="E658">
        <v>702</v>
      </c>
    </row>
    <row r="659" spans="1:5" x14ac:dyDescent="0.35">
      <c r="A659" t="str">
        <f t="shared" si="40"/>
        <v>C0658</v>
      </c>
      <c r="B659" t="str">
        <f t="shared" si="41"/>
        <v>Customer_0658</v>
      </c>
      <c r="C659" t="str">
        <f t="shared" ca="1" si="42"/>
        <v>Western</v>
      </c>
      <c r="D659" s="34">
        <f t="shared" ca="1" si="43"/>
        <v>494000</v>
      </c>
      <c r="E659">
        <v>333</v>
      </c>
    </row>
    <row r="660" spans="1:5" x14ac:dyDescent="0.35">
      <c r="A660" t="str">
        <f t="shared" si="40"/>
        <v>C0659</v>
      </c>
      <c r="B660" t="str">
        <f t="shared" si="41"/>
        <v>Customer_0659</v>
      </c>
      <c r="C660" t="str">
        <f t="shared" ca="1" si="42"/>
        <v>Central</v>
      </c>
      <c r="D660" s="34">
        <f t="shared" ca="1" si="43"/>
        <v>95000</v>
      </c>
      <c r="E660">
        <v>517</v>
      </c>
    </row>
    <row r="661" spans="1:5" x14ac:dyDescent="0.35">
      <c r="A661" t="str">
        <f t="shared" si="40"/>
        <v>C0660</v>
      </c>
      <c r="B661" t="str">
        <f t="shared" si="41"/>
        <v>Customer_0660</v>
      </c>
      <c r="C661" t="str">
        <f t="shared" ca="1" si="42"/>
        <v>Coast</v>
      </c>
      <c r="D661" s="34">
        <f t="shared" ca="1" si="43"/>
        <v>240000</v>
      </c>
      <c r="E661">
        <v>652</v>
      </c>
    </row>
    <row r="662" spans="1:5" x14ac:dyDescent="0.35">
      <c r="A662" t="str">
        <f t="shared" si="40"/>
        <v>C0661</v>
      </c>
      <c r="B662" t="str">
        <f t="shared" si="41"/>
        <v>Customer_0661</v>
      </c>
      <c r="C662" t="str">
        <f t="shared" ca="1" si="42"/>
        <v>Rift Valley</v>
      </c>
      <c r="D662" s="34">
        <f t="shared" ca="1" si="43"/>
        <v>453000</v>
      </c>
      <c r="E662">
        <v>459</v>
      </c>
    </row>
    <row r="663" spans="1:5" x14ac:dyDescent="0.35">
      <c r="A663" t="str">
        <f t="shared" si="40"/>
        <v>C0662</v>
      </c>
      <c r="B663" t="str">
        <f t="shared" si="41"/>
        <v>Customer_0662</v>
      </c>
      <c r="C663" t="str">
        <f t="shared" ca="1" si="42"/>
        <v>Coast</v>
      </c>
      <c r="D663" s="34">
        <f t="shared" ca="1" si="43"/>
        <v>709000</v>
      </c>
      <c r="E663">
        <v>380</v>
      </c>
    </row>
    <row r="664" spans="1:5" x14ac:dyDescent="0.35">
      <c r="A664" t="str">
        <f t="shared" si="40"/>
        <v>C0663</v>
      </c>
      <c r="B664" t="str">
        <f t="shared" si="41"/>
        <v>Customer_0663</v>
      </c>
      <c r="C664" t="str">
        <f t="shared" ca="1" si="42"/>
        <v>Nairobi</v>
      </c>
      <c r="D664" s="34">
        <f t="shared" ca="1" si="43"/>
        <v>557000</v>
      </c>
      <c r="E664">
        <v>777</v>
      </c>
    </row>
    <row r="665" spans="1:5" x14ac:dyDescent="0.35">
      <c r="A665" t="str">
        <f t="shared" si="40"/>
        <v>C0664</v>
      </c>
      <c r="B665" t="str">
        <f t="shared" si="41"/>
        <v>Customer_0664</v>
      </c>
      <c r="C665" t="str">
        <f t="shared" ca="1" si="42"/>
        <v>Coast</v>
      </c>
      <c r="D665" s="34">
        <f t="shared" ca="1" si="43"/>
        <v>323000</v>
      </c>
      <c r="E665">
        <v>573</v>
      </c>
    </row>
    <row r="666" spans="1:5" x14ac:dyDescent="0.35">
      <c r="A666" t="str">
        <f t="shared" si="40"/>
        <v>C0665</v>
      </c>
      <c r="B666" t="str">
        <f t="shared" si="41"/>
        <v>Customer_0665</v>
      </c>
      <c r="C666" t="str">
        <f t="shared" ca="1" si="42"/>
        <v>Nairobi</v>
      </c>
      <c r="D666" s="34">
        <f t="shared" ca="1" si="43"/>
        <v>533000</v>
      </c>
      <c r="E666">
        <v>635</v>
      </c>
    </row>
    <row r="667" spans="1:5" x14ac:dyDescent="0.35">
      <c r="A667" t="str">
        <f t="shared" si="40"/>
        <v>C0666</v>
      </c>
      <c r="B667" t="str">
        <f t="shared" si="41"/>
        <v>Customer_0666</v>
      </c>
      <c r="C667" t="str">
        <f t="shared" ca="1" si="42"/>
        <v>Western</v>
      </c>
      <c r="D667" s="34">
        <f t="shared" ca="1" si="43"/>
        <v>448000</v>
      </c>
      <c r="E667">
        <v>325</v>
      </c>
    </row>
    <row r="668" spans="1:5" x14ac:dyDescent="0.35">
      <c r="A668" t="str">
        <f t="shared" si="40"/>
        <v>C0667</v>
      </c>
      <c r="B668" t="str">
        <f t="shared" si="41"/>
        <v>Customer_0667</v>
      </c>
      <c r="C668" t="str">
        <f t="shared" ca="1" si="42"/>
        <v>Western</v>
      </c>
      <c r="D668" s="34">
        <f t="shared" ca="1" si="43"/>
        <v>475000</v>
      </c>
      <c r="E668">
        <v>823</v>
      </c>
    </row>
    <row r="669" spans="1:5" x14ac:dyDescent="0.35">
      <c r="A669" t="str">
        <f t="shared" si="40"/>
        <v>C0668</v>
      </c>
      <c r="B669" t="str">
        <f t="shared" si="41"/>
        <v>Customer_0668</v>
      </c>
      <c r="C669" t="str">
        <f t="shared" ca="1" si="42"/>
        <v>Coast</v>
      </c>
      <c r="D669" s="34">
        <f t="shared" ca="1" si="43"/>
        <v>174000</v>
      </c>
      <c r="E669">
        <v>831</v>
      </c>
    </row>
    <row r="670" spans="1:5" x14ac:dyDescent="0.35">
      <c r="A670" t="str">
        <f t="shared" si="40"/>
        <v>C0669</v>
      </c>
      <c r="B670" t="str">
        <f t="shared" si="41"/>
        <v>Customer_0669</v>
      </c>
      <c r="C670" t="str">
        <f t="shared" ca="1" si="42"/>
        <v>Rift Valley</v>
      </c>
      <c r="D670" s="34">
        <f t="shared" ca="1" si="43"/>
        <v>465000</v>
      </c>
      <c r="E670">
        <v>644</v>
      </c>
    </row>
    <row r="671" spans="1:5" x14ac:dyDescent="0.35">
      <c r="A671" t="str">
        <f t="shared" si="40"/>
        <v>C0670</v>
      </c>
      <c r="B671" t="str">
        <f t="shared" si="41"/>
        <v>Customer_0670</v>
      </c>
      <c r="C671" t="str">
        <f t="shared" ca="1" si="42"/>
        <v>Central</v>
      </c>
      <c r="D671" s="34">
        <f t="shared" ca="1" si="43"/>
        <v>169000</v>
      </c>
      <c r="E671">
        <v>616</v>
      </c>
    </row>
    <row r="672" spans="1:5" x14ac:dyDescent="0.35">
      <c r="A672" t="str">
        <f t="shared" si="40"/>
        <v>C0671</v>
      </c>
      <c r="B672" t="str">
        <f t="shared" si="41"/>
        <v>Customer_0671</v>
      </c>
      <c r="C672" t="str">
        <f t="shared" ca="1" si="42"/>
        <v>Central</v>
      </c>
      <c r="D672" s="34">
        <f t="shared" ca="1" si="43"/>
        <v>625000</v>
      </c>
      <c r="E672">
        <v>683</v>
      </c>
    </row>
    <row r="673" spans="1:5" x14ac:dyDescent="0.35">
      <c r="A673" t="str">
        <f t="shared" si="40"/>
        <v>C0672</v>
      </c>
      <c r="B673" t="str">
        <f t="shared" si="41"/>
        <v>Customer_0672</v>
      </c>
      <c r="C673" t="str">
        <f t="shared" ca="1" si="42"/>
        <v>Rift Valley</v>
      </c>
      <c r="D673" s="34">
        <f t="shared" ca="1" si="43"/>
        <v>421000</v>
      </c>
      <c r="E673">
        <v>656</v>
      </c>
    </row>
    <row r="674" spans="1:5" x14ac:dyDescent="0.35">
      <c r="A674" t="str">
        <f t="shared" si="40"/>
        <v>C0673</v>
      </c>
      <c r="B674" t="str">
        <f t="shared" si="41"/>
        <v>Customer_0673</v>
      </c>
      <c r="C674" t="str">
        <f t="shared" ca="1" si="42"/>
        <v>Nairobi</v>
      </c>
      <c r="D674" s="34">
        <f t="shared" ca="1" si="43"/>
        <v>766000</v>
      </c>
      <c r="E674">
        <v>585</v>
      </c>
    </row>
    <row r="675" spans="1:5" x14ac:dyDescent="0.35">
      <c r="A675" t="str">
        <f t="shared" si="40"/>
        <v>C0674</v>
      </c>
      <c r="B675" t="str">
        <f t="shared" si="41"/>
        <v>Customer_0674</v>
      </c>
      <c r="C675" t="str">
        <f t="shared" ca="1" si="42"/>
        <v>Western</v>
      </c>
      <c r="D675" s="34">
        <f t="shared" ca="1" si="43"/>
        <v>291000</v>
      </c>
      <c r="E675">
        <v>445</v>
      </c>
    </row>
    <row r="676" spans="1:5" x14ac:dyDescent="0.35">
      <c r="A676" t="str">
        <f t="shared" si="40"/>
        <v>C0675</v>
      </c>
      <c r="B676" t="str">
        <f t="shared" si="41"/>
        <v>Customer_0675</v>
      </c>
      <c r="C676" t="str">
        <f t="shared" ca="1" si="42"/>
        <v>Western</v>
      </c>
      <c r="D676" s="34">
        <f t="shared" ca="1" si="43"/>
        <v>214000</v>
      </c>
      <c r="E676">
        <v>563</v>
      </c>
    </row>
    <row r="677" spans="1:5" x14ac:dyDescent="0.35">
      <c r="A677" t="str">
        <f t="shared" si="40"/>
        <v>C0676</v>
      </c>
      <c r="B677" t="str">
        <f t="shared" si="41"/>
        <v>Customer_0676</v>
      </c>
      <c r="C677" t="str">
        <f t="shared" ca="1" si="42"/>
        <v>Central</v>
      </c>
      <c r="D677" s="34">
        <f t="shared" ca="1" si="43"/>
        <v>406000</v>
      </c>
      <c r="E677">
        <v>741</v>
      </c>
    </row>
    <row r="678" spans="1:5" x14ac:dyDescent="0.35">
      <c r="A678" t="str">
        <f t="shared" si="40"/>
        <v>C0677</v>
      </c>
      <c r="B678" t="str">
        <f t="shared" si="41"/>
        <v>Customer_0677</v>
      </c>
      <c r="C678" t="str">
        <f t="shared" ca="1" si="42"/>
        <v>Nairobi</v>
      </c>
      <c r="D678" s="34">
        <f t="shared" ca="1" si="43"/>
        <v>58000</v>
      </c>
      <c r="E678">
        <v>599</v>
      </c>
    </row>
    <row r="679" spans="1:5" x14ac:dyDescent="0.35">
      <c r="A679" t="str">
        <f t="shared" si="40"/>
        <v>C0678</v>
      </c>
      <c r="B679" t="str">
        <f t="shared" si="41"/>
        <v>Customer_0678</v>
      </c>
      <c r="C679" t="str">
        <f t="shared" ca="1" si="42"/>
        <v>Western</v>
      </c>
      <c r="D679" s="34">
        <f t="shared" ca="1" si="43"/>
        <v>209000</v>
      </c>
      <c r="E679">
        <v>456</v>
      </c>
    </row>
    <row r="680" spans="1:5" x14ac:dyDescent="0.35">
      <c r="A680" t="str">
        <f t="shared" si="40"/>
        <v>C0679</v>
      </c>
      <c r="B680" t="str">
        <f t="shared" si="41"/>
        <v>Customer_0679</v>
      </c>
      <c r="C680" t="str">
        <f t="shared" ca="1" si="42"/>
        <v>Western</v>
      </c>
      <c r="D680" s="34">
        <f t="shared" ca="1" si="43"/>
        <v>599000</v>
      </c>
      <c r="E680">
        <v>514</v>
      </c>
    </row>
    <row r="681" spans="1:5" x14ac:dyDescent="0.35">
      <c r="A681" t="str">
        <f t="shared" si="40"/>
        <v>C0680</v>
      </c>
      <c r="B681" t="str">
        <f t="shared" si="41"/>
        <v>Customer_0680</v>
      </c>
      <c r="C681" t="str">
        <f t="shared" ca="1" si="42"/>
        <v>Nairobi</v>
      </c>
      <c r="D681" s="34">
        <f t="shared" ca="1" si="43"/>
        <v>759000</v>
      </c>
      <c r="E681">
        <v>633</v>
      </c>
    </row>
    <row r="682" spans="1:5" x14ac:dyDescent="0.35">
      <c r="A682" t="str">
        <f t="shared" si="40"/>
        <v>C0681</v>
      </c>
      <c r="B682" t="str">
        <f t="shared" si="41"/>
        <v>Customer_0681</v>
      </c>
      <c r="C682" t="str">
        <f t="shared" ca="1" si="42"/>
        <v>Rift Valley</v>
      </c>
      <c r="D682" s="34">
        <f t="shared" ca="1" si="43"/>
        <v>596000</v>
      </c>
      <c r="E682">
        <v>499</v>
      </c>
    </row>
    <row r="683" spans="1:5" x14ac:dyDescent="0.35">
      <c r="A683" t="str">
        <f t="shared" si="40"/>
        <v>C0682</v>
      </c>
      <c r="B683" t="str">
        <f t="shared" si="41"/>
        <v>Customer_0682</v>
      </c>
      <c r="C683" t="str">
        <f t="shared" ca="1" si="42"/>
        <v>Rift Valley</v>
      </c>
      <c r="D683" s="34">
        <f t="shared" ca="1" si="43"/>
        <v>245000</v>
      </c>
      <c r="E683">
        <v>737</v>
      </c>
    </row>
    <row r="684" spans="1:5" x14ac:dyDescent="0.35">
      <c r="A684" t="str">
        <f t="shared" si="40"/>
        <v>C0683</v>
      </c>
      <c r="B684" t="str">
        <f t="shared" si="41"/>
        <v>Customer_0683</v>
      </c>
      <c r="C684" t="str">
        <f t="shared" ca="1" si="42"/>
        <v>Nairobi</v>
      </c>
      <c r="D684" s="34">
        <f t="shared" ca="1" si="43"/>
        <v>365000</v>
      </c>
      <c r="E684">
        <v>640</v>
      </c>
    </row>
    <row r="685" spans="1:5" x14ac:dyDescent="0.35">
      <c r="A685" t="str">
        <f t="shared" si="40"/>
        <v>C0684</v>
      </c>
      <c r="B685" t="str">
        <f t="shared" si="41"/>
        <v>Customer_0684</v>
      </c>
      <c r="C685" t="str">
        <f t="shared" ca="1" si="42"/>
        <v>Central</v>
      </c>
      <c r="D685" s="34">
        <f t="shared" ca="1" si="43"/>
        <v>298000</v>
      </c>
      <c r="E685">
        <v>673</v>
      </c>
    </row>
    <row r="686" spans="1:5" x14ac:dyDescent="0.35">
      <c r="A686" t="str">
        <f t="shared" si="40"/>
        <v>C0685</v>
      </c>
      <c r="B686" t="str">
        <f t="shared" si="41"/>
        <v>Customer_0685</v>
      </c>
      <c r="C686" t="str">
        <f t="shared" ca="1" si="42"/>
        <v>Coast</v>
      </c>
      <c r="D686" s="34">
        <f t="shared" ca="1" si="43"/>
        <v>146000</v>
      </c>
      <c r="E686">
        <v>539</v>
      </c>
    </row>
    <row r="687" spans="1:5" x14ac:dyDescent="0.35">
      <c r="A687" t="str">
        <f t="shared" si="40"/>
        <v>C0686</v>
      </c>
      <c r="B687" t="str">
        <f t="shared" si="41"/>
        <v>Customer_0686</v>
      </c>
      <c r="C687" t="str">
        <f t="shared" ca="1" si="42"/>
        <v>Coast</v>
      </c>
      <c r="D687" s="34">
        <f t="shared" ca="1" si="43"/>
        <v>563000</v>
      </c>
      <c r="E687">
        <v>419</v>
      </c>
    </row>
    <row r="688" spans="1:5" x14ac:dyDescent="0.35">
      <c r="A688" t="str">
        <f t="shared" si="40"/>
        <v>C0687</v>
      </c>
      <c r="B688" t="str">
        <f t="shared" si="41"/>
        <v>Customer_0687</v>
      </c>
      <c r="C688" t="str">
        <f t="shared" ca="1" si="42"/>
        <v>Western</v>
      </c>
      <c r="D688" s="34">
        <f t="shared" ca="1" si="43"/>
        <v>334000</v>
      </c>
      <c r="E688">
        <v>314</v>
      </c>
    </row>
    <row r="689" spans="1:5" x14ac:dyDescent="0.35">
      <c r="A689" t="str">
        <f t="shared" si="40"/>
        <v>C0688</v>
      </c>
      <c r="B689" t="str">
        <f t="shared" si="41"/>
        <v>Customer_0688</v>
      </c>
      <c r="C689" t="str">
        <f t="shared" ca="1" si="42"/>
        <v>Central</v>
      </c>
      <c r="D689" s="34">
        <f t="shared" ca="1" si="43"/>
        <v>68000</v>
      </c>
      <c r="E689">
        <v>686</v>
      </c>
    </row>
    <row r="690" spans="1:5" x14ac:dyDescent="0.35">
      <c r="A690" t="str">
        <f t="shared" si="40"/>
        <v>C0689</v>
      </c>
      <c r="B690" t="str">
        <f t="shared" si="41"/>
        <v>Customer_0689</v>
      </c>
      <c r="C690" t="str">
        <f t="shared" ca="1" si="42"/>
        <v>Rift Valley</v>
      </c>
      <c r="D690" s="34">
        <f t="shared" ca="1" si="43"/>
        <v>248000</v>
      </c>
      <c r="E690">
        <v>823</v>
      </c>
    </row>
    <row r="691" spans="1:5" x14ac:dyDescent="0.35">
      <c r="A691" t="str">
        <f t="shared" si="40"/>
        <v>C0690</v>
      </c>
      <c r="B691" t="str">
        <f t="shared" si="41"/>
        <v>Customer_0690</v>
      </c>
      <c r="C691" t="str">
        <f t="shared" ca="1" si="42"/>
        <v>Central</v>
      </c>
      <c r="D691" s="34">
        <f t="shared" ca="1" si="43"/>
        <v>305000</v>
      </c>
      <c r="E691">
        <v>353</v>
      </c>
    </row>
    <row r="692" spans="1:5" x14ac:dyDescent="0.35">
      <c r="A692" t="str">
        <f t="shared" si="40"/>
        <v>C0691</v>
      </c>
      <c r="B692" t="str">
        <f t="shared" si="41"/>
        <v>Customer_0691</v>
      </c>
      <c r="C692" t="str">
        <f t="shared" ca="1" si="42"/>
        <v>Coast</v>
      </c>
      <c r="D692" s="34">
        <f t="shared" ca="1" si="43"/>
        <v>754000</v>
      </c>
      <c r="E692">
        <v>735</v>
      </c>
    </row>
    <row r="693" spans="1:5" x14ac:dyDescent="0.35">
      <c r="A693" t="str">
        <f t="shared" si="40"/>
        <v>C0692</v>
      </c>
      <c r="B693" t="str">
        <f t="shared" si="41"/>
        <v>Customer_0692</v>
      </c>
      <c r="C693" t="str">
        <f t="shared" ca="1" si="42"/>
        <v>Rift Valley</v>
      </c>
      <c r="D693" s="34">
        <f t="shared" ca="1" si="43"/>
        <v>738000</v>
      </c>
      <c r="E693">
        <v>350</v>
      </c>
    </row>
    <row r="694" spans="1:5" x14ac:dyDescent="0.35">
      <c r="A694" t="str">
        <f t="shared" si="40"/>
        <v>C0693</v>
      </c>
      <c r="B694" t="str">
        <f t="shared" si="41"/>
        <v>Customer_0693</v>
      </c>
      <c r="C694" t="str">
        <f t="shared" ca="1" si="42"/>
        <v>Western</v>
      </c>
      <c r="D694" s="34">
        <f t="shared" ca="1" si="43"/>
        <v>454000</v>
      </c>
      <c r="E694">
        <v>459</v>
      </c>
    </row>
    <row r="695" spans="1:5" x14ac:dyDescent="0.35">
      <c r="A695" t="str">
        <f t="shared" si="40"/>
        <v>C0694</v>
      </c>
      <c r="B695" t="str">
        <f t="shared" si="41"/>
        <v>Customer_0694</v>
      </c>
      <c r="C695" t="str">
        <f t="shared" ca="1" si="42"/>
        <v>Central</v>
      </c>
      <c r="D695" s="34">
        <f t="shared" ca="1" si="43"/>
        <v>499000</v>
      </c>
      <c r="E695">
        <v>510</v>
      </c>
    </row>
    <row r="696" spans="1:5" x14ac:dyDescent="0.35">
      <c r="A696" t="str">
        <f t="shared" si="40"/>
        <v>C0695</v>
      </c>
      <c r="B696" t="str">
        <f t="shared" si="41"/>
        <v>Customer_0695</v>
      </c>
      <c r="C696" t="str">
        <f t="shared" ca="1" si="42"/>
        <v>Coast</v>
      </c>
      <c r="D696" s="34">
        <f t="shared" ca="1" si="43"/>
        <v>525000</v>
      </c>
      <c r="E696">
        <v>453</v>
      </c>
    </row>
    <row r="697" spans="1:5" x14ac:dyDescent="0.35">
      <c r="A697" t="str">
        <f t="shared" si="40"/>
        <v>C0696</v>
      </c>
      <c r="B697" t="str">
        <f t="shared" si="41"/>
        <v>Customer_0696</v>
      </c>
      <c r="C697" t="str">
        <f t="shared" ca="1" si="42"/>
        <v>Rift Valley</v>
      </c>
      <c r="D697" s="34">
        <f t="shared" ca="1" si="43"/>
        <v>570000</v>
      </c>
      <c r="E697">
        <v>719</v>
      </c>
    </row>
    <row r="698" spans="1:5" x14ac:dyDescent="0.35">
      <c r="A698" t="str">
        <f t="shared" si="40"/>
        <v>C0697</v>
      </c>
      <c r="B698" t="str">
        <f t="shared" si="41"/>
        <v>Customer_0697</v>
      </c>
      <c r="C698" t="str">
        <f t="shared" ca="1" si="42"/>
        <v>Nairobi</v>
      </c>
      <c r="D698" s="34">
        <f t="shared" ca="1" si="43"/>
        <v>361000</v>
      </c>
      <c r="E698">
        <v>389</v>
      </c>
    </row>
    <row r="699" spans="1:5" x14ac:dyDescent="0.35">
      <c r="A699" t="str">
        <f t="shared" si="40"/>
        <v>C0698</v>
      </c>
      <c r="B699" t="str">
        <f t="shared" si="41"/>
        <v>Customer_0698</v>
      </c>
      <c r="C699" t="str">
        <f t="shared" ca="1" si="42"/>
        <v>Coast</v>
      </c>
      <c r="D699" s="34">
        <f t="shared" ca="1" si="43"/>
        <v>408000</v>
      </c>
      <c r="E699">
        <v>500</v>
      </c>
    </row>
    <row r="700" spans="1:5" x14ac:dyDescent="0.35">
      <c r="A700" t="str">
        <f t="shared" si="40"/>
        <v>C0699</v>
      </c>
      <c r="B700" t="str">
        <f t="shared" si="41"/>
        <v>Customer_0699</v>
      </c>
      <c r="C700" t="str">
        <f t="shared" ca="1" si="42"/>
        <v>Coast</v>
      </c>
      <c r="D700" s="34">
        <f t="shared" ca="1" si="43"/>
        <v>53000</v>
      </c>
      <c r="E700">
        <v>850</v>
      </c>
    </row>
    <row r="701" spans="1:5" x14ac:dyDescent="0.35">
      <c r="A701" t="str">
        <f t="shared" si="40"/>
        <v>C0700</v>
      </c>
      <c r="B701" t="str">
        <f t="shared" si="41"/>
        <v>Customer_0700</v>
      </c>
      <c r="C701" t="str">
        <f t="shared" ca="1" si="42"/>
        <v>Central</v>
      </c>
      <c r="D701" s="34">
        <f t="shared" ca="1" si="43"/>
        <v>183000</v>
      </c>
      <c r="E701">
        <v>571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F52C9-0E77-4F3F-88AF-773190599D83}">
  <dimension ref="A1:D16"/>
  <sheetViews>
    <sheetView workbookViewId="0">
      <selection activeCell="B4" sqref="B4"/>
    </sheetView>
  </sheetViews>
  <sheetFormatPr defaultRowHeight="14.5" x14ac:dyDescent="0.35"/>
  <cols>
    <col min="1" max="1" width="12.90625" customWidth="1"/>
    <col min="2" max="2" width="13.54296875" customWidth="1"/>
    <col min="3" max="3" width="9" bestFit="1" customWidth="1"/>
    <col min="4" max="4" width="16.08984375" customWidth="1"/>
  </cols>
  <sheetData>
    <row r="1" spans="1:4" x14ac:dyDescent="0.35">
      <c r="A1" s="2" t="s">
        <v>72</v>
      </c>
      <c r="B1" s="2" t="s">
        <v>130</v>
      </c>
      <c r="C1" s="2" t="s">
        <v>127</v>
      </c>
      <c r="D1" s="2" t="s">
        <v>131</v>
      </c>
    </row>
    <row r="2" spans="1:4" x14ac:dyDescent="0.35">
      <c r="A2" t="str">
        <f>"B"&amp;TEXT(ROW()-1,"00")</f>
        <v>B01</v>
      </c>
      <c r="B2" s="9" t="s">
        <v>132</v>
      </c>
      <c r="C2" s="2" t="s">
        <v>147</v>
      </c>
      <c r="D2" t="str">
        <f>"Manager_"&amp;TEXT(ROW()-1,"00")</f>
        <v>Manager_01</v>
      </c>
    </row>
    <row r="3" spans="1:4" x14ac:dyDescent="0.35">
      <c r="A3" t="str">
        <f t="shared" ref="A3:A16" si="0">"B"&amp;TEXT(ROW()-1,"00")</f>
        <v>B02</v>
      </c>
      <c r="B3" s="9" t="s">
        <v>133</v>
      </c>
      <c r="C3" s="2" t="s">
        <v>147</v>
      </c>
      <c r="D3" t="str">
        <f t="shared" ref="D3:D16" si="1">"Manager_"&amp;TEXT(ROW()-1,"00")</f>
        <v>Manager_02</v>
      </c>
    </row>
    <row r="4" spans="1:4" x14ac:dyDescent="0.35">
      <c r="A4" t="str">
        <f t="shared" si="0"/>
        <v>B03</v>
      </c>
      <c r="B4" s="9" t="s">
        <v>146</v>
      </c>
      <c r="C4" s="2" t="s">
        <v>148</v>
      </c>
      <c r="D4" t="str">
        <f t="shared" si="1"/>
        <v>Manager_03</v>
      </c>
    </row>
    <row r="5" spans="1:4" x14ac:dyDescent="0.35">
      <c r="A5" t="str">
        <f t="shared" si="0"/>
        <v>B04</v>
      </c>
      <c r="B5" s="9" t="s">
        <v>134</v>
      </c>
      <c r="C5" s="2" t="s">
        <v>149</v>
      </c>
      <c r="D5" t="str">
        <f t="shared" si="1"/>
        <v>Manager_04</v>
      </c>
    </row>
    <row r="6" spans="1:4" x14ac:dyDescent="0.35">
      <c r="A6" t="str">
        <f t="shared" si="0"/>
        <v>B05</v>
      </c>
      <c r="B6" s="9" t="s">
        <v>135</v>
      </c>
      <c r="C6" s="2" t="s">
        <v>150</v>
      </c>
      <c r="D6" t="str">
        <f t="shared" si="1"/>
        <v>Manager_05</v>
      </c>
    </row>
    <row r="7" spans="1:4" x14ac:dyDescent="0.35">
      <c r="A7" t="str">
        <f t="shared" si="0"/>
        <v>B06</v>
      </c>
      <c r="B7" s="9" t="s">
        <v>136</v>
      </c>
      <c r="C7" s="2" t="s">
        <v>151</v>
      </c>
      <c r="D7" t="str">
        <f t="shared" si="1"/>
        <v>Manager_06</v>
      </c>
    </row>
    <row r="8" spans="1:4" x14ac:dyDescent="0.35">
      <c r="A8" t="str">
        <f t="shared" si="0"/>
        <v>B07</v>
      </c>
      <c r="B8" s="9" t="s">
        <v>137</v>
      </c>
      <c r="C8" s="2" t="s">
        <v>151</v>
      </c>
      <c r="D8" t="str">
        <f t="shared" si="1"/>
        <v>Manager_07</v>
      </c>
    </row>
    <row r="9" spans="1:4" x14ac:dyDescent="0.35">
      <c r="A9" t="str">
        <f t="shared" si="0"/>
        <v>B08</v>
      </c>
      <c r="B9" s="9" t="s">
        <v>138</v>
      </c>
      <c r="C9" s="2" t="s">
        <v>149</v>
      </c>
      <c r="D9" t="str">
        <f t="shared" si="1"/>
        <v>Manager_08</v>
      </c>
    </row>
    <row r="10" spans="1:4" x14ac:dyDescent="0.35">
      <c r="A10" t="str">
        <f t="shared" si="0"/>
        <v>B09</v>
      </c>
      <c r="B10" s="9" t="s">
        <v>139</v>
      </c>
      <c r="C10" s="2" t="s">
        <v>147</v>
      </c>
      <c r="D10" t="str">
        <f t="shared" si="1"/>
        <v>Manager_09</v>
      </c>
    </row>
    <row r="11" spans="1:4" x14ac:dyDescent="0.35">
      <c r="A11" t="str">
        <f t="shared" si="0"/>
        <v>B10</v>
      </c>
      <c r="B11" s="9" t="s">
        <v>140</v>
      </c>
      <c r="C11" s="2" t="s">
        <v>150</v>
      </c>
      <c r="D11" t="str">
        <f t="shared" si="1"/>
        <v>Manager_10</v>
      </c>
    </row>
    <row r="12" spans="1:4" x14ac:dyDescent="0.35">
      <c r="A12" t="str">
        <f t="shared" si="0"/>
        <v>B11</v>
      </c>
      <c r="B12" s="9" t="s">
        <v>141</v>
      </c>
      <c r="C12" s="2" t="s">
        <v>152</v>
      </c>
      <c r="D12" t="str">
        <f t="shared" si="1"/>
        <v>Manager_11</v>
      </c>
    </row>
    <row r="13" spans="1:4" x14ac:dyDescent="0.35">
      <c r="A13" t="str">
        <f t="shared" si="0"/>
        <v>B12</v>
      </c>
      <c r="B13" s="9" t="s">
        <v>142</v>
      </c>
      <c r="C13" s="2" t="s">
        <v>152</v>
      </c>
      <c r="D13" t="str">
        <f t="shared" si="1"/>
        <v>Manager_12</v>
      </c>
    </row>
    <row r="14" spans="1:4" x14ac:dyDescent="0.35">
      <c r="A14" t="str">
        <f t="shared" si="0"/>
        <v>B13</v>
      </c>
      <c r="B14" s="9" t="s">
        <v>143</v>
      </c>
      <c r="C14" s="2" t="s">
        <v>149</v>
      </c>
      <c r="D14" t="str">
        <f t="shared" si="1"/>
        <v>Manager_13</v>
      </c>
    </row>
    <row r="15" spans="1:4" x14ac:dyDescent="0.35">
      <c r="A15" t="str">
        <f t="shared" si="0"/>
        <v>B14</v>
      </c>
      <c r="B15" s="9" t="s">
        <v>144</v>
      </c>
      <c r="C15" s="2" t="s">
        <v>148</v>
      </c>
      <c r="D15" t="str">
        <f t="shared" si="1"/>
        <v>Manager_14</v>
      </c>
    </row>
    <row r="16" spans="1:4" x14ac:dyDescent="0.35">
      <c r="A16" t="str">
        <f t="shared" si="0"/>
        <v>B15</v>
      </c>
      <c r="B16" s="9" t="s">
        <v>145</v>
      </c>
      <c r="C16" s="2" t="s">
        <v>151</v>
      </c>
      <c r="D16" t="str">
        <f t="shared" si="1"/>
        <v>Manager_15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6F5F6-E9B3-40F4-B3DD-F1307D1F986D}">
  <dimension ref="A1:C5"/>
  <sheetViews>
    <sheetView workbookViewId="0">
      <selection activeCell="D5" sqref="D5"/>
    </sheetView>
  </sheetViews>
  <sheetFormatPr defaultRowHeight="14.5" x14ac:dyDescent="0.35"/>
  <cols>
    <col min="1" max="1" width="12.08984375" bestFit="1" customWidth="1"/>
    <col min="2" max="2" width="9.90625" customWidth="1"/>
    <col min="3" max="3" width="10.26953125" customWidth="1"/>
  </cols>
  <sheetData>
    <row r="1" spans="1:3" x14ac:dyDescent="0.35">
      <c r="A1" s="2" t="s">
        <v>74</v>
      </c>
      <c r="B1" s="2" t="s">
        <v>153</v>
      </c>
      <c r="C1" s="2" t="s">
        <v>154</v>
      </c>
    </row>
    <row r="2" spans="1:3" x14ac:dyDescent="0.35">
      <c r="A2" s="2" t="s">
        <v>155</v>
      </c>
      <c r="B2" s="28">
        <v>0.16</v>
      </c>
      <c r="C2" s="28">
        <v>0.28000000000000003</v>
      </c>
    </row>
    <row r="3" spans="1:3" x14ac:dyDescent="0.35">
      <c r="A3" s="2" t="s">
        <v>156</v>
      </c>
      <c r="B3" s="28">
        <v>0.14000000000000001</v>
      </c>
      <c r="C3" s="28">
        <v>0.24</v>
      </c>
    </row>
    <row r="4" spans="1:3" x14ac:dyDescent="0.35">
      <c r="A4" s="2" t="s">
        <v>157</v>
      </c>
      <c r="B4" s="29">
        <v>0.09</v>
      </c>
      <c r="C4" s="29">
        <v>0.14000000000000001</v>
      </c>
    </row>
    <row r="5" spans="1:3" x14ac:dyDescent="0.35">
      <c r="A5" s="2" t="s">
        <v>158</v>
      </c>
      <c r="B5" s="29">
        <v>0.12</v>
      </c>
      <c r="C5" s="29">
        <v>0.2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100FD-8A86-4C28-A2B7-88FB8084E406}">
  <dimension ref="A1:C6"/>
  <sheetViews>
    <sheetView workbookViewId="0">
      <selection sqref="A1:C5"/>
    </sheetView>
  </sheetViews>
  <sheetFormatPr defaultRowHeight="14.5" x14ac:dyDescent="0.35"/>
  <cols>
    <col min="1" max="1" width="11.6328125" customWidth="1"/>
    <col min="2" max="2" width="12" customWidth="1"/>
    <col min="3" max="3" width="14.6328125" customWidth="1"/>
  </cols>
  <sheetData>
    <row r="1" spans="1:3" ht="29" x14ac:dyDescent="0.35">
      <c r="A1" s="8" t="s">
        <v>159</v>
      </c>
      <c r="B1" s="8" t="s">
        <v>160</v>
      </c>
      <c r="C1" s="8" t="s">
        <v>161</v>
      </c>
    </row>
    <row r="2" spans="1:3" x14ac:dyDescent="0.35">
      <c r="A2" s="9">
        <v>300</v>
      </c>
      <c r="B2" s="9">
        <v>579</v>
      </c>
      <c r="C2" s="9" t="s">
        <v>162</v>
      </c>
    </row>
    <row r="3" spans="1:3" x14ac:dyDescent="0.35">
      <c r="A3" s="9">
        <v>580</v>
      </c>
      <c r="B3" s="9">
        <v>669</v>
      </c>
      <c r="C3" s="9" t="s">
        <v>163</v>
      </c>
    </row>
    <row r="4" spans="1:3" x14ac:dyDescent="0.35">
      <c r="A4" s="9">
        <v>670</v>
      </c>
      <c r="B4" s="9">
        <v>739</v>
      </c>
      <c r="C4" s="9" t="s">
        <v>164</v>
      </c>
    </row>
    <row r="5" spans="1:3" x14ac:dyDescent="0.35">
      <c r="A5" s="9">
        <v>740</v>
      </c>
      <c r="B5" s="9">
        <v>799</v>
      </c>
      <c r="C5" s="9" t="s">
        <v>165</v>
      </c>
    </row>
    <row r="6" spans="1:3" x14ac:dyDescent="0.35">
      <c r="A6" s="9">
        <v>800</v>
      </c>
      <c r="B6" s="9">
        <v>850</v>
      </c>
      <c r="C6" s="9" t="s">
        <v>166</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02241-F8A7-4BD1-B51F-1114C0152C73}">
  <dimension ref="A1:T2001"/>
  <sheetViews>
    <sheetView tabSelected="1" topLeftCell="K1" workbookViewId="0">
      <selection activeCell="O2" sqref="O2"/>
    </sheetView>
  </sheetViews>
  <sheetFormatPr defaultRowHeight="14.5" x14ac:dyDescent="0.35"/>
  <cols>
    <col min="1" max="1" width="8.6328125" customWidth="1"/>
    <col min="2" max="2" width="12.81640625" customWidth="1"/>
    <col min="3" max="3" width="12.90625" customWidth="1"/>
    <col min="4" max="4" width="12.08984375" bestFit="1" customWidth="1"/>
    <col min="5" max="5" width="13.6328125" style="34" customWidth="1"/>
    <col min="6" max="6" width="13.26953125" customWidth="1"/>
    <col min="7" max="7" width="14.90625" customWidth="1"/>
    <col min="8" max="8" width="19.26953125" customWidth="1"/>
    <col min="9" max="9" width="13.81640625" customWidth="1"/>
    <col min="10" max="10" width="15.54296875" style="34" customWidth="1"/>
    <col min="11" max="11" width="12.08984375" customWidth="1"/>
    <col min="12" max="12" width="17.7265625" style="34" bestFit="1" customWidth="1"/>
    <col min="13" max="13" width="14.26953125" style="30" bestFit="1" customWidth="1"/>
    <col min="14" max="14" width="23.453125" style="33" bestFit="1" customWidth="1"/>
    <col min="15" max="15" width="14.453125" bestFit="1" customWidth="1"/>
    <col min="16" max="16" width="13.81640625" bestFit="1" customWidth="1"/>
    <col min="17" max="17" width="11" bestFit="1" customWidth="1"/>
    <col min="18" max="18" width="13.90625" bestFit="1" customWidth="1"/>
    <col min="19" max="19" width="17.54296875" bestFit="1" customWidth="1"/>
    <col min="20" max="20" width="10.6328125" bestFit="1" customWidth="1"/>
  </cols>
  <sheetData>
    <row r="1" spans="1:20" s="3" customFormat="1" x14ac:dyDescent="0.35">
      <c r="A1" s="3" t="s">
        <v>81</v>
      </c>
      <c r="B1" s="3" t="s">
        <v>0</v>
      </c>
      <c r="C1" s="3" t="s">
        <v>72</v>
      </c>
      <c r="D1" s="3" t="s">
        <v>74</v>
      </c>
      <c r="E1" s="35" t="s">
        <v>86</v>
      </c>
      <c r="F1" s="3" t="s">
        <v>88</v>
      </c>
      <c r="G1" s="3" t="s">
        <v>90</v>
      </c>
      <c r="H1" s="3" t="s">
        <v>92</v>
      </c>
      <c r="I1" s="3" t="s">
        <v>76</v>
      </c>
      <c r="J1" s="35" t="s">
        <v>95</v>
      </c>
      <c r="K1" s="3" t="s">
        <v>167</v>
      </c>
      <c r="L1" s="35" t="s">
        <v>2839</v>
      </c>
      <c r="M1" s="31" t="s">
        <v>2840</v>
      </c>
      <c r="N1" s="32" t="s">
        <v>97</v>
      </c>
      <c r="O1" s="3" t="s">
        <v>2841</v>
      </c>
      <c r="P1" s="3" t="s">
        <v>130</v>
      </c>
      <c r="Q1" s="3" t="s">
        <v>129</v>
      </c>
      <c r="R1" s="3" t="s">
        <v>99</v>
      </c>
      <c r="S1" s="3" t="s">
        <v>2846</v>
      </c>
      <c r="T1" s="3" t="s">
        <v>2849</v>
      </c>
    </row>
    <row r="2" spans="1:20" x14ac:dyDescent="0.35">
      <c r="A2" t="s">
        <v>168</v>
      </c>
      <c r="B2" t="s">
        <v>169</v>
      </c>
      <c r="C2" t="s">
        <v>170</v>
      </c>
      <c r="D2" t="s">
        <v>156</v>
      </c>
      <c r="E2" s="34">
        <v>1000000</v>
      </c>
      <c r="F2" s="29">
        <v>0.1862</v>
      </c>
      <c r="G2" s="30">
        <v>44414</v>
      </c>
      <c r="H2">
        <v>24</v>
      </c>
      <c r="I2">
        <v>0</v>
      </c>
      <c r="J2" s="34">
        <v>820000</v>
      </c>
      <c r="K2" t="s">
        <v>171</v>
      </c>
      <c r="L2" s="34">
        <f>PMT(Loans[[#This Row],[InterestRate]]/12,Loans[[#This Row],[LoanTenureMonths]],-Loans[[#This Row],[LoanAmount]])</f>
        <v>50224.186473909984</v>
      </c>
      <c r="M2" s="30">
        <f>EDATE(Loans[[#This Row],[LoanStartDate]],Loans[[#This Row],[LoanTenureMonths]])</f>
        <v>45144</v>
      </c>
      <c r="N2" s="33">
        <f>IF(Loans[[#This Row],[LoanAmount]]=0,0,Loans[[#This Row],[CollateralValue]]/Loans[[#This Row],[LoanAmount]])</f>
        <v>0.82</v>
      </c>
      <c r="O2" t="str">
        <f>IF(Loans[[#This Row],[CollateralCoverageRatio]]&lt;1,"Undersecured","Secured")</f>
        <v>Undersecured</v>
      </c>
      <c r="P2" t="str">
        <f>_xlfn.XLOOKUP(Loans[[#This Row],[BranchCode]],BranchesTbl[BranchCode],BranchesTbl[BranchName])</f>
        <v>Thika</v>
      </c>
      <c r="Q2">
        <f>_xlfn.XLOOKUP(Loans[[#This Row],[CustomerID]],CustomerTbl[CustomerID],CustomerTbl[RiskScore])</f>
        <v>511</v>
      </c>
      <c r="R2" t="str">
        <f>IFERROR(INDEX(RiskTbl[Risk_Category],MATCH(Loans[[#This Row],[RiskScore]],RiskTbl[Score_Min],1)),"Unknown")</f>
        <v>High Risk</v>
      </c>
      <c r="S2" t="str">
        <f>IF(OR(Loans[[#This Row],[LoanStatus]]="Default",Loans[[#This Row],[LoanStatus]]="Watchlist",Loans[[#This Row],[CollateralRisk]]="Undersecured",Loans[[#This Row],[RiskCategory]]="High Risk"),"High Risk Exposure","Normal")</f>
        <v>High Risk Exposure</v>
      </c>
      <c r="T2" t="str" cm="1">
        <f t="array" ref="T2">_xlfn.IFS(
Loans[[#This Row],[LoanStatus]]="Default","Critical",
OR(Loans[[#This Row],[LoanStatus]]="Watchlist",Loans[[#This Row],[CollateralRisk]]="Undersecured",Loans[[#This Row],[RiskCategory]]="High Risk"),"High",
TRUE,"Normal"
)</f>
        <v>High</v>
      </c>
    </row>
    <row r="3" spans="1:20" x14ac:dyDescent="0.35">
      <c r="A3" t="s">
        <v>172</v>
      </c>
      <c r="B3" t="s">
        <v>173</v>
      </c>
      <c r="C3" t="s">
        <v>174</v>
      </c>
      <c r="D3" t="s">
        <v>155</v>
      </c>
      <c r="E3" s="34">
        <v>500000</v>
      </c>
      <c r="F3" s="29">
        <v>0.17549999999999999</v>
      </c>
      <c r="G3" s="30">
        <v>44054</v>
      </c>
      <c r="H3">
        <v>60</v>
      </c>
      <c r="I3">
        <v>5</v>
      </c>
      <c r="J3" s="34">
        <v>0</v>
      </c>
      <c r="K3" t="s">
        <v>171</v>
      </c>
      <c r="L3" s="34">
        <f>PMT(Loans[[#This Row],[InterestRate]]/12,Loans[[#This Row],[LoanTenureMonths]],-Loans[[#This Row],[LoanAmount]])</f>
        <v>12574.632157174376</v>
      </c>
      <c r="M3" s="30">
        <f>EDATE(Loans[[#This Row],[LoanStartDate]],Loans[[#This Row],[LoanTenureMonths]])</f>
        <v>45880</v>
      </c>
      <c r="N3" s="33">
        <f>IF(Loans[[#This Row],[LoanAmount]]=0,0,Loans[[#This Row],[CollateralValue]]/Loans[[#This Row],[LoanAmount]])</f>
        <v>0</v>
      </c>
      <c r="O3" t="str">
        <f>IF(Loans[[#This Row],[CollateralCoverageRatio]]&lt;1,"Undersecured","Secured")</f>
        <v>Undersecured</v>
      </c>
      <c r="P3" t="str">
        <f>_xlfn.XLOOKUP(Loans[[#This Row],[BranchCode]],BranchesTbl[BranchCode],BranchesTbl[BranchName])</f>
        <v>Westlands</v>
      </c>
      <c r="Q3">
        <f>_xlfn.XLOOKUP(Loans[[#This Row],[CustomerID]],CustomerTbl[CustomerID],CustomerTbl[RiskScore])</f>
        <v>490</v>
      </c>
      <c r="R3" t="str">
        <f>IFERROR(INDEX(RiskTbl[Risk_Category],MATCH(Loans[[#This Row],[RiskScore]],RiskTbl[Score_Min],1)),"Unknown")</f>
        <v>High Risk</v>
      </c>
      <c r="S3" t="str">
        <f>IF(OR(Loans[[#This Row],[LoanStatus]]="Default",Loans[[#This Row],[LoanStatus]]="Watchlist",Loans[[#This Row],[CollateralRisk]]="Undersecured",Loans[[#This Row],[RiskCategory]]="High Risk"),"High Risk Exposure","Normal")</f>
        <v>High Risk Exposure</v>
      </c>
      <c r="T3" t="str" cm="1">
        <f t="array" ref="T3">_xlfn.IFS(
Loans[[#This Row],[LoanStatus]]="Default","Critical",
OR(Loans[[#This Row],[LoanStatus]]="Watchlist",Loans[[#This Row],[CollateralRisk]]="Undersecured",Loans[[#This Row],[RiskCategory]]="High Risk"),"High",
TRUE,"Normal"
)</f>
        <v>High</v>
      </c>
    </row>
    <row r="4" spans="1:20" x14ac:dyDescent="0.35">
      <c r="A4" t="s">
        <v>175</v>
      </c>
      <c r="B4" t="s">
        <v>176</v>
      </c>
      <c r="C4" t="s">
        <v>177</v>
      </c>
      <c r="D4" t="s">
        <v>157</v>
      </c>
      <c r="E4" s="34">
        <v>80000000</v>
      </c>
      <c r="F4" s="29">
        <v>9.2200000000000004E-2</v>
      </c>
      <c r="G4" s="30">
        <v>45057</v>
      </c>
      <c r="H4">
        <v>72</v>
      </c>
      <c r="I4">
        <v>120</v>
      </c>
      <c r="J4" s="34">
        <v>53600000</v>
      </c>
      <c r="K4" t="s">
        <v>178</v>
      </c>
      <c r="L4" s="34">
        <f>PMT(Loans[[#This Row],[InterestRate]]/12,Loans[[#This Row],[LoanTenureMonths]],-Loans[[#This Row],[LoanAmount]])</f>
        <v>1450793.4952035837</v>
      </c>
      <c r="M4" s="30">
        <f>EDATE(Loans[[#This Row],[LoanStartDate]],Loans[[#This Row],[LoanTenureMonths]])</f>
        <v>47249</v>
      </c>
      <c r="N4" s="33">
        <f>IF(Loans[[#This Row],[LoanAmount]]=0,0,Loans[[#This Row],[CollateralValue]]/Loans[[#This Row],[LoanAmount]])</f>
        <v>0.67</v>
      </c>
      <c r="O4" t="str">
        <f>IF(Loans[[#This Row],[CollateralCoverageRatio]]&lt;1,"Undersecured","Secured")</f>
        <v>Undersecured</v>
      </c>
      <c r="P4" t="str">
        <f>_xlfn.XLOOKUP(Loans[[#This Row],[BranchCode]],BranchesTbl[BranchCode],BranchesTbl[BranchName])</f>
        <v>Naivasha</v>
      </c>
      <c r="Q4">
        <f>_xlfn.XLOOKUP(Loans[[#This Row],[CustomerID]],CustomerTbl[CustomerID],CustomerTbl[RiskScore])</f>
        <v>451</v>
      </c>
      <c r="R4" t="str">
        <f>IFERROR(INDEX(RiskTbl[Risk_Category],MATCH(Loans[[#This Row],[RiskScore]],RiskTbl[Score_Min],1)),"Unknown")</f>
        <v>High Risk</v>
      </c>
      <c r="S4" t="str">
        <f>IF(OR(Loans[[#This Row],[LoanStatus]]="Default",Loans[[#This Row],[LoanStatus]]="Watchlist",Loans[[#This Row],[CollateralRisk]]="Undersecured",Loans[[#This Row],[RiskCategory]]="High Risk"),"High Risk Exposure","Normal")</f>
        <v>High Risk Exposure</v>
      </c>
      <c r="T4" t="str" cm="1">
        <f t="array" ref="T4">_xlfn.IFS(
Loans[[#This Row],[LoanStatus]]="Default","Critical",
OR(Loans[[#This Row],[LoanStatus]]="Watchlist",Loans[[#This Row],[CollateralRisk]]="Undersecured",Loans[[#This Row],[RiskCategory]]="High Risk"),"High",
TRUE,"Normal"
)</f>
        <v>Critical</v>
      </c>
    </row>
    <row r="5" spans="1:20" x14ac:dyDescent="0.35">
      <c r="A5" t="s">
        <v>179</v>
      </c>
      <c r="B5" t="s">
        <v>180</v>
      </c>
      <c r="C5" t="s">
        <v>181</v>
      </c>
      <c r="D5" t="s">
        <v>157</v>
      </c>
      <c r="E5" s="34">
        <v>80000000</v>
      </c>
      <c r="F5" s="29">
        <v>0.10929999999999999</v>
      </c>
      <c r="G5" s="30">
        <v>45695</v>
      </c>
      <c r="H5">
        <v>72</v>
      </c>
      <c r="I5">
        <v>5</v>
      </c>
      <c r="J5" s="34">
        <v>43200000</v>
      </c>
      <c r="K5" t="s">
        <v>171</v>
      </c>
      <c r="L5" s="34">
        <f>PMT(Loans[[#This Row],[InterestRate]]/12,Loans[[#This Row],[LoanTenureMonths]],-Loans[[#This Row],[LoanAmount]])</f>
        <v>1519859.6041610101</v>
      </c>
      <c r="M5" s="30">
        <f>EDATE(Loans[[#This Row],[LoanStartDate]],Loans[[#This Row],[LoanTenureMonths]])</f>
        <v>47886</v>
      </c>
      <c r="N5" s="33">
        <f>IF(Loans[[#This Row],[LoanAmount]]=0,0,Loans[[#This Row],[CollateralValue]]/Loans[[#This Row],[LoanAmount]])</f>
        <v>0.54</v>
      </c>
      <c r="O5" t="str">
        <f>IF(Loans[[#This Row],[CollateralCoverageRatio]]&lt;1,"Undersecured","Secured")</f>
        <v>Undersecured</v>
      </c>
      <c r="P5" t="str">
        <f>_xlfn.XLOOKUP(Loans[[#This Row],[BranchCode]],BranchesTbl[BranchCode],BranchesTbl[BranchName])</f>
        <v>Kitale</v>
      </c>
      <c r="Q5">
        <f>_xlfn.XLOOKUP(Loans[[#This Row],[CustomerID]],CustomerTbl[CustomerID],CustomerTbl[RiskScore])</f>
        <v>632</v>
      </c>
      <c r="R5" t="str">
        <f>IFERROR(INDEX(RiskTbl[Risk_Category],MATCH(Loans[[#This Row],[RiskScore]],RiskTbl[Score_Min],1)),"Unknown")</f>
        <v>Medium Risk</v>
      </c>
      <c r="S5" t="str">
        <f>IF(OR(Loans[[#This Row],[LoanStatus]]="Default",Loans[[#This Row],[LoanStatus]]="Watchlist",Loans[[#This Row],[CollateralRisk]]="Undersecured",Loans[[#This Row],[RiskCategory]]="High Risk"),"High Risk Exposure","Normal")</f>
        <v>High Risk Exposure</v>
      </c>
      <c r="T5" t="str" cm="1">
        <f t="array" ref="T5">_xlfn.IFS(
Loans[[#This Row],[LoanStatus]]="Default","Critical",
OR(Loans[[#This Row],[LoanStatus]]="Watchlist",Loans[[#This Row],[CollateralRisk]]="Undersecured",Loans[[#This Row],[RiskCategory]]="High Risk"),"High",
TRUE,"Normal"
)</f>
        <v>High</v>
      </c>
    </row>
    <row r="6" spans="1:20" x14ac:dyDescent="0.35">
      <c r="A6" t="s">
        <v>182</v>
      </c>
      <c r="B6" t="s">
        <v>183</v>
      </c>
      <c r="C6" t="s">
        <v>184</v>
      </c>
      <c r="D6" t="s">
        <v>157</v>
      </c>
      <c r="E6" s="34">
        <v>80000000</v>
      </c>
      <c r="F6" s="29">
        <v>0.12690000000000001</v>
      </c>
      <c r="G6" s="30">
        <v>45770</v>
      </c>
      <c r="H6">
        <v>48</v>
      </c>
      <c r="I6">
        <v>0</v>
      </c>
      <c r="J6" s="34">
        <v>76000000</v>
      </c>
      <c r="K6" t="s">
        <v>171</v>
      </c>
      <c r="L6" s="34">
        <f>PMT(Loans[[#This Row],[InterestRate]]/12,Loans[[#This Row],[LoanTenureMonths]],-Loans[[#This Row],[LoanAmount]])</f>
        <v>2133911.2678439389</v>
      </c>
      <c r="M6" s="30">
        <f>EDATE(Loans[[#This Row],[LoanStartDate]],Loans[[#This Row],[LoanTenureMonths]])</f>
        <v>47231</v>
      </c>
      <c r="N6" s="33">
        <f>IF(Loans[[#This Row],[LoanAmount]]=0,0,Loans[[#This Row],[CollateralValue]]/Loans[[#This Row],[LoanAmount]])</f>
        <v>0.95</v>
      </c>
      <c r="O6" t="str">
        <f>IF(Loans[[#This Row],[CollateralCoverageRatio]]&lt;1,"Undersecured","Secured")</f>
        <v>Undersecured</v>
      </c>
      <c r="P6" t="str">
        <f>_xlfn.XLOOKUP(Loans[[#This Row],[BranchCode]],BranchesTbl[BranchCode],BranchesTbl[BranchName])</f>
        <v>Kisumu</v>
      </c>
      <c r="Q6">
        <f>_xlfn.XLOOKUP(Loans[[#This Row],[CustomerID]],CustomerTbl[CustomerID],CustomerTbl[RiskScore])</f>
        <v>446</v>
      </c>
      <c r="R6" t="str">
        <f>IFERROR(INDEX(RiskTbl[Risk_Category],MATCH(Loans[[#This Row],[RiskScore]],RiskTbl[Score_Min],1)),"Unknown")</f>
        <v>High Risk</v>
      </c>
      <c r="S6" t="str">
        <f>IF(OR(Loans[[#This Row],[LoanStatus]]="Default",Loans[[#This Row],[LoanStatus]]="Watchlist",Loans[[#This Row],[CollateralRisk]]="Undersecured",Loans[[#This Row],[RiskCategory]]="High Risk"),"High Risk Exposure","Normal")</f>
        <v>High Risk Exposure</v>
      </c>
      <c r="T6" t="str" cm="1">
        <f t="array" ref="T6">_xlfn.IFS(
Loans[[#This Row],[LoanStatus]]="Default","Critical",
OR(Loans[[#This Row],[LoanStatus]]="Watchlist",Loans[[#This Row],[CollateralRisk]]="Undersecured",Loans[[#This Row],[RiskCategory]]="High Risk"),"High",
TRUE,"Normal"
)</f>
        <v>High</v>
      </c>
    </row>
    <row r="7" spans="1:20" x14ac:dyDescent="0.35">
      <c r="A7" t="s">
        <v>185</v>
      </c>
      <c r="B7" t="s">
        <v>186</v>
      </c>
      <c r="C7" t="s">
        <v>187</v>
      </c>
      <c r="D7" t="s">
        <v>158</v>
      </c>
      <c r="E7" s="34">
        <v>3000000</v>
      </c>
      <c r="F7" s="29">
        <v>0.1341</v>
      </c>
      <c r="G7" s="30">
        <v>44557</v>
      </c>
      <c r="H7">
        <v>12</v>
      </c>
      <c r="I7">
        <v>5</v>
      </c>
      <c r="J7" s="34">
        <v>4170000</v>
      </c>
      <c r="K7" t="s">
        <v>171</v>
      </c>
      <c r="L7" s="34">
        <f>PMT(Loans[[#This Row],[InterestRate]]/12,Loans[[#This Row],[LoanTenureMonths]],-Loans[[#This Row],[LoanAmount]])</f>
        <v>268529.24140370975</v>
      </c>
      <c r="M7" s="30">
        <f>EDATE(Loans[[#This Row],[LoanStartDate]],Loans[[#This Row],[LoanTenureMonths]])</f>
        <v>44922</v>
      </c>
      <c r="N7" s="33">
        <f>IF(Loans[[#This Row],[LoanAmount]]=0,0,Loans[[#This Row],[CollateralValue]]/Loans[[#This Row],[LoanAmount]])</f>
        <v>1.39</v>
      </c>
      <c r="O7" t="str">
        <f>IF(Loans[[#This Row],[CollateralCoverageRatio]]&lt;1,"Undersecured","Secured")</f>
        <v>Secured</v>
      </c>
      <c r="P7" t="str">
        <f>_xlfn.XLOOKUP(Loans[[#This Row],[BranchCode]],BranchesTbl[BranchCode],BranchesTbl[BranchName])</f>
        <v>Eldoret</v>
      </c>
      <c r="Q7">
        <f>_xlfn.XLOOKUP(Loans[[#This Row],[CustomerID]],CustomerTbl[CustomerID],CustomerTbl[RiskScore])</f>
        <v>587</v>
      </c>
      <c r="R7" t="str">
        <f>IFERROR(INDEX(RiskTbl[Risk_Category],MATCH(Loans[[#This Row],[RiskScore]],RiskTbl[Score_Min],1)),"Unknown")</f>
        <v>Medium Risk</v>
      </c>
      <c r="S7" t="str">
        <f>IF(OR(Loans[[#This Row],[LoanStatus]]="Default",Loans[[#This Row],[LoanStatus]]="Watchlist",Loans[[#This Row],[CollateralRisk]]="Undersecured",Loans[[#This Row],[RiskCategory]]="High Risk"),"High Risk Exposure","Normal")</f>
        <v>Normal</v>
      </c>
      <c r="T7" t="str" cm="1">
        <f t="array" ref="T7">_xlfn.IFS(
Loans[[#This Row],[LoanStatus]]="Default","Critical",
OR(Loans[[#This Row],[LoanStatus]]="Watchlist",Loans[[#This Row],[CollateralRisk]]="Undersecured",Loans[[#This Row],[RiskCategory]]="High Risk"),"High",
TRUE,"Normal"
)</f>
        <v>Normal</v>
      </c>
    </row>
    <row r="8" spans="1:20" x14ac:dyDescent="0.35">
      <c r="A8" t="s">
        <v>188</v>
      </c>
      <c r="B8" t="s">
        <v>189</v>
      </c>
      <c r="C8" t="s">
        <v>190</v>
      </c>
      <c r="D8" t="s">
        <v>156</v>
      </c>
      <c r="E8" s="34">
        <v>1000000</v>
      </c>
      <c r="F8" s="29">
        <v>0.1401</v>
      </c>
      <c r="G8" s="30">
        <v>44507</v>
      </c>
      <c r="H8">
        <v>24</v>
      </c>
      <c r="I8">
        <v>20</v>
      </c>
      <c r="J8" s="34">
        <v>520000</v>
      </c>
      <c r="K8" t="s">
        <v>171</v>
      </c>
      <c r="L8" s="34">
        <f>PMT(Loans[[#This Row],[InterestRate]]/12,Loans[[#This Row],[LoanTenureMonths]],-Loans[[#This Row],[LoanAmount]])</f>
        <v>48017.607541404846</v>
      </c>
      <c r="M8" s="30">
        <f>EDATE(Loans[[#This Row],[LoanStartDate]],Loans[[#This Row],[LoanTenureMonths]])</f>
        <v>45237</v>
      </c>
      <c r="N8" s="33">
        <f>IF(Loans[[#This Row],[LoanAmount]]=0,0,Loans[[#This Row],[CollateralValue]]/Loans[[#This Row],[LoanAmount]])</f>
        <v>0.52</v>
      </c>
      <c r="O8" t="str">
        <f>IF(Loans[[#This Row],[CollateralCoverageRatio]]&lt;1,"Undersecured","Secured")</f>
        <v>Undersecured</v>
      </c>
      <c r="P8" t="str">
        <f>_xlfn.XLOOKUP(Loans[[#This Row],[BranchCode]],BranchesTbl[BranchCode],BranchesTbl[BranchName])</f>
        <v>Nyeri</v>
      </c>
      <c r="Q8">
        <f>_xlfn.XLOOKUP(Loans[[#This Row],[CustomerID]],CustomerTbl[CustomerID],CustomerTbl[RiskScore])</f>
        <v>348</v>
      </c>
      <c r="R8" t="str">
        <f>IFERROR(INDEX(RiskTbl[Risk_Category],MATCH(Loans[[#This Row],[RiskScore]],RiskTbl[Score_Min],1)),"Unknown")</f>
        <v>High Risk</v>
      </c>
      <c r="S8" t="str">
        <f>IF(OR(Loans[[#This Row],[LoanStatus]]="Default",Loans[[#This Row],[LoanStatus]]="Watchlist",Loans[[#This Row],[CollateralRisk]]="Undersecured",Loans[[#This Row],[RiskCategory]]="High Risk"),"High Risk Exposure","Normal")</f>
        <v>High Risk Exposure</v>
      </c>
      <c r="T8" t="str" cm="1">
        <f t="array" ref="T8">_xlfn.IFS(
Loans[[#This Row],[LoanStatus]]="Default","Critical",
OR(Loans[[#This Row],[LoanStatus]]="Watchlist",Loans[[#This Row],[CollateralRisk]]="Undersecured",Loans[[#This Row],[RiskCategory]]="High Risk"),"High",
TRUE,"Normal"
)</f>
        <v>High</v>
      </c>
    </row>
    <row r="9" spans="1:20" x14ac:dyDescent="0.35">
      <c r="A9" t="s">
        <v>191</v>
      </c>
      <c r="B9" t="s">
        <v>192</v>
      </c>
      <c r="C9" t="s">
        <v>193</v>
      </c>
      <c r="D9" t="s">
        <v>157</v>
      </c>
      <c r="E9" s="34">
        <v>6000000</v>
      </c>
      <c r="F9" s="29">
        <v>0.1072</v>
      </c>
      <c r="G9" s="30">
        <v>44037</v>
      </c>
      <c r="H9">
        <v>24</v>
      </c>
      <c r="I9">
        <v>10</v>
      </c>
      <c r="J9" s="34">
        <v>5340000</v>
      </c>
      <c r="K9" t="s">
        <v>171</v>
      </c>
      <c r="L9" s="34">
        <f>PMT(Loans[[#This Row],[InterestRate]]/12,Loans[[#This Row],[LoanTenureMonths]],-Loans[[#This Row],[LoanAmount]])</f>
        <v>278867.68941352086</v>
      </c>
      <c r="M9" s="30">
        <f>EDATE(Loans[[#This Row],[LoanStartDate]],Loans[[#This Row],[LoanTenureMonths]])</f>
        <v>44767</v>
      </c>
      <c r="N9" s="33">
        <f>IF(Loans[[#This Row],[LoanAmount]]=0,0,Loans[[#This Row],[CollateralValue]]/Loans[[#This Row],[LoanAmount]])</f>
        <v>0.89</v>
      </c>
      <c r="O9" t="str">
        <f>IF(Loans[[#This Row],[CollateralCoverageRatio]]&lt;1,"Undersecured","Secured")</f>
        <v>Undersecured</v>
      </c>
      <c r="P9" t="str">
        <f>_xlfn.XLOOKUP(Loans[[#This Row],[BranchCode]],BranchesTbl[BranchCode],BranchesTbl[BranchName])</f>
        <v>Mombasa</v>
      </c>
      <c r="Q9">
        <f>_xlfn.XLOOKUP(Loans[[#This Row],[CustomerID]],CustomerTbl[CustomerID],CustomerTbl[RiskScore])</f>
        <v>451</v>
      </c>
      <c r="R9" t="str">
        <f>IFERROR(INDEX(RiskTbl[Risk_Category],MATCH(Loans[[#This Row],[RiskScore]],RiskTbl[Score_Min],1)),"Unknown")</f>
        <v>High Risk</v>
      </c>
      <c r="S9" t="str">
        <f>IF(OR(Loans[[#This Row],[LoanStatus]]="Default",Loans[[#This Row],[LoanStatus]]="Watchlist",Loans[[#This Row],[CollateralRisk]]="Undersecured",Loans[[#This Row],[RiskCategory]]="High Risk"),"High Risk Exposure","Normal")</f>
        <v>High Risk Exposure</v>
      </c>
      <c r="T9" t="str" cm="1">
        <f t="array" ref="T9">_xlfn.IFS(
Loans[[#This Row],[LoanStatus]]="Default","Critical",
OR(Loans[[#This Row],[LoanStatus]]="Watchlist",Loans[[#This Row],[CollateralRisk]]="Undersecured",Loans[[#This Row],[RiskCategory]]="High Risk"),"High",
TRUE,"Normal"
)</f>
        <v>High</v>
      </c>
    </row>
    <row r="10" spans="1:20" x14ac:dyDescent="0.35">
      <c r="A10" t="s">
        <v>194</v>
      </c>
      <c r="B10" t="s">
        <v>195</v>
      </c>
      <c r="C10" t="s">
        <v>196</v>
      </c>
      <c r="D10" t="s">
        <v>158</v>
      </c>
      <c r="E10" s="34">
        <v>6000000</v>
      </c>
      <c r="F10" s="29">
        <v>0.13500000000000001</v>
      </c>
      <c r="G10" s="30">
        <v>45567</v>
      </c>
      <c r="H10">
        <v>36</v>
      </c>
      <c r="I10">
        <v>10</v>
      </c>
      <c r="J10" s="34">
        <v>4920000</v>
      </c>
      <c r="K10" t="s">
        <v>171</v>
      </c>
      <c r="L10" s="34">
        <f>PMT(Loans[[#This Row],[InterestRate]]/12,Loans[[#This Row],[LoanTenureMonths]],-Loans[[#This Row],[LoanAmount]])</f>
        <v>203611.72398588585</v>
      </c>
      <c r="M10" s="30">
        <f>EDATE(Loans[[#This Row],[LoanStartDate]],Loans[[#This Row],[LoanTenureMonths]])</f>
        <v>46662</v>
      </c>
      <c r="N10" s="33">
        <f>IF(Loans[[#This Row],[LoanAmount]]=0,0,Loans[[#This Row],[CollateralValue]]/Loans[[#This Row],[LoanAmount]])</f>
        <v>0.82</v>
      </c>
      <c r="O10" t="str">
        <f>IF(Loans[[#This Row],[CollateralCoverageRatio]]&lt;1,"Undersecured","Secured")</f>
        <v>Undersecured</v>
      </c>
      <c r="P10" t="str">
        <f>_xlfn.XLOOKUP(Loans[[#This Row],[BranchCode]],BranchesTbl[BranchCode],BranchesTbl[BranchName])</f>
        <v>Karen</v>
      </c>
      <c r="Q10">
        <f>_xlfn.XLOOKUP(Loans[[#This Row],[CustomerID]],CustomerTbl[CustomerID],CustomerTbl[RiskScore])</f>
        <v>687</v>
      </c>
      <c r="R10" t="str">
        <f>IFERROR(INDEX(RiskTbl[Risk_Category],MATCH(Loans[[#This Row],[RiskScore]],RiskTbl[Score_Min],1)),"Unknown")</f>
        <v>Low Risk</v>
      </c>
      <c r="S10" t="str">
        <f>IF(OR(Loans[[#This Row],[LoanStatus]]="Default",Loans[[#This Row],[LoanStatus]]="Watchlist",Loans[[#This Row],[CollateralRisk]]="Undersecured",Loans[[#This Row],[RiskCategory]]="High Risk"),"High Risk Exposure","Normal")</f>
        <v>High Risk Exposure</v>
      </c>
      <c r="T10" t="str" cm="1">
        <f t="array" ref="T10">_xlfn.IFS(
Loans[[#This Row],[LoanStatus]]="Default","Critical",
OR(Loans[[#This Row],[LoanStatus]]="Watchlist",Loans[[#This Row],[CollateralRisk]]="Undersecured",Loans[[#This Row],[RiskCategory]]="High Risk"),"High",
TRUE,"Normal"
)</f>
        <v>High</v>
      </c>
    </row>
    <row r="11" spans="1:20" x14ac:dyDescent="0.35">
      <c r="A11" t="s">
        <v>197</v>
      </c>
      <c r="B11" t="s">
        <v>198</v>
      </c>
      <c r="C11" t="s">
        <v>193</v>
      </c>
      <c r="D11" t="s">
        <v>157</v>
      </c>
      <c r="E11" s="34">
        <v>80000000</v>
      </c>
      <c r="F11" s="29">
        <v>9.6100000000000005E-2</v>
      </c>
      <c r="G11" s="30">
        <v>45182</v>
      </c>
      <c r="H11">
        <v>24</v>
      </c>
      <c r="I11">
        <v>90</v>
      </c>
      <c r="J11" s="34">
        <v>54400000</v>
      </c>
      <c r="K11" t="s">
        <v>199</v>
      </c>
      <c r="L11" s="34">
        <f>PMT(Loans[[#This Row],[InterestRate]]/12,Loans[[#This Row],[LoanTenureMonths]],-Loans[[#This Row],[LoanAmount]])</f>
        <v>3677210.3823144943</v>
      </c>
      <c r="M11" s="30">
        <f>EDATE(Loans[[#This Row],[LoanStartDate]],Loans[[#This Row],[LoanTenureMonths]])</f>
        <v>45913</v>
      </c>
      <c r="N11" s="33">
        <f>IF(Loans[[#This Row],[LoanAmount]]=0,0,Loans[[#This Row],[CollateralValue]]/Loans[[#This Row],[LoanAmount]])</f>
        <v>0.68</v>
      </c>
      <c r="O11" t="str">
        <f>IF(Loans[[#This Row],[CollateralCoverageRatio]]&lt;1,"Undersecured","Secured")</f>
        <v>Undersecured</v>
      </c>
      <c r="P11" t="str">
        <f>_xlfn.XLOOKUP(Loans[[#This Row],[BranchCode]],BranchesTbl[BranchCode],BranchesTbl[BranchName])</f>
        <v>Mombasa</v>
      </c>
      <c r="Q11">
        <f>_xlfn.XLOOKUP(Loans[[#This Row],[CustomerID]],CustomerTbl[CustomerID],CustomerTbl[RiskScore])</f>
        <v>635</v>
      </c>
      <c r="R11" t="str">
        <f>IFERROR(INDEX(RiskTbl[Risk_Category],MATCH(Loans[[#This Row],[RiskScore]],RiskTbl[Score_Min],1)),"Unknown")</f>
        <v>Medium Risk</v>
      </c>
      <c r="S11" t="str">
        <f>IF(OR(Loans[[#This Row],[LoanStatus]]="Default",Loans[[#This Row],[LoanStatus]]="Watchlist",Loans[[#This Row],[CollateralRisk]]="Undersecured",Loans[[#This Row],[RiskCategory]]="High Risk"),"High Risk Exposure","Normal")</f>
        <v>High Risk Exposure</v>
      </c>
      <c r="T11" t="str" cm="1">
        <f t="array" ref="T11">_xlfn.IFS(
Loans[[#This Row],[LoanStatus]]="Default","Critical",
OR(Loans[[#This Row],[LoanStatus]]="Watchlist",Loans[[#This Row],[CollateralRisk]]="Undersecured",Loans[[#This Row],[RiskCategory]]="High Risk"),"High",
TRUE,"Normal"
)</f>
        <v>High</v>
      </c>
    </row>
    <row r="12" spans="1:20" x14ac:dyDescent="0.35">
      <c r="A12" t="s">
        <v>200</v>
      </c>
      <c r="B12" t="s">
        <v>201</v>
      </c>
      <c r="C12" t="s">
        <v>196</v>
      </c>
      <c r="D12" t="s">
        <v>157</v>
      </c>
      <c r="E12" s="34">
        <v>25000000</v>
      </c>
      <c r="F12" s="29">
        <v>0.1119</v>
      </c>
      <c r="G12" s="30">
        <v>44665</v>
      </c>
      <c r="H12">
        <v>24</v>
      </c>
      <c r="I12">
        <v>10</v>
      </c>
      <c r="J12" s="34">
        <v>25250000</v>
      </c>
      <c r="K12" t="s">
        <v>171</v>
      </c>
      <c r="L12" s="34">
        <f>PMT(Loans[[#This Row],[InterestRate]]/12,Loans[[#This Row],[LoanTenureMonths]],-Loans[[#This Row],[LoanAmount]])</f>
        <v>1167402.4841507124</v>
      </c>
      <c r="M12" s="30">
        <f>EDATE(Loans[[#This Row],[LoanStartDate]],Loans[[#This Row],[LoanTenureMonths]])</f>
        <v>45396</v>
      </c>
      <c r="N12" s="33">
        <f>IF(Loans[[#This Row],[LoanAmount]]=0,0,Loans[[#This Row],[CollateralValue]]/Loans[[#This Row],[LoanAmount]])</f>
        <v>1.01</v>
      </c>
      <c r="O12" t="str">
        <f>IF(Loans[[#This Row],[CollateralCoverageRatio]]&lt;1,"Undersecured","Secured")</f>
        <v>Secured</v>
      </c>
      <c r="P12" t="str">
        <f>_xlfn.XLOOKUP(Loans[[#This Row],[BranchCode]],BranchesTbl[BranchCode],BranchesTbl[BranchName])</f>
        <v>Karen</v>
      </c>
      <c r="Q12">
        <f>_xlfn.XLOOKUP(Loans[[#This Row],[CustomerID]],CustomerTbl[CustomerID],CustomerTbl[RiskScore])</f>
        <v>459</v>
      </c>
      <c r="R12" t="str">
        <f>IFERROR(INDEX(RiskTbl[Risk_Category],MATCH(Loans[[#This Row],[RiskScore]],RiskTbl[Score_Min],1)),"Unknown")</f>
        <v>High Risk</v>
      </c>
      <c r="S12" t="str">
        <f>IF(OR(Loans[[#This Row],[LoanStatus]]="Default",Loans[[#This Row],[LoanStatus]]="Watchlist",Loans[[#This Row],[CollateralRisk]]="Undersecured",Loans[[#This Row],[RiskCategory]]="High Risk"),"High Risk Exposure","Normal")</f>
        <v>High Risk Exposure</v>
      </c>
      <c r="T12" t="str" cm="1">
        <f t="array" ref="T12">_xlfn.IFS(
Loans[[#This Row],[LoanStatus]]="Default","Critical",
OR(Loans[[#This Row],[LoanStatus]]="Watchlist",Loans[[#This Row],[CollateralRisk]]="Undersecured",Loans[[#This Row],[RiskCategory]]="High Risk"),"High",
TRUE,"Normal"
)</f>
        <v>High</v>
      </c>
    </row>
    <row r="13" spans="1:20" x14ac:dyDescent="0.35">
      <c r="A13" t="s">
        <v>202</v>
      </c>
      <c r="B13" t="s">
        <v>203</v>
      </c>
      <c r="C13" t="s">
        <v>193</v>
      </c>
      <c r="D13" t="s">
        <v>158</v>
      </c>
      <c r="E13" s="34">
        <v>6000000</v>
      </c>
      <c r="F13" s="29">
        <v>0.19900000000000001</v>
      </c>
      <c r="G13" s="30">
        <v>45292</v>
      </c>
      <c r="H13">
        <v>24</v>
      </c>
      <c r="I13">
        <v>0</v>
      </c>
      <c r="J13" s="34">
        <v>4140000</v>
      </c>
      <c r="K13" t="s">
        <v>171</v>
      </c>
      <c r="L13" s="34">
        <f>PMT(Loans[[#This Row],[InterestRate]]/12,Loans[[#This Row],[LoanTenureMonths]],-Loans[[#This Row],[LoanAmount]])</f>
        <v>305081.78488561913</v>
      </c>
      <c r="M13" s="30">
        <f>EDATE(Loans[[#This Row],[LoanStartDate]],Loans[[#This Row],[LoanTenureMonths]])</f>
        <v>46023</v>
      </c>
      <c r="N13" s="33">
        <f>IF(Loans[[#This Row],[LoanAmount]]=0,0,Loans[[#This Row],[CollateralValue]]/Loans[[#This Row],[LoanAmount]])</f>
        <v>0.69</v>
      </c>
      <c r="O13" t="str">
        <f>IF(Loans[[#This Row],[CollateralCoverageRatio]]&lt;1,"Undersecured","Secured")</f>
        <v>Undersecured</v>
      </c>
      <c r="P13" t="str">
        <f>_xlfn.XLOOKUP(Loans[[#This Row],[BranchCode]],BranchesTbl[BranchCode],BranchesTbl[BranchName])</f>
        <v>Mombasa</v>
      </c>
      <c r="Q13">
        <f>_xlfn.XLOOKUP(Loans[[#This Row],[CustomerID]],CustomerTbl[CustomerID],CustomerTbl[RiskScore])</f>
        <v>323</v>
      </c>
      <c r="R13" t="str">
        <f>IFERROR(INDEX(RiskTbl[Risk_Category],MATCH(Loans[[#This Row],[RiskScore]],RiskTbl[Score_Min],1)),"Unknown")</f>
        <v>High Risk</v>
      </c>
      <c r="S13" t="str">
        <f>IF(OR(Loans[[#This Row],[LoanStatus]]="Default",Loans[[#This Row],[LoanStatus]]="Watchlist",Loans[[#This Row],[CollateralRisk]]="Undersecured",Loans[[#This Row],[RiskCategory]]="High Risk"),"High Risk Exposure","Normal")</f>
        <v>High Risk Exposure</v>
      </c>
      <c r="T13" t="str" cm="1">
        <f t="array" ref="T13">_xlfn.IFS(
Loans[[#This Row],[LoanStatus]]="Default","Critical",
OR(Loans[[#This Row],[LoanStatus]]="Watchlist",Loans[[#This Row],[CollateralRisk]]="Undersecured",Loans[[#This Row],[RiskCategory]]="High Risk"),"High",
TRUE,"Normal"
)</f>
        <v>High</v>
      </c>
    </row>
    <row r="14" spans="1:20" x14ac:dyDescent="0.35">
      <c r="A14" t="s">
        <v>204</v>
      </c>
      <c r="B14" t="s">
        <v>205</v>
      </c>
      <c r="C14" t="s">
        <v>206</v>
      </c>
      <c r="D14" t="s">
        <v>157</v>
      </c>
      <c r="E14" s="34">
        <v>6000000</v>
      </c>
      <c r="F14" s="29">
        <v>0.12970000000000001</v>
      </c>
      <c r="G14" s="30">
        <v>44047</v>
      </c>
      <c r="H14">
        <v>36</v>
      </c>
      <c r="I14">
        <v>45</v>
      </c>
      <c r="J14" s="34">
        <v>8280000</v>
      </c>
      <c r="K14" t="s">
        <v>199</v>
      </c>
      <c r="L14" s="34">
        <f>PMT(Loans[[#This Row],[InterestRate]]/12,Loans[[#This Row],[LoanTenureMonths]],-Loans[[#This Row],[LoanAmount]])</f>
        <v>202077.02369363164</v>
      </c>
      <c r="M14" s="30">
        <f>EDATE(Loans[[#This Row],[LoanStartDate]],Loans[[#This Row],[LoanTenureMonths]])</f>
        <v>45142</v>
      </c>
      <c r="N14" s="33">
        <f>IF(Loans[[#This Row],[LoanAmount]]=0,0,Loans[[#This Row],[CollateralValue]]/Loans[[#This Row],[LoanAmount]])</f>
        <v>1.38</v>
      </c>
      <c r="O14" t="str">
        <f>IF(Loans[[#This Row],[CollateralCoverageRatio]]&lt;1,"Undersecured","Secured")</f>
        <v>Secured</v>
      </c>
      <c r="P14" t="str">
        <f>_xlfn.XLOOKUP(Loans[[#This Row],[BranchCode]],BranchesTbl[BranchCode],BranchesTbl[BranchName])</f>
        <v>Nyahururu</v>
      </c>
      <c r="Q14">
        <f>_xlfn.XLOOKUP(Loans[[#This Row],[CustomerID]],CustomerTbl[CustomerID],CustomerTbl[RiskScore])</f>
        <v>330</v>
      </c>
      <c r="R14" t="str">
        <f>IFERROR(INDEX(RiskTbl[Risk_Category],MATCH(Loans[[#This Row],[RiskScore]],RiskTbl[Score_Min],1)),"Unknown")</f>
        <v>High Risk</v>
      </c>
      <c r="S14" t="str">
        <f>IF(OR(Loans[[#This Row],[LoanStatus]]="Default",Loans[[#This Row],[LoanStatus]]="Watchlist",Loans[[#This Row],[CollateralRisk]]="Undersecured",Loans[[#This Row],[RiskCategory]]="High Risk"),"High Risk Exposure","Normal")</f>
        <v>High Risk Exposure</v>
      </c>
      <c r="T14" t="str" cm="1">
        <f t="array" ref="T14">_xlfn.IFS(
Loans[[#This Row],[LoanStatus]]="Default","Critical",
OR(Loans[[#This Row],[LoanStatus]]="Watchlist",Loans[[#This Row],[CollateralRisk]]="Undersecured",Loans[[#This Row],[RiskCategory]]="High Risk"),"High",
TRUE,"Normal"
)</f>
        <v>High</v>
      </c>
    </row>
    <row r="15" spans="1:20" x14ac:dyDescent="0.35">
      <c r="A15" t="s">
        <v>207</v>
      </c>
      <c r="B15" t="s">
        <v>208</v>
      </c>
      <c r="C15" t="s">
        <v>190</v>
      </c>
      <c r="D15" t="s">
        <v>158</v>
      </c>
      <c r="E15" s="34">
        <v>1000000</v>
      </c>
      <c r="F15" s="29">
        <v>0.12870000000000001</v>
      </c>
      <c r="G15" s="30">
        <v>45652</v>
      </c>
      <c r="H15">
        <v>12</v>
      </c>
      <c r="I15">
        <v>5</v>
      </c>
      <c r="J15" s="34">
        <v>810000</v>
      </c>
      <c r="K15" t="s">
        <v>171</v>
      </c>
      <c r="L15" s="34">
        <f>PMT(Loans[[#This Row],[InterestRate]]/12,Loans[[#This Row],[LoanTenureMonths]],-Loans[[#This Row],[LoanAmount]])</f>
        <v>89256.295736678905</v>
      </c>
      <c r="M15" s="30">
        <f>EDATE(Loans[[#This Row],[LoanStartDate]],Loans[[#This Row],[LoanTenureMonths]])</f>
        <v>46017</v>
      </c>
      <c r="N15" s="33">
        <f>IF(Loans[[#This Row],[LoanAmount]]=0,0,Loans[[#This Row],[CollateralValue]]/Loans[[#This Row],[LoanAmount]])</f>
        <v>0.81</v>
      </c>
      <c r="O15" t="str">
        <f>IF(Loans[[#This Row],[CollateralCoverageRatio]]&lt;1,"Undersecured","Secured")</f>
        <v>Undersecured</v>
      </c>
      <c r="P15" t="str">
        <f>_xlfn.XLOOKUP(Loans[[#This Row],[BranchCode]],BranchesTbl[BranchCode],BranchesTbl[BranchName])</f>
        <v>Nyeri</v>
      </c>
      <c r="Q15">
        <f>_xlfn.XLOOKUP(Loans[[#This Row],[CustomerID]],CustomerTbl[CustomerID],CustomerTbl[RiskScore])</f>
        <v>307</v>
      </c>
      <c r="R15" t="str">
        <f>IFERROR(INDEX(RiskTbl[Risk_Category],MATCH(Loans[[#This Row],[RiskScore]],RiskTbl[Score_Min],1)),"Unknown")</f>
        <v>High Risk</v>
      </c>
      <c r="S15" t="str">
        <f>IF(OR(Loans[[#This Row],[LoanStatus]]="Default",Loans[[#This Row],[LoanStatus]]="Watchlist",Loans[[#This Row],[CollateralRisk]]="Undersecured",Loans[[#This Row],[RiskCategory]]="High Risk"),"High Risk Exposure","Normal")</f>
        <v>High Risk Exposure</v>
      </c>
      <c r="T15" t="str" cm="1">
        <f t="array" ref="T15">_xlfn.IFS(
Loans[[#This Row],[LoanStatus]]="Default","Critical",
OR(Loans[[#This Row],[LoanStatus]]="Watchlist",Loans[[#This Row],[CollateralRisk]]="Undersecured",Loans[[#This Row],[RiskCategory]]="High Risk"),"High",
TRUE,"Normal"
)</f>
        <v>High</v>
      </c>
    </row>
    <row r="16" spans="1:20" x14ac:dyDescent="0.35">
      <c r="A16" t="s">
        <v>209</v>
      </c>
      <c r="B16" t="s">
        <v>210</v>
      </c>
      <c r="C16" t="s">
        <v>187</v>
      </c>
      <c r="D16" t="s">
        <v>157</v>
      </c>
      <c r="E16" s="34">
        <v>25000000</v>
      </c>
      <c r="F16" s="29">
        <v>0.12520000000000001</v>
      </c>
      <c r="G16" s="30">
        <v>44363</v>
      </c>
      <c r="H16">
        <v>24</v>
      </c>
      <c r="I16">
        <v>20</v>
      </c>
      <c r="J16" s="34">
        <v>12500000</v>
      </c>
      <c r="K16" t="s">
        <v>171</v>
      </c>
      <c r="L16" s="34">
        <f>PMT(Loans[[#This Row],[InterestRate]]/12,Loans[[#This Row],[LoanTenureMonths]],-Loans[[#This Row],[LoanAmount]])</f>
        <v>1182916.8947622131</v>
      </c>
      <c r="M16" s="30">
        <f>EDATE(Loans[[#This Row],[LoanStartDate]],Loans[[#This Row],[LoanTenureMonths]])</f>
        <v>45093</v>
      </c>
      <c r="N16" s="33">
        <f>IF(Loans[[#This Row],[LoanAmount]]=0,0,Loans[[#This Row],[CollateralValue]]/Loans[[#This Row],[LoanAmount]])</f>
        <v>0.5</v>
      </c>
      <c r="O16" t="str">
        <f>IF(Loans[[#This Row],[CollateralCoverageRatio]]&lt;1,"Undersecured","Secured")</f>
        <v>Undersecured</v>
      </c>
      <c r="P16" t="str">
        <f>_xlfn.XLOOKUP(Loans[[#This Row],[BranchCode]],BranchesTbl[BranchCode],BranchesTbl[BranchName])</f>
        <v>Eldoret</v>
      </c>
      <c r="Q16">
        <f>_xlfn.XLOOKUP(Loans[[#This Row],[CustomerID]],CustomerTbl[CustomerID],CustomerTbl[RiskScore])</f>
        <v>614</v>
      </c>
      <c r="R16" t="str">
        <f>IFERROR(INDEX(RiskTbl[Risk_Category],MATCH(Loans[[#This Row],[RiskScore]],RiskTbl[Score_Min],1)),"Unknown")</f>
        <v>Medium Risk</v>
      </c>
      <c r="S16" t="str">
        <f>IF(OR(Loans[[#This Row],[LoanStatus]]="Default",Loans[[#This Row],[LoanStatus]]="Watchlist",Loans[[#This Row],[CollateralRisk]]="Undersecured",Loans[[#This Row],[RiskCategory]]="High Risk"),"High Risk Exposure","Normal")</f>
        <v>High Risk Exposure</v>
      </c>
      <c r="T16" t="str" cm="1">
        <f t="array" ref="T16">_xlfn.IFS(
Loans[[#This Row],[LoanStatus]]="Default","Critical",
OR(Loans[[#This Row],[LoanStatus]]="Watchlist",Loans[[#This Row],[CollateralRisk]]="Undersecured",Loans[[#This Row],[RiskCategory]]="High Risk"),"High",
TRUE,"Normal"
)</f>
        <v>High</v>
      </c>
    </row>
    <row r="17" spans="1:20" x14ac:dyDescent="0.35">
      <c r="A17" t="s">
        <v>211</v>
      </c>
      <c r="B17" t="s">
        <v>212</v>
      </c>
      <c r="C17" t="s">
        <v>190</v>
      </c>
      <c r="D17" t="s">
        <v>158</v>
      </c>
      <c r="E17" s="34">
        <v>1000000</v>
      </c>
      <c r="F17" s="29">
        <v>0.159</v>
      </c>
      <c r="G17" s="30">
        <v>44037</v>
      </c>
      <c r="H17">
        <v>36</v>
      </c>
      <c r="I17">
        <v>0</v>
      </c>
      <c r="J17" s="34">
        <v>860000</v>
      </c>
      <c r="K17" t="s">
        <v>171</v>
      </c>
      <c r="L17" s="34">
        <f>PMT(Loans[[#This Row],[InterestRate]]/12,Loans[[#This Row],[LoanTenureMonths]],-Loans[[#This Row],[LoanAmount]])</f>
        <v>35107.68276902628</v>
      </c>
      <c r="M17" s="30">
        <f>EDATE(Loans[[#This Row],[LoanStartDate]],Loans[[#This Row],[LoanTenureMonths]])</f>
        <v>45132</v>
      </c>
      <c r="N17" s="33">
        <f>IF(Loans[[#This Row],[LoanAmount]]=0,0,Loans[[#This Row],[CollateralValue]]/Loans[[#This Row],[LoanAmount]])</f>
        <v>0.86</v>
      </c>
      <c r="O17" t="str">
        <f>IF(Loans[[#This Row],[CollateralCoverageRatio]]&lt;1,"Undersecured","Secured")</f>
        <v>Undersecured</v>
      </c>
      <c r="P17" t="str">
        <f>_xlfn.XLOOKUP(Loans[[#This Row],[BranchCode]],BranchesTbl[BranchCode],BranchesTbl[BranchName])</f>
        <v>Nyeri</v>
      </c>
      <c r="Q17">
        <f>_xlfn.XLOOKUP(Loans[[#This Row],[CustomerID]],CustomerTbl[CustomerID],CustomerTbl[RiskScore])</f>
        <v>423</v>
      </c>
      <c r="R17" t="str">
        <f>IFERROR(INDEX(RiskTbl[Risk_Category],MATCH(Loans[[#This Row],[RiskScore]],RiskTbl[Score_Min],1)),"Unknown")</f>
        <v>High Risk</v>
      </c>
      <c r="S17" t="str">
        <f>IF(OR(Loans[[#This Row],[LoanStatus]]="Default",Loans[[#This Row],[LoanStatus]]="Watchlist",Loans[[#This Row],[CollateralRisk]]="Undersecured",Loans[[#This Row],[RiskCategory]]="High Risk"),"High Risk Exposure","Normal")</f>
        <v>High Risk Exposure</v>
      </c>
      <c r="T17" t="str" cm="1">
        <f t="array" ref="T17">_xlfn.IFS(
Loans[[#This Row],[LoanStatus]]="Default","Critical",
OR(Loans[[#This Row],[LoanStatus]]="Watchlist",Loans[[#This Row],[CollateralRisk]]="Undersecured",Loans[[#This Row],[RiskCategory]]="High Risk"),"High",
TRUE,"Normal"
)</f>
        <v>High</v>
      </c>
    </row>
    <row r="18" spans="1:20" x14ac:dyDescent="0.35">
      <c r="A18" t="s">
        <v>213</v>
      </c>
      <c r="B18" t="s">
        <v>214</v>
      </c>
      <c r="C18" t="s">
        <v>184</v>
      </c>
      <c r="D18" t="s">
        <v>157</v>
      </c>
      <c r="E18" s="34">
        <v>6000000</v>
      </c>
      <c r="F18" s="29">
        <v>0.12039999999999999</v>
      </c>
      <c r="G18" s="30">
        <v>43947</v>
      </c>
      <c r="H18">
        <v>36</v>
      </c>
      <c r="I18">
        <v>20</v>
      </c>
      <c r="J18" s="34">
        <v>3120000</v>
      </c>
      <c r="K18" t="s">
        <v>171</v>
      </c>
      <c r="L18" s="34">
        <f>PMT(Loans[[#This Row],[InterestRate]]/12,Loans[[#This Row],[LoanTenureMonths]],-Loans[[#This Row],[LoanAmount]])</f>
        <v>199400.50704466924</v>
      </c>
      <c r="M18" s="30">
        <f>EDATE(Loans[[#This Row],[LoanStartDate]],Loans[[#This Row],[LoanTenureMonths]])</f>
        <v>45042</v>
      </c>
      <c r="N18" s="33">
        <f>IF(Loans[[#This Row],[LoanAmount]]=0,0,Loans[[#This Row],[CollateralValue]]/Loans[[#This Row],[LoanAmount]])</f>
        <v>0.52</v>
      </c>
      <c r="O18" t="str">
        <f>IF(Loans[[#This Row],[CollateralCoverageRatio]]&lt;1,"Undersecured","Secured")</f>
        <v>Undersecured</v>
      </c>
      <c r="P18" t="str">
        <f>_xlfn.XLOOKUP(Loans[[#This Row],[BranchCode]],BranchesTbl[BranchCode],BranchesTbl[BranchName])</f>
        <v>Kisumu</v>
      </c>
      <c r="Q18">
        <f>_xlfn.XLOOKUP(Loans[[#This Row],[CustomerID]],CustomerTbl[CustomerID],CustomerTbl[RiskScore])</f>
        <v>318</v>
      </c>
      <c r="R18" t="str">
        <f>IFERROR(INDEX(RiskTbl[Risk_Category],MATCH(Loans[[#This Row],[RiskScore]],RiskTbl[Score_Min],1)),"Unknown")</f>
        <v>High Risk</v>
      </c>
      <c r="S18" t="str">
        <f>IF(OR(Loans[[#This Row],[LoanStatus]]="Default",Loans[[#This Row],[LoanStatus]]="Watchlist",Loans[[#This Row],[CollateralRisk]]="Undersecured",Loans[[#This Row],[RiskCategory]]="High Risk"),"High Risk Exposure","Normal")</f>
        <v>High Risk Exposure</v>
      </c>
      <c r="T18" t="str" cm="1">
        <f t="array" ref="T18">_xlfn.IFS(
Loans[[#This Row],[LoanStatus]]="Default","Critical",
OR(Loans[[#This Row],[LoanStatus]]="Watchlist",Loans[[#This Row],[CollateralRisk]]="Undersecured",Loans[[#This Row],[RiskCategory]]="High Risk"),"High",
TRUE,"Normal"
)</f>
        <v>High</v>
      </c>
    </row>
    <row r="19" spans="1:20" x14ac:dyDescent="0.35">
      <c r="A19" t="s">
        <v>215</v>
      </c>
      <c r="B19" t="s">
        <v>216</v>
      </c>
      <c r="C19" t="s">
        <v>187</v>
      </c>
      <c r="D19" t="s">
        <v>158</v>
      </c>
      <c r="E19" s="34">
        <v>6000000</v>
      </c>
      <c r="F19" s="29">
        <v>0.153</v>
      </c>
      <c r="G19" s="30">
        <v>45973</v>
      </c>
      <c r="H19">
        <v>48</v>
      </c>
      <c r="I19">
        <v>0</v>
      </c>
      <c r="J19" s="34">
        <v>6840000</v>
      </c>
      <c r="K19" t="s">
        <v>171</v>
      </c>
      <c r="L19" s="34">
        <f>PMT(Loans[[#This Row],[InterestRate]]/12,Loans[[#This Row],[LoanTenureMonths]],-Loans[[#This Row],[LoanAmount]])</f>
        <v>167898.34240632021</v>
      </c>
      <c r="M19" s="30">
        <f>EDATE(Loans[[#This Row],[LoanStartDate]],Loans[[#This Row],[LoanTenureMonths]])</f>
        <v>47434</v>
      </c>
      <c r="N19" s="33">
        <f>IF(Loans[[#This Row],[LoanAmount]]=0,0,Loans[[#This Row],[CollateralValue]]/Loans[[#This Row],[LoanAmount]])</f>
        <v>1.1399999999999999</v>
      </c>
      <c r="O19" t="str">
        <f>IF(Loans[[#This Row],[CollateralCoverageRatio]]&lt;1,"Undersecured","Secured")</f>
        <v>Secured</v>
      </c>
      <c r="P19" t="str">
        <f>_xlfn.XLOOKUP(Loans[[#This Row],[BranchCode]],BranchesTbl[BranchCode],BranchesTbl[BranchName])</f>
        <v>Eldoret</v>
      </c>
      <c r="Q19">
        <f>_xlfn.XLOOKUP(Loans[[#This Row],[CustomerID]],CustomerTbl[CustomerID],CustomerTbl[RiskScore])</f>
        <v>327</v>
      </c>
      <c r="R19" t="str">
        <f>IFERROR(INDEX(RiskTbl[Risk_Category],MATCH(Loans[[#This Row],[RiskScore]],RiskTbl[Score_Min],1)),"Unknown")</f>
        <v>High Risk</v>
      </c>
      <c r="S19" t="str">
        <f>IF(OR(Loans[[#This Row],[LoanStatus]]="Default",Loans[[#This Row],[LoanStatus]]="Watchlist",Loans[[#This Row],[CollateralRisk]]="Undersecured",Loans[[#This Row],[RiskCategory]]="High Risk"),"High Risk Exposure","Normal")</f>
        <v>High Risk Exposure</v>
      </c>
      <c r="T19" t="str" cm="1">
        <f t="array" ref="T19">_xlfn.IFS(
Loans[[#This Row],[LoanStatus]]="Default","Critical",
OR(Loans[[#This Row],[LoanStatus]]="Watchlist",Loans[[#This Row],[CollateralRisk]]="Undersecured",Loans[[#This Row],[RiskCategory]]="High Risk"),"High",
TRUE,"Normal"
)</f>
        <v>High</v>
      </c>
    </row>
    <row r="20" spans="1:20" x14ac:dyDescent="0.35">
      <c r="A20" t="s">
        <v>217</v>
      </c>
      <c r="B20" t="s">
        <v>218</v>
      </c>
      <c r="C20" t="s">
        <v>219</v>
      </c>
      <c r="D20" t="s">
        <v>155</v>
      </c>
      <c r="E20" s="34">
        <v>250000</v>
      </c>
      <c r="F20" s="29">
        <v>0.21440000000000001</v>
      </c>
      <c r="G20" s="30">
        <v>45121</v>
      </c>
      <c r="H20">
        <v>72</v>
      </c>
      <c r="I20">
        <v>0</v>
      </c>
      <c r="J20" s="34">
        <v>0</v>
      </c>
      <c r="K20" t="s">
        <v>171</v>
      </c>
      <c r="L20" s="34">
        <f>PMT(Loans[[#This Row],[InterestRate]]/12,Loans[[#This Row],[LoanTenureMonths]],-Loans[[#This Row],[LoanAmount]])</f>
        <v>6198.7007328815798</v>
      </c>
      <c r="M20" s="30">
        <f>EDATE(Loans[[#This Row],[LoanStartDate]],Loans[[#This Row],[LoanTenureMonths]])</f>
        <v>47313</v>
      </c>
      <c r="N20" s="33">
        <f>IF(Loans[[#This Row],[LoanAmount]]=0,0,Loans[[#This Row],[CollateralValue]]/Loans[[#This Row],[LoanAmount]])</f>
        <v>0</v>
      </c>
      <c r="O20" t="str">
        <f>IF(Loans[[#This Row],[CollateralCoverageRatio]]&lt;1,"Undersecured","Secured")</f>
        <v>Undersecured</v>
      </c>
      <c r="P20" t="str">
        <f>_xlfn.XLOOKUP(Loans[[#This Row],[BranchCode]],BranchesTbl[BranchCode],BranchesTbl[BranchName])</f>
        <v>Meru</v>
      </c>
      <c r="Q20">
        <f>_xlfn.XLOOKUP(Loans[[#This Row],[CustomerID]],CustomerTbl[CustomerID],CustomerTbl[RiskScore])</f>
        <v>576</v>
      </c>
      <c r="R20" t="str">
        <f>IFERROR(INDEX(RiskTbl[Risk_Category],MATCH(Loans[[#This Row],[RiskScore]],RiskTbl[Score_Min],1)),"Unknown")</f>
        <v>High Risk</v>
      </c>
      <c r="S20" t="str">
        <f>IF(OR(Loans[[#This Row],[LoanStatus]]="Default",Loans[[#This Row],[LoanStatus]]="Watchlist",Loans[[#This Row],[CollateralRisk]]="Undersecured",Loans[[#This Row],[RiskCategory]]="High Risk"),"High Risk Exposure","Normal")</f>
        <v>High Risk Exposure</v>
      </c>
      <c r="T20" t="str" cm="1">
        <f t="array" ref="T20">_xlfn.IFS(
Loans[[#This Row],[LoanStatus]]="Default","Critical",
OR(Loans[[#This Row],[LoanStatus]]="Watchlist",Loans[[#This Row],[CollateralRisk]]="Undersecured",Loans[[#This Row],[RiskCategory]]="High Risk"),"High",
TRUE,"Normal"
)</f>
        <v>High</v>
      </c>
    </row>
    <row r="21" spans="1:20" x14ac:dyDescent="0.35">
      <c r="A21" t="s">
        <v>220</v>
      </c>
      <c r="B21" t="s">
        <v>221</v>
      </c>
      <c r="C21" t="s">
        <v>196</v>
      </c>
      <c r="D21" t="s">
        <v>155</v>
      </c>
      <c r="E21" s="34">
        <v>250000</v>
      </c>
      <c r="F21" s="29">
        <v>0.2074</v>
      </c>
      <c r="G21" s="30">
        <v>45855</v>
      </c>
      <c r="H21">
        <v>60</v>
      </c>
      <c r="I21">
        <v>0</v>
      </c>
      <c r="J21" s="34">
        <v>0</v>
      </c>
      <c r="K21" t="s">
        <v>171</v>
      </c>
      <c r="L21" s="34">
        <f>PMT(Loans[[#This Row],[InterestRate]]/12,Loans[[#This Row],[LoanTenureMonths]],-Loans[[#This Row],[LoanAmount]])</f>
        <v>6726.8271850838328</v>
      </c>
      <c r="M21" s="30">
        <f>EDATE(Loans[[#This Row],[LoanStartDate]],Loans[[#This Row],[LoanTenureMonths]])</f>
        <v>47681</v>
      </c>
      <c r="N21" s="33">
        <f>IF(Loans[[#This Row],[LoanAmount]]=0,0,Loans[[#This Row],[CollateralValue]]/Loans[[#This Row],[LoanAmount]])</f>
        <v>0</v>
      </c>
      <c r="O21" t="str">
        <f>IF(Loans[[#This Row],[CollateralCoverageRatio]]&lt;1,"Undersecured","Secured")</f>
        <v>Undersecured</v>
      </c>
      <c r="P21" t="str">
        <f>_xlfn.XLOOKUP(Loans[[#This Row],[BranchCode]],BranchesTbl[BranchCode],BranchesTbl[BranchName])</f>
        <v>Karen</v>
      </c>
      <c r="Q21">
        <f>_xlfn.XLOOKUP(Loans[[#This Row],[CustomerID]],CustomerTbl[CustomerID],CustomerTbl[RiskScore])</f>
        <v>732</v>
      </c>
      <c r="R21" t="str">
        <f>IFERROR(INDEX(RiskTbl[Risk_Category],MATCH(Loans[[#This Row],[RiskScore]],RiskTbl[Score_Min],1)),"Unknown")</f>
        <v>Low Risk</v>
      </c>
      <c r="S21" t="str">
        <f>IF(OR(Loans[[#This Row],[LoanStatus]]="Default",Loans[[#This Row],[LoanStatus]]="Watchlist",Loans[[#This Row],[CollateralRisk]]="Undersecured",Loans[[#This Row],[RiskCategory]]="High Risk"),"High Risk Exposure","Normal")</f>
        <v>High Risk Exposure</v>
      </c>
      <c r="T21" t="str" cm="1">
        <f t="array" ref="T21">_xlfn.IFS(
Loans[[#This Row],[LoanStatus]]="Default","Critical",
OR(Loans[[#This Row],[LoanStatus]]="Watchlist",Loans[[#This Row],[CollateralRisk]]="Undersecured",Loans[[#This Row],[RiskCategory]]="High Risk"),"High",
TRUE,"Normal"
)</f>
        <v>High</v>
      </c>
    </row>
    <row r="22" spans="1:20" x14ac:dyDescent="0.35">
      <c r="A22" t="s">
        <v>222</v>
      </c>
      <c r="B22" t="s">
        <v>223</v>
      </c>
      <c r="C22" t="s">
        <v>181</v>
      </c>
      <c r="D22" t="s">
        <v>158</v>
      </c>
      <c r="E22" s="34">
        <v>500000</v>
      </c>
      <c r="F22" s="29">
        <v>0.1638</v>
      </c>
      <c r="G22" s="30">
        <v>44911</v>
      </c>
      <c r="H22">
        <v>36</v>
      </c>
      <c r="I22">
        <v>20</v>
      </c>
      <c r="J22" s="34">
        <v>650000</v>
      </c>
      <c r="K22" t="s">
        <v>171</v>
      </c>
      <c r="L22" s="34">
        <f>PMT(Loans[[#This Row],[InterestRate]]/12,Loans[[#This Row],[LoanTenureMonths]],-Loans[[#This Row],[LoanAmount]])</f>
        <v>17672.463901564333</v>
      </c>
      <c r="M22" s="30">
        <f>EDATE(Loans[[#This Row],[LoanStartDate]],Loans[[#This Row],[LoanTenureMonths]])</f>
        <v>46007</v>
      </c>
      <c r="N22" s="33">
        <f>IF(Loans[[#This Row],[LoanAmount]]=0,0,Loans[[#This Row],[CollateralValue]]/Loans[[#This Row],[LoanAmount]])</f>
        <v>1.3</v>
      </c>
      <c r="O22" t="str">
        <f>IF(Loans[[#This Row],[CollateralCoverageRatio]]&lt;1,"Undersecured","Secured")</f>
        <v>Secured</v>
      </c>
      <c r="P22" t="str">
        <f>_xlfn.XLOOKUP(Loans[[#This Row],[BranchCode]],BranchesTbl[BranchCode],BranchesTbl[BranchName])</f>
        <v>Kitale</v>
      </c>
      <c r="Q22">
        <f>_xlfn.XLOOKUP(Loans[[#This Row],[CustomerID]],CustomerTbl[CustomerID],CustomerTbl[RiskScore])</f>
        <v>797</v>
      </c>
      <c r="R22" t="str">
        <f>IFERROR(INDEX(RiskTbl[Risk_Category],MATCH(Loans[[#This Row],[RiskScore]],RiskTbl[Score_Min],1)),"Unknown")</f>
        <v>Very Low Risk</v>
      </c>
      <c r="S22" t="str">
        <f>IF(OR(Loans[[#This Row],[LoanStatus]]="Default",Loans[[#This Row],[LoanStatus]]="Watchlist",Loans[[#This Row],[CollateralRisk]]="Undersecured",Loans[[#This Row],[RiskCategory]]="High Risk"),"High Risk Exposure","Normal")</f>
        <v>Normal</v>
      </c>
      <c r="T22" t="str" cm="1">
        <f t="array" ref="T22">_xlfn.IFS(
Loans[[#This Row],[LoanStatus]]="Default","Critical",
OR(Loans[[#This Row],[LoanStatus]]="Watchlist",Loans[[#This Row],[CollateralRisk]]="Undersecured",Loans[[#This Row],[RiskCategory]]="High Risk"),"High",
TRUE,"Normal"
)</f>
        <v>Normal</v>
      </c>
    </row>
    <row r="23" spans="1:20" x14ac:dyDescent="0.35">
      <c r="A23" t="s">
        <v>224</v>
      </c>
      <c r="B23" t="s">
        <v>225</v>
      </c>
      <c r="C23" t="s">
        <v>206</v>
      </c>
      <c r="D23" t="s">
        <v>157</v>
      </c>
      <c r="E23" s="34">
        <v>6000000</v>
      </c>
      <c r="F23" s="29">
        <v>9.7199999999999995E-2</v>
      </c>
      <c r="G23" s="30">
        <v>45270</v>
      </c>
      <c r="H23">
        <v>72</v>
      </c>
      <c r="I23">
        <v>20</v>
      </c>
      <c r="J23" s="34">
        <v>6240000</v>
      </c>
      <c r="K23" t="s">
        <v>171</v>
      </c>
      <c r="L23" s="34">
        <f>PMT(Loans[[#This Row],[InterestRate]]/12,Loans[[#This Row],[LoanTenureMonths]],-Loans[[#This Row],[LoanAmount]])</f>
        <v>110309.7022267788</v>
      </c>
      <c r="M23" s="30">
        <f>EDATE(Loans[[#This Row],[LoanStartDate]],Loans[[#This Row],[LoanTenureMonths]])</f>
        <v>47462</v>
      </c>
      <c r="N23" s="33">
        <f>IF(Loans[[#This Row],[LoanAmount]]=0,0,Loans[[#This Row],[CollateralValue]]/Loans[[#This Row],[LoanAmount]])</f>
        <v>1.04</v>
      </c>
      <c r="O23" t="str">
        <f>IF(Loans[[#This Row],[CollateralCoverageRatio]]&lt;1,"Undersecured","Secured")</f>
        <v>Secured</v>
      </c>
      <c r="P23" t="str">
        <f>_xlfn.XLOOKUP(Loans[[#This Row],[BranchCode]],BranchesTbl[BranchCode],BranchesTbl[BranchName])</f>
        <v>Nyahururu</v>
      </c>
      <c r="Q23">
        <f>_xlfn.XLOOKUP(Loans[[#This Row],[CustomerID]],CustomerTbl[CustomerID],CustomerTbl[RiskScore])</f>
        <v>717</v>
      </c>
      <c r="R23" t="str">
        <f>IFERROR(INDEX(RiskTbl[Risk_Category],MATCH(Loans[[#This Row],[RiskScore]],RiskTbl[Score_Min],1)),"Unknown")</f>
        <v>Low Risk</v>
      </c>
      <c r="S23" t="str">
        <f>IF(OR(Loans[[#This Row],[LoanStatus]]="Default",Loans[[#This Row],[LoanStatus]]="Watchlist",Loans[[#This Row],[CollateralRisk]]="Undersecured",Loans[[#This Row],[RiskCategory]]="High Risk"),"High Risk Exposure","Normal")</f>
        <v>Normal</v>
      </c>
      <c r="T23" t="str" cm="1">
        <f t="array" ref="T23">_xlfn.IFS(
Loans[[#This Row],[LoanStatus]]="Default","Critical",
OR(Loans[[#This Row],[LoanStatus]]="Watchlist",Loans[[#This Row],[CollateralRisk]]="Undersecured",Loans[[#This Row],[RiskCategory]]="High Risk"),"High",
TRUE,"Normal"
)</f>
        <v>Normal</v>
      </c>
    </row>
    <row r="24" spans="1:20" x14ac:dyDescent="0.35">
      <c r="A24" t="s">
        <v>226</v>
      </c>
      <c r="B24" t="s">
        <v>227</v>
      </c>
      <c r="C24" t="s">
        <v>219</v>
      </c>
      <c r="D24" t="s">
        <v>157</v>
      </c>
      <c r="E24" s="34">
        <v>80000000</v>
      </c>
      <c r="F24" s="29">
        <v>0.10680000000000001</v>
      </c>
      <c r="G24" s="30">
        <v>44587</v>
      </c>
      <c r="H24">
        <v>24</v>
      </c>
      <c r="I24">
        <v>90</v>
      </c>
      <c r="J24" s="34">
        <v>49600000</v>
      </c>
      <c r="K24" t="s">
        <v>199</v>
      </c>
      <c r="L24" s="34">
        <f>PMT(Loans[[#This Row],[InterestRate]]/12,Loans[[#This Row],[LoanTenureMonths]],-Loans[[#This Row],[LoanAmount]])</f>
        <v>3716752.796493412</v>
      </c>
      <c r="M24" s="30">
        <f>EDATE(Loans[[#This Row],[LoanStartDate]],Loans[[#This Row],[LoanTenureMonths]])</f>
        <v>45317</v>
      </c>
      <c r="N24" s="33">
        <f>IF(Loans[[#This Row],[LoanAmount]]=0,0,Loans[[#This Row],[CollateralValue]]/Loans[[#This Row],[LoanAmount]])</f>
        <v>0.62</v>
      </c>
      <c r="O24" t="str">
        <f>IF(Loans[[#This Row],[CollateralCoverageRatio]]&lt;1,"Undersecured","Secured")</f>
        <v>Undersecured</v>
      </c>
      <c r="P24" t="str">
        <f>_xlfn.XLOOKUP(Loans[[#This Row],[BranchCode]],BranchesTbl[BranchCode],BranchesTbl[BranchName])</f>
        <v>Meru</v>
      </c>
      <c r="Q24">
        <f>_xlfn.XLOOKUP(Loans[[#This Row],[CustomerID]],CustomerTbl[CustomerID],CustomerTbl[RiskScore])</f>
        <v>702</v>
      </c>
      <c r="R24" t="str">
        <f>IFERROR(INDEX(RiskTbl[Risk_Category],MATCH(Loans[[#This Row],[RiskScore]],RiskTbl[Score_Min],1)),"Unknown")</f>
        <v>Low Risk</v>
      </c>
      <c r="S24" t="str">
        <f>IF(OR(Loans[[#This Row],[LoanStatus]]="Default",Loans[[#This Row],[LoanStatus]]="Watchlist",Loans[[#This Row],[CollateralRisk]]="Undersecured",Loans[[#This Row],[RiskCategory]]="High Risk"),"High Risk Exposure","Normal")</f>
        <v>High Risk Exposure</v>
      </c>
      <c r="T24" t="str" cm="1">
        <f t="array" ref="T24">_xlfn.IFS(
Loans[[#This Row],[LoanStatus]]="Default","Critical",
OR(Loans[[#This Row],[LoanStatus]]="Watchlist",Loans[[#This Row],[CollateralRisk]]="Undersecured",Loans[[#This Row],[RiskCategory]]="High Risk"),"High",
TRUE,"Normal"
)</f>
        <v>High</v>
      </c>
    </row>
    <row r="25" spans="1:20" x14ac:dyDescent="0.35">
      <c r="A25" t="s">
        <v>228</v>
      </c>
      <c r="B25" t="s">
        <v>229</v>
      </c>
      <c r="C25" t="s">
        <v>181</v>
      </c>
      <c r="D25" t="s">
        <v>158</v>
      </c>
      <c r="E25" s="34">
        <v>500000</v>
      </c>
      <c r="F25" s="29">
        <v>0.14019999999999999</v>
      </c>
      <c r="G25" s="30">
        <v>44288</v>
      </c>
      <c r="H25">
        <v>24</v>
      </c>
      <c r="I25">
        <v>5</v>
      </c>
      <c r="J25" s="34">
        <v>680000</v>
      </c>
      <c r="K25" t="s">
        <v>171</v>
      </c>
      <c r="L25" s="34">
        <f>PMT(Loans[[#This Row],[InterestRate]]/12,Loans[[#This Row],[LoanTenureMonths]],-Loans[[#This Row],[LoanAmount]])</f>
        <v>24011.16604241337</v>
      </c>
      <c r="M25" s="30">
        <f>EDATE(Loans[[#This Row],[LoanStartDate]],Loans[[#This Row],[LoanTenureMonths]])</f>
        <v>45018</v>
      </c>
      <c r="N25" s="33">
        <f>IF(Loans[[#This Row],[LoanAmount]]=0,0,Loans[[#This Row],[CollateralValue]]/Loans[[#This Row],[LoanAmount]])</f>
        <v>1.36</v>
      </c>
      <c r="O25" t="str">
        <f>IF(Loans[[#This Row],[CollateralCoverageRatio]]&lt;1,"Undersecured","Secured")</f>
        <v>Secured</v>
      </c>
      <c r="P25" t="str">
        <f>_xlfn.XLOOKUP(Loans[[#This Row],[BranchCode]],BranchesTbl[BranchCode],BranchesTbl[BranchName])</f>
        <v>Kitale</v>
      </c>
      <c r="Q25">
        <f>_xlfn.XLOOKUP(Loans[[#This Row],[CustomerID]],CustomerTbl[CustomerID],CustomerTbl[RiskScore])</f>
        <v>808</v>
      </c>
      <c r="R25" t="str">
        <f>IFERROR(INDEX(RiskTbl[Risk_Category],MATCH(Loans[[#This Row],[RiskScore]],RiskTbl[Score_Min],1)),"Unknown")</f>
        <v>Prime</v>
      </c>
      <c r="S25" t="str">
        <f>IF(OR(Loans[[#This Row],[LoanStatus]]="Default",Loans[[#This Row],[LoanStatus]]="Watchlist",Loans[[#This Row],[CollateralRisk]]="Undersecured",Loans[[#This Row],[RiskCategory]]="High Risk"),"High Risk Exposure","Normal")</f>
        <v>Normal</v>
      </c>
      <c r="T25" t="str" cm="1">
        <f t="array" ref="T25">_xlfn.IFS(
Loans[[#This Row],[LoanStatus]]="Default","Critical",
OR(Loans[[#This Row],[LoanStatus]]="Watchlist",Loans[[#This Row],[CollateralRisk]]="Undersecured",Loans[[#This Row],[RiskCategory]]="High Risk"),"High",
TRUE,"Normal"
)</f>
        <v>Normal</v>
      </c>
    </row>
    <row r="26" spans="1:20" x14ac:dyDescent="0.35">
      <c r="A26" t="s">
        <v>230</v>
      </c>
      <c r="B26" t="s">
        <v>231</v>
      </c>
      <c r="C26" t="s">
        <v>232</v>
      </c>
      <c r="D26" t="s">
        <v>157</v>
      </c>
      <c r="E26" s="34">
        <v>80000000</v>
      </c>
      <c r="F26" s="29">
        <v>0.1145</v>
      </c>
      <c r="G26" s="30">
        <v>45061</v>
      </c>
      <c r="H26">
        <v>72</v>
      </c>
      <c r="I26">
        <v>10</v>
      </c>
      <c r="J26" s="34">
        <v>74400000</v>
      </c>
      <c r="K26" t="s">
        <v>171</v>
      </c>
      <c r="L26" s="34">
        <f>PMT(Loans[[#This Row],[InterestRate]]/12,Loans[[#This Row],[LoanTenureMonths]],-Loans[[#This Row],[LoanAmount]])</f>
        <v>1541228.8116320828</v>
      </c>
      <c r="M26" s="30">
        <f>EDATE(Loans[[#This Row],[LoanStartDate]],Loans[[#This Row],[LoanTenureMonths]])</f>
        <v>47253</v>
      </c>
      <c r="N26" s="33">
        <f>IF(Loans[[#This Row],[LoanAmount]]=0,0,Loans[[#This Row],[CollateralValue]]/Loans[[#This Row],[LoanAmount]])</f>
        <v>0.93</v>
      </c>
      <c r="O26" t="str">
        <f>IF(Loans[[#This Row],[CollateralCoverageRatio]]&lt;1,"Undersecured","Secured")</f>
        <v>Undersecured</v>
      </c>
      <c r="P26" t="str">
        <f>_xlfn.XLOOKUP(Loans[[#This Row],[BranchCode]],BranchesTbl[BranchCode],BranchesTbl[BranchName])</f>
        <v>Upper Hill</v>
      </c>
      <c r="Q26">
        <f>_xlfn.XLOOKUP(Loans[[#This Row],[CustomerID]],CustomerTbl[CustomerID],CustomerTbl[RiskScore])</f>
        <v>831</v>
      </c>
      <c r="R26" t="str">
        <f>IFERROR(INDEX(RiskTbl[Risk_Category],MATCH(Loans[[#This Row],[RiskScore]],RiskTbl[Score_Min],1)),"Unknown")</f>
        <v>Prime</v>
      </c>
      <c r="S26" t="str">
        <f>IF(OR(Loans[[#This Row],[LoanStatus]]="Default",Loans[[#This Row],[LoanStatus]]="Watchlist",Loans[[#This Row],[CollateralRisk]]="Undersecured",Loans[[#This Row],[RiskCategory]]="High Risk"),"High Risk Exposure","Normal")</f>
        <v>High Risk Exposure</v>
      </c>
      <c r="T26" t="str" cm="1">
        <f t="array" ref="T26">_xlfn.IFS(
Loans[[#This Row],[LoanStatus]]="Default","Critical",
OR(Loans[[#This Row],[LoanStatus]]="Watchlist",Loans[[#This Row],[CollateralRisk]]="Undersecured",Loans[[#This Row],[RiskCategory]]="High Risk"),"High",
TRUE,"Normal"
)</f>
        <v>High</v>
      </c>
    </row>
    <row r="27" spans="1:20" x14ac:dyDescent="0.35">
      <c r="A27" t="s">
        <v>233</v>
      </c>
      <c r="B27" t="s">
        <v>234</v>
      </c>
      <c r="C27" t="s">
        <v>181</v>
      </c>
      <c r="D27" t="s">
        <v>156</v>
      </c>
      <c r="E27" s="34">
        <v>6000000</v>
      </c>
      <c r="F27" s="29">
        <v>0.21590000000000001</v>
      </c>
      <c r="G27" s="30">
        <v>45702</v>
      </c>
      <c r="H27">
        <v>72</v>
      </c>
      <c r="I27">
        <v>45</v>
      </c>
      <c r="J27" s="34">
        <v>6540000</v>
      </c>
      <c r="K27" t="s">
        <v>199</v>
      </c>
      <c r="L27" s="34">
        <f>PMT(Loans[[#This Row],[InterestRate]]/12,Loans[[#This Row],[LoanTenureMonths]],-Loans[[#This Row],[LoanAmount]])</f>
        <v>149300.03266699647</v>
      </c>
      <c r="M27" s="30">
        <f>EDATE(Loans[[#This Row],[LoanStartDate]],Loans[[#This Row],[LoanTenureMonths]])</f>
        <v>47893</v>
      </c>
      <c r="N27" s="33">
        <f>IF(Loans[[#This Row],[LoanAmount]]=0,0,Loans[[#This Row],[CollateralValue]]/Loans[[#This Row],[LoanAmount]])</f>
        <v>1.0900000000000001</v>
      </c>
      <c r="O27" t="str">
        <f>IF(Loans[[#This Row],[CollateralCoverageRatio]]&lt;1,"Undersecured","Secured")</f>
        <v>Secured</v>
      </c>
      <c r="P27" t="str">
        <f>_xlfn.XLOOKUP(Loans[[#This Row],[BranchCode]],BranchesTbl[BranchCode],BranchesTbl[BranchName])</f>
        <v>Kitale</v>
      </c>
      <c r="Q27">
        <f>_xlfn.XLOOKUP(Loans[[#This Row],[CustomerID]],CustomerTbl[CustomerID],CustomerTbl[RiskScore])</f>
        <v>338</v>
      </c>
      <c r="R27" t="str">
        <f>IFERROR(INDEX(RiskTbl[Risk_Category],MATCH(Loans[[#This Row],[RiskScore]],RiskTbl[Score_Min],1)),"Unknown")</f>
        <v>High Risk</v>
      </c>
      <c r="S27" t="str">
        <f>IF(OR(Loans[[#This Row],[LoanStatus]]="Default",Loans[[#This Row],[LoanStatus]]="Watchlist",Loans[[#This Row],[CollateralRisk]]="Undersecured",Loans[[#This Row],[RiskCategory]]="High Risk"),"High Risk Exposure","Normal")</f>
        <v>High Risk Exposure</v>
      </c>
      <c r="T27" t="str" cm="1">
        <f t="array" ref="T27">_xlfn.IFS(
Loans[[#This Row],[LoanStatus]]="Default","Critical",
OR(Loans[[#This Row],[LoanStatus]]="Watchlist",Loans[[#This Row],[CollateralRisk]]="Undersecured",Loans[[#This Row],[RiskCategory]]="High Risk"),"High",
TRUE,"Normal"
)</f>
        <v>High</v>
      </c>
    </row>
    <row r="28" spans="1:20" x14ac:dyDescent="0.35">
      <c r="A28" t="s">
        <v>235</v>
      </c>
      <c r="B28" t="s">
        <v>236</v>
      </c>
      <c r="C28" t="s">
        <v>206</v>
      </c>
      <c r="D28" t="s">
        <v>156</v>
      </c>
      <c r="E28" s="34">
        <v>25000000</v>
      </c>
      <c r="F28" s="29">
        <v>0.23449999999999999</v>
      </c>
      <c r="G28" s="30">
        <v>44923</v>
      </c>
      <c r="H28">
        <v>24</v>
      </c>
      <c r="I28">
        <v>120</v>
      </c>
      <c r="J28" s="34">
        <v>20500000</v>
      </c>
      <c r="K28" t="s">
        <v>178</v>
      </c>
      <c r="L28" s="34">
        <f>PMT(Loans[[#This Row],[InterestRate]]/12,Loans[[#This Row],[LoanTenureMonths]],-Loans[[#This Row],[LoanAmount]])</f>
        <v>1314924.6468990073</v>
      </c>
      <c r="M28" s="30">
        <f>EDATE(Loans[[#This Row],[LoanStartDate]],Loans[[#This Row],[LoanTenureMonths]])</f>
        <v>45654</v>
      </c>
      <c r="N28" s="33">
        <f>IF(Loans[[#This Row],[LoanAmount]]=0,0,Loans[[#This Row],[CollateralValue]]/Loans[[#This Row],[LoanAmount]])</f>
        <v>0.82</v>
      </c>
      <c r="O28" t="str">
        <f>IF(Loans[[#This Row],[CollateralCoverageRatio]]&lt;1,"Undersecured","Secured")</f>
        <v>Undersecured</v>
      </c>
      <c r="P28" t="str">
        <f>_xlfn.XLOOKUP(Loans[[#This Row],[BranchCode]],BranchesTbl[BranchCode],BranchesTbl[BranchName])</f>
        <v>Nyahururu</v>
      </c>
      <c r="Q28">
        <f>_xlfn.XLOOKUP(Loans[[#This Row],[CustomerID]],CustomerTbl[CustomerID],CustomerTbl[RiskScore])</f>
        <v>820</v>
      </c>
      <c r="R28" t="str">
        <f>IFERROR(INDEX(RiskTbl[Risk_Category],MATCH(Loans[[#This Row],[RiskScore]],RiskTbl[Score_Min],1)),"Unknown")</f>
        <v>Prime</v>
      </c>
      <c r="S28" t="str">
        <f>IF(OR(Loans[[#This Row],[LoanStatus]]="Default",Loans[[#This Row],[LoanStatus]]="Watchlist",Loans[[#This Row],[CollateralRisk]]="Undersecured",Loans[[#This Row],[RiskCategory]]="High Risk"),"High Risk Exposure","Normal")</f>
        <v>High Risk Exposure</v>
      </c>
      <c r="T28" t="str" cm="1">
        <f t="array" ref="T28">_xlfn.IFS(
Loans[[#This Row],[LoanStatus]]="Default","Critical",
OR(Loans[[#This Row],[LoanStatus]]="Watchlist",Loans[[#This Row],[CollateralRisk]]="Undersecured",Loans[[#This Row],[RiskCategory]]="High Risk"),"High",
TRUE,"Normal"
)</f>
        <v>Critical</v>
      </c>
    </row>
    <row r="29" spans="1:20" x14ac:dyDescent="0.35">
      <c r="A29" t="s">
        <v>237</v>
      </c>
      <c r="B29" t="s">
        <v>238</v>
      </c>
      <c r="C29" t="s">
        <v>239</v>
      </c>
      <c r="D29" t="s">
        <v>155</v>
      </c>
      <c r="E29" s="34">
        <v>1000000</v>
      </c>
      <c r="F29" s="29">
        <v>0.19520000000000001</v>
      </c>
      <c r="G29" s="30">
        <v>44383</v>
      </c>
      <c r="H29">
        <v>60</v>
      </c>
      <c r="I29">
        <v>90</v>
      </c>
      <c r="J29" s="34">
        <v>0</v>
      </c>
      <c r="K29" t="s">
        <v>199</v>
      </c>
      <c r="L29" s="34">
        <f>PMT(Loans[[#This Row],[InterestRate]]/12,Loans[[#This Row],[LoanTenureMonths]],-Loans[[#This Row],[LoanAmount]])</f>
        <v>26227.513297267004</v>
      </c>
      <c r="M29" s="30">
        <f>EDATE(Loans[[#This Row],[LoanStartDate]],Loans[[#This Row],[LoanTenureMonths]])</f>
        <v>46209</v>
      </c>
      <c r="N29" s="33">
        <f>IF(Loans[[#This Row],[LoanAmount]]=0,0,Loans[[#This Row],[CollateralValue]]/Loans[[#This Row],[LoanAmount]])</f>
        <v>0</v>
      </c>
      <c r="O29" t="str">
        <f>IF(Loans[[#This Row],[CollateralCoverageRatio]]&lt;1,"Undersecured","Secured")</f>
        <v>Undersecured</v>
      </c>
      <c r="P29" t="str">
        <f>_xlfn.XLOOKUP(Loans[[#This Row],[BranchCode]],BranchesTbl[BranchCode],BranchesTbl[BranchName])</f>
        <v>Machakos</v>
      </c>
      <c r="Q29">
        <f>_xlfn.XLOOKUP(Loans[[#This Row],[CustomerID]],CustomerTbl[CustomerID],CustomerTbl[RiskScore])</f>
        <v>748</v>
      </c>
      <c r="R29" t="str">
        <f>IFERROR(INDEX(RiskTbl[Risk_Category],MATCH(Loans[[#This Row],[RiskScore]],RiskTbl[Score_Min],1)),"Unknown")</f>
        <v>Very Low Risk</v>
      </c>
      <c r="S29" t="str">
        <f>IF(OR(Loans[[#This Row],[LoanStatus]]="Default",Loans[[#This Row],[LoanStatus]]="Watchlist",Loans[[#This Row],[CollateralRisk]]="Undersecured",Loans[[#This Row],[RiskCategory]]="High Risk"),"High Risk Exposure","Normal")</f>
        <v>High Risk Exposure</v>
      </c>
      <c r="T29" t="str" cm="1">
        <f t="array" ref="T29">_xlfn.IFS(
Loans[[#This Row],[LoanStatus]]="Default","Critical",
OR(Loans[[#This Row],[LoanStatus]]="Watchlist",Loans[[#This Row],[CollateralRisk]]="Undersecured",Loans[[#This Row],[RiskCategory]]="High Risk"),"High",
TRUE,"Normal"
)</f>
        <v>High</v>
      </c>
    </row>
    <row r="30" spans="1:20" x14ac:dyDescent="0.35">
      <c r="A30" t="s">
        <v>240</v>
      </c>
      <c r="B30" t="s">
        <v>241</v>
      </c>
      <c r="C30" t="s">
        <v>239</v>
      </c>
      <c r="D30" t="s">
        <v>155</v>
      </c>
      <c r="E30" s="34">
        <v>500000</v>
      </c>
      <c r="F30" s="29">
        <v>0.19969999999999999</v>
      </c>
      <c r="G30" s="30">
        <v>44672</v>
      </c>
      <c r="H30">
        <v>48</v>
      </c>
      <c r="I30">
        <v>0</v>
      </c>
      <c r="J30" s="34">
        <v>0</v>
      </c>
      <c r="K30" t="s">
        <v>171</v>
      </c>
      <c r="L30" s="34">
        <f>PMT(Loans[[#This Row],[InterestRate]]/12,Loans[[#This Row],[LoanTenureMonths]],-Loans[[#This Row],[LoanAmount]])</f>
        <v>15207.190397201568</v>
      </c>
      <c r="M30" s="30">
        <f>EDATE(Loans[[#This Row],[LoanStartDate]],Loans[[#This Row],[LoanTenureMonths]])</f>
        <v>46133</v>
      </c>
      <c r="N30" s="33">
        <f>IF(Loans[[#This Row],[LoanAmount]]=0,0,Loans[[#This Row],[CollateralValue]]/Loans[[#This Row],[LoanAmount]])</f>
        <v>0</v>
      </c>
      <c r="O30" t="str">
        <f>IF(Loans[[#This Row],[CollateralCoverageRatio]]&lt;1,"Undersecured","Secured")</f>
        <v>Undersecured</v>
      </c>
      <c r="P30" t="str">
        <f>_xlfn.XLOOKUP(Loans[[#This Row],[BranchCode]],BranchesTbl[BranchCode],BranchesTbl[BranchName])</f>
        <v>Machakos</v>
      </c>
      <c r="Q30">
        <f>_xlfn.XLOOKUP(Loans[[#This Row],[CustomerID]],CustomerTbl[CustomerID],CustomerTbl[RiskScore])</f>
        <v>648</v>
      </c>
      <c r="R30" t="str">
        <f>IFERROR(INDEX(RiskTbl[Risk_Category],MATCH(Loans[[#This Row],[RiskScore]],RiskTbl[Score_Min],1)),"Unknown")</f>
        <v>Medium Risk</v>
      </c>
      <c r="S30" t="str">
        <f>IF(OR(Loans[[#This Row],[LoanStatus]]="Default",Loans[[#This Row],[LoanStatus]]="Watchlist",Loans[[#This Row],[CollateralRisk]]="Undersecured",Loans[[#This Row],[RiskCategory]]="High Risk"),"High Risk Exposure","Normal")</f>
        <v>High Risk Exposure</v>
      </c>
      <c r="T30" t="str" cm="1">
        <f t="array" ref="T30">_xlfn.IFS(
Loans[[#This Row],[LoanStatus]]="Default","Critical",
OR(Loans[[#This Row],[LoanStatus]]="Watchlist",Loans[[#This Row],[CollateralRisk]]="Undersecured",Loans[[#This Row],[RiskCategory]]="High Risk"),"High",
TRUE,"Normal"
)</f>
        <v>High</v>
      </c>
    </row>
    <row r="31" spans="1:20" x14ac:dyDescent="0.35">
      <c r="A31" t="s">
        <v>242</v>
      </c>
      <c r="B31" t="s">
        <v>243</v>
      </c>
      <c r="C31" t="s">
        <v>190</v>
      </c>
      <c r="D31" t="s">
        <v>157</v>
      </c>
      <c r="E31" s="34">
        <v>25000000</v>
      </c>
      <c r="F31" s="29">
        <v>0.1056</v>
      </c>
      <c r="G31" s="30">
        <v>45329</v>
      </c>
      <c r="H31">
        <v>72</v>
      </c>
      <c r="I31">
        <v>0</v>
      </c>
      <c r="J31" s="34">
        <v>22250000</v>
      </c>
      <c r="K31" t="s">
        <v>171</v>
      </c>
      <c r="L31" s="34">
        <f>PMT(Loans[[#This Row],[InterestRate]]/12,Loans[[#This Row],[LoanTenureMonths]],-Loans[[#This Row],[LoanAmount]])</f>
        <v>470236.97111612029</v>
      </c>
      <c r="M31" s="30">
        <f>EDATE(Loans[[#This Row],[LoanStartDate]],Loans[[#This Row],[LoanTenureMonths]])</f>
        <v>47521</v>
      </c>
      <c r="N31" s="33">
        <f>IF(Loans[[#This Row],[LoanAmount]]=0,0,Loans[[#This Row],[CollateralValue]]/Loans[[#This Row],[LoanAmount]])</f>
        <v>0.89</v>
      </c>
      <c r="O31" t="str">
        <f>IF(Loans[[#This Row],[CollateralCoverageRatio]]&lt;1,"Undersecured","Secured")</f>
        <v>Undersecured</v>
      </c>
      <c r="P31" t="str">
        <f>_xlfn.XLOOKUP(Loans[[#This Row],[BranchCode]],BranchesTbl[BranchCode],BranchesTbl[BranchName])</f>
        <v>Nyeri</v>
      </c>
      <c r="Q31">
        <f>_xlfn.XLOOKUP(Loans[[#This Row],[CustomerID]],CustomerTbl[CustomerID],CustomerTbl[RiskScore])</f>
        <v>309</v>
      </c>
      <c r="R31" t="str">
        <f>IFERROR(INDEX(RiskTbl[Risk_Category],MATCH(Loans[[#This Row],[RiskScore]],RiskTbl[Score_Min],1)),"Unknown")</f>
        <v>High Risk</v>
      </c>
      <c r="S31" t="str">
        <f>IF(OR(Loans[[#This Row],[LoanStatus]]="Default",Loans[[#This Row],[LoanStatus]]="Watchlist",Loans[[#This Row],[CollateralRisk]]="Undersecured",Loans[[#This Row],[RiskCategory]]="High Risk"),"High Risk Exposure","Normal")</f>
        <v>High Risk Exposure</v>
      </c>
      <c r="T31" t="str" cm="1">
        <f t="array" ref="T31">_xlfn.IFS(
Loans[[#This Row],[LoanStatus]]="Default","Critical",
OR(Loans[[#This Row],[LoanStatus]]="Watchlist",Loans[[#This Row],[CollateralRisk]]="Undersecured",Loans[[#This Row],[RiskCategory]]="High Risk"),"High",
TRUE,"Normal"
)</f>
        <v>High</v>
      </c>
    </row>
    <row r="32" spans="1:20" x14ac:dyDescent="0.35">
      <c r="A32" t="s">
        <v>244</v>
      </c>
      <c r="B32" t="s">
        <v>245</v>
      </c>
      <c r="C32" t="s">
        <v>219</v>
      </c>
      <c r="D32" t="s">
        <v>156</v>
      </c>
      <c r="E32" s="34">
        <v>1000000</v>
      </c>
      <c r="F32" s="29">
        <v>0.17829999999999999</v>
      </c>
      <c r="G32" s="30">
        <v>44054</v>
      </c>
      <c r="H32">
        <v>48</v>
      </c>
      <c r="I32">
        <v>90</v>
      </c>
      <c r="J32" s="34">
        <v>1220000</v>
      </c>
      <c r="K32" t="s">
        <v>199</v>
      </c>
      <c r="L32" s="34">
        <f>PMT(Loans[[#This Row],[InterestRate]]/12,Loans[[#This Row],[LoanTenureMonths]],-Loans[[#This Row],[LoanAmount]])</f>
        <v>29286.241771457426</v>
      </c>
      <c r="M32" s="30">
        <f>EDATE(Loans[[#This Row],[LoanStartDate]],Loans[[#This Row],[LoanTenureMonths]])</f>
        <v>45515</v>
      </c>
      <c r="N32" s="33">
        <f>IF(Loans[[#This Row],[LoanAmount]]=0,0,Loans[[#This Row],[CollateralValue]]/Loans[[#This Row],[LoanAmount]])</f>
        <v>1.22</v>
      </c>
      <c r="O32" t="str">
        <f>IF(Loans[[#This Row],[CollateralCoverageRatio]]&lt;1,"Undersecured","Secured")</f>
        <v>Secured</v>
      </c>
      <c r="P32" t="str">
        <f>_xlfn.XLOOKUP(Loans[[#This Row],[BranchCode]],BranchesTbl[BranchCode],BranchesTbl[BranchName])</f>
        <v>Meru</v>
      </c>
      <c r="Q32">
        <f>_xlfn.XLOOKUP(Loans[[#This Row],[CustomerID]],CustomerTbl[CustomerID],CustomerTbl[RiskScore])</f>
        <v>763</v>
      </c>
      <c r="R32" t="str">
        <f>IFERROR(INDEX(RiskTbl[Risk_Category],MATCH(Loans[[#This Row],[RiskScore]],RiskTbl[Score_Min],1)),"Unknown")</f>
        <v>Very Low Risk</v>
      </c>
      <c r="S32" t="str">
        <f>IF(OR(Loans[[#This Row],[LoanStatus]]="Default",Loans[[#This Row],[LoanStatus]]="Watchlist",Loans[[#This Row],[CollateralRisk]]="Undersecured",Loans[[#This Row],[RiskCategory]]="High Risk"),"High Risk Exposure","Normal")</f>
        <v>High Risk Exposure</v>
      </c>
      <c r="T32" t="str" cm="1">
        <f t="array" ref="T32">_xlfn.IFS(
Loans[[#This Row],[LoanStatus]]="Default","Critical",
OR(Loans[[#This Row],[LoanStatus]]="Watchlist",Loans[[#This Row],[CollateralRisk]]="Undersecured",Loans[[#This Row],[RiskCategory]]="High Risk"),"High",
TRUE,"Normal"
)</f>
        <v>High</v>
      </c>
    </row>
    <row r="33" spans="1:20" x14ac:dyDescent="0.35">
      <c r="A33" t="s">
        <v>246</v>
      </c>
      <c r="B33" t="s">
        <v>247</v>
      </c>
      <c r="C33" t="s">
        <v>232</v>
      </c>
      <c r="D33" t="s">
        <v>158</v>
      </c>
      <c r="E33" s="34">
        <v>500000</v>
      </c>
      <c r="F33" s="29">
        <v>0.14480000000000001</v>
      </c>
      <c r="G33" s="30">
        <v>45710</v>
      </c>
      <c r="H33">
        <v>24</v>
      </c>
      <c r="I33">
        <v>0</v>
      </c>
      <c r="J33" s="34">
        <v>485000</v>
      </c>
      <c r="K33" t="s">
        <v>171</v>
      </c>
      <c r="L33" s="34">
        <f>PMT(Loans[[#This Row],[InterestRate]]/12,Loans[[#This Row],[LoanTenureMonths]],-Loans[[#This Row],[LoanAmount]])</f>
        <v>24119.976640298064</v>
      </c>
      <c r="M33" s="30">
        <f>EDATE(Loans[[#This Row],[LoanStartDate]],Loans[[#This Row],[LoanTenureMonths]])</f>
        <v>46440</v>
      </c>
      <c r="N33" s="33">
        <f>IF(Loans[[#This Row],[LoanAmount]]=0,0,Loans[[#This Row],[CollateralValue]]/Loans[[#This Row],[LoanAmount]])</f>
        <v>0.97</v>
      </c>
      <c r="O33" t="str">
        <f>IF(Loans[[#This Row],[CollateralCoverageRatio]]&lt;1,"Undersecured","Secured")</f>
        <v>Undersecured</v>
      </c>
      <c r="P33" t="str">
        <f>_xlfn.XLOOKUP(Loans[[#This Row],[BranchCode]],BranchesTbl[BranchCode],BranchesTbl[BranchName])</f>
        <v>Upper Hill</v>
      </c>
      <c r="Q33">
        <f>_xlfn.XLOOKUP(Loans[[#This Row],[CustomerID]],CustomerTbl[CustomerID],CustomerTbl[RiskScore])</f>
        <v>795</v>
      </c>
      <c r="R33" t="str">
        <f>IFERROR(INDEX(RiskTbl[Risk_Category],MATCH(Loans[[#This Row],[RiskScore]],RiskTbl[Score_Min],1)),"Unknown")</f>
        <v>Very Low Risk</v>
      </c>
      <c r="S33" t="str">
        <f>IF(OR(Loans[[#This Row],[LoanStatus]]="Default",Loans[[#This Row],[LoanStatus]]="Watchlist",Loans[[#This Row],[CollateralRisk]]="Undersecured",Loans[[#This Row],[RiskCategory]]="High Risk"),"High Risk Exposure","Normal")</f>
        <v>High Risk Exposure</v>
      </c>
      <c r="T33" t="str" cm="1">
        <f t="array" ref="T33">_xlfn.IFS(
Loans[[#This Row],[LoanStatus]]="Default","Critical",
OR(Loans[[#This Row],[LoanStatus]]="Watchlist",Loans[[#This Row],[CollateralRisk]]="Undersecured",Loans[[#This Row],[RiskCategory]]="High Risk"),"High",
TRUE,"Normal"
)</f>
        <v>High</v>
      </c>
    </row>
    <row r="34" spans="1:20" x14ac:dyDescent="0.35">
      <c r="A34" t="s">
        <v>248</v>
      </c>
      <c r="B34" t="s">
        <v>249</v>
      </c>
      <c r="C34" t="s">
        <v>193</v>
      </c>
      <c r="D34" t="s">
        <v>157</v>
      </c>
      <c r="E34" s="34">
        <v>80000000</v>
      </c>
      <c r="F34" s="29">
        <v>0.1162</v>
      </c>
      <c r="G34" s="30">
        <v>45469</v>
      </c>
      <c r="H34">
        <v>12</v>
      </c>
      <c r="I34">
        <v>0</v>
      </c>
      <c r="J34" s="34">
        <v>78400000</v>
      </c>
      <c r="K34" t="s">
        <v>171</v>
      </c>
      <c r="L34" s="34">
        <f>PMT(Loans[[#This Row],[InterestRate]]/12,Loans[[#This Row],[LoanTenureMonths]],-Loans[[#This Row],[LoanAmount]])</f>
        <v>7093689.5416380018</v>
      </c>
      <c r="M34" s="30">
        <f>EDATE(Loans[[#This Row],[LoanStartDate]],Loans[[#This Row],[LoanTenureMonths]])</f>
        <v>45834</v>
      </c>
      <c r="N34" s="33">
        <f>IF(Loans[[#This Row],[LoanAmount]]=0,0,Loans[[#This Row],[CollateralValue]]/Loans[[#This Row],[LoanAmount]])</f>
        <v>0.98</v>
      </c>
      <c r="O34" t="str">
        <f>IF(Loans[[#This Row],[CollateralCoverageRatio]]&lt;1,"Undersecured","Secured")</f>
        <v>Undersecured</v>
      </c>
      <c r="P34" t="str">
        <f>_xlfn.XLOOKUP(Loans[[#This Row],[BranchCode]],BranchesTbl[BranchCode],BranchesTbl[BranchName])</f>
        <v>Mombasa</v>
      </c>
      <c r="Q34">
        <f>_xlfn.XLOOKUP(Loans[[#This Row],[CustomerID]],CustomerTbl[CustomerID],CustomerTbl[RiskScore])</f>
        <v>639</v>
      </c>
      <c r="R34" t="str">
        <f>IFERROR(INDEX(RiskTbl[Risk_Category],MATCH(Loans[[#This Row],[RiskScore]],RiskTbl[Score_Min],1)),"Unknown")</f>
        <v>Medium Risk</v>
      </c>
      <c r="S34" t="str">
        <f>IF(OR(Loans[[#This Row],[LoanStatus]]="Default",Loans[[#This Row],[LoanStatus]]="Watchlist",Loans[[#This Row],[CollateralRisk]]="Undersecured",Loans[[#This Row],[RiskCategory]]="High Risk"),"High Risk Exposure","Normal")</f>
        <v>High Risk Exposure</v>
      </c>
      <c r="T34" t="str" cm="1">
        <f t="array" ref="T34">_xlfn.IFS(
Loans[[#This Row],[LoanStatus]]="Default","Critical",
OR(Loans[[#This Row],[LoanStatus]]="Watchlist",Loans[[#This Row],[CollateralRisk]]="Undersecured",Loans[[#This Row],[RiskCategory]]="High Risk"),"High",
TRUE,"Normal"
)</f>
        <v>High</v>
      </c>
    </row>
    <row r="35" spans="1:20" x14ac:dyDescent="0.35">
      <c r="A35" t="s">
        <v>250</v>
      </c>
      <c r="B35" t="s">
        <v>210</v>
      </c>
      <c r="C35" t="s">
        <v>184</v>
      </c>
      <c r="D35" t="s">
        <v>155</v>
      </c>
      <c r="E35" s="34">
        <v>100000</v>
      </c>
      <c r="F35" s="29">
        <v>0.1658</v>
      </c>
      <c r="G35" s="30">
        <v>44562</v>
      </c>
      <c r="H35">
        <v>36</v>
      </c>
      <c r="I35">
        <v>0</v>
      </c>
      <c r="J35" s="34">
        <v>0</v>
      </c>
      <c r="K35" t="s">
        <v>171</v>
      </c>
      <c r="L35" s="34">
        <f>PMT(Loans[[#This Row],[InterestRate]]/12,Loans[[#This Row],[LoanTenureMonths]],-Loans[[#This Row],[LoanAmount]])</f>
        <v>3544.405090462029</v>
      </c>
      <c r="M35" s="30">
        <f>EDATE(Loans[[#This Row],[LoanStartDate]],Loans[[#This Row],[LoanTenureMonths]])</f>
        <v>45658</v>
      </c>
      <c r="N35" s="33">
        <f>IF(Loans[[#This Row],[LoanAmount]]=0,0,Loans[[#This Row],[CollateralValue]]/Loans[[#This Row],[LoanAmount]])</f>
        <v>0</v>
      </c>
      <c r="O35" t="str">
        <f>IF(Loans[[#This Row],[CollateralCoverageRatio]]&lt;1,"Undersecured","Secured")</f>
        <v>Undersecured</v>
      </c>
      <c r="P35" t="str">
        <f>_xlfn.XLOOKUP(Loans[[#This Row],[BranchCode]],BranchesTbl[BranchCode],BranchesTbl[BranchName])</f>
        <v>Kisumu</v>
      </c>
      <c r="Q35">
        <f>_xlfn.XLOOKUP(Loans[[#This Row],[CustomerID]],CustomerTbl[CustomerID],CustomerTbl[RiskScore])</f>
        <v>614</v>
      </c>
      <c r="R35" t="str">
        <f>IFERROR(INDEX(RiskTbl[Risk_Category],MATCH(Loans[[#This Row],[RiskScore]],RiskTbl[Score_Min],1)),"Unknown")</f>
        <v>Medium Risk</v>
      </c>
      <c r="S35" t="str">
        <f>IF(OR(Loans[[#This Row],[LoanStatus]]="Default",Loans[[#This Row],[LoanStatus]]="Watchlist",Loans[[#This Row],[CollateralRisk]]="Undersecured",Loans[[#This Row],[RiskCategory]]="High Risk"),"High Risk Exposure","Normal")</f>
        <v>High Risk Exposure</v>
      </c>
      <c r="T35" t="str" cm="1">
        <f t="array" ref="T35">_xlfn.IFS(
Loans[[#This Row],[LoanStatus]]="Default","Critical",
OR(Loans[[#This Row],[LoanStatus]]="Watchlist",Loans[[#This Row],[CollateralRisk]]="Undersecured",Loans[[#This Row],[RiskCategory]]="High Risk"),"High",
TRUE,"Normal"
)</f>
        <v>High</v>
      </c>
    </row>
    <row r="36" spans="1:20" x14ac:dyDescent="0.35">
      <c r="A36" t="s">
        <v>251</v>
      </c>
      <c r="B36" t="s">
        <v>252</v>
      </c>
      <c r="C36" t="s">
        <v>190</v>
      </c>
      <c r="D36" t="s">
        <v>156</v>
      </c>
      <c r="E36" s="34">
        <v>25000000</v>
      </c>
      <c r="F36" s="29">
        <v>0.17119999999999999</v>
      </c>
      <c r="G36" s="30">
        <v>44330</v>
      </c>
      <c r="H36">
        <v>36</v>
      </c>
      <c r="I36">
        <v>0</v>
      </c>
      <c r="J36" s="34">
        <v>37500000</v>
      </c>
      <c r="K36" t="s">
        <v>171</v>
      </c>
      <c r="L36" s="34">
        <f>PMT(Loans[[#This Row],[InterestRate]]/12,Loans[[#This Row],[LoanTenureMonths]],-Loans[[#This Row],[LoanAmount]])</f>
        <v>892811.95541072416</v>
      </c>
      <c r="M36" s="30">
        <f>EDATE(Loans[[#This Row],[LoanStartDate]],Loans[[#This Row],[LoanTenureMonths]])</f>
        <v>45426</v>
      </c>
      <c r="N36" s="33">
        <f>IF(Loans[[#This Row],[LoanAmount]]=0,0,Loans[[#This Row],[CollateralValue]]/Loans[[#This Row],[LoanAmount]])</f>
        <v>1.5</v>
      </c>
      <c r="O36" t="str">
        <f>IF(Loans[[#This Row],[CollateralCoverageRatio]]&lt;1,"Undersecured","Secured")</f>
        <v>Secured</v>
      </c>
      <c r="P36" t="str">
        <f>_xlfn.XLOOKUP(Loans[[#This Row],[BranchCode]],BranchesTbl[BranchCode],BranchesTbl[BranchName])</f>
        <v>Nyeri</v>
      </c>
      <c r="Q36">
        <f>_xlfn.XLOOKUP(Loans[[#This Row],[CustomerID]],CustomerTbl[CustomerID],CustomerTbl[RiskScore])</f>
        <v>430</v>
      </c>
      <c r="R36" t="str">
        <f>IFERROR(INDEX(RiskTbl[Risk_Category],MATCH(Loans[[#This Row],[RiskScore]],RiskTbl[Score_Min],1)),"Unknown")</f>
        <v>High Risk</v>
      </c>
      <c r="S36" t="str">
        <f>IF(OR(Loans[[#This Row],[LoanStatus]]="Default",Loans[[#This Row],[LoanStatus]]="Watchlist",Loans[[#This Row],[CollateralRisk]]="Undersecured",Loans[[#This Row],[RiskCategory]]="High Risk"),"High Risk Exposure","Normal")</f>
        <v>High Risk Exposure</v>
      </c>
      <c r="T36" t="str" cm="1">
        <f t="array" ref="T36">_xlfn.IFS(
Loans[[#This Row],[LoanStatus]]="Default","Critical",
OR(Loans[[#This Row],[LoanStatus]]="Watchlist",Loans[[#This Row],[CollateralRisk]]="Undersecured",Loans[[#This Row],[RiskCategory]]="High Risk"),"High",
TRUE,"Normal"
)</f>
        <v>High</v>
      </c>
    </row>
    <row r="37" spans="1:20" x14ac:dyDescent="0.35">
      <c r="A37" t="s">
        <v>253</v>
      </c>
      <c r="B37" t="s">
        <v>254</v>
      </c>
      <c r="C37" t="s">
        <v>187</v>
      </c>
      <c r="D37" t="s">
        <v>157</v>
      </c>
      <c r="E37" s="34">
        <v>6000000</v>
      </c>
      <c r="F37" s="29">
        <v>0.11609999999999999</v>
      </c>
      <c r="G37" s="30">
        <v>45112</v>
      </c>
      <c r="H37">
        <v>24</v>
      </c>
      <c r="I37">
        <v>0</v>
      </c>
      <c r="J37" s="34">
        <v>3420000</v>
      </c>
      <c r="K37" t="s">
        <v>171</v>
      </c>
      <c r="L37" s="34">
        <f>PMT(Loans[[#This Row],[InterestRate]]/12,Loans[[#This Row],[LoanTenureMonths]],-Loans[[#This Row],[LoanAmount]])</f>
        <v>281349.30911263399</v>
      </c>
      <c r="M37" s="30">
        <f>EDATE(Loans[[#This Row],[LoanStartDate]],Loans[[#This Row],[LoanTenureMonths]])</f>
        <v>45843</v>
      </c>
      <c r="N37" s="33">
        <f>IF(Loans[[#This Row],[LoanAmount]]=0,0,Loans[[#This Row],[CollateralValue]]/Loans[[#This Row],[LoanAmount]])</f>
        <v>0.56999999999999995</v>
      </c>
      <c r="O37" t="str">
        <f>IF(Loans[[#This Row],[CollateralCoverageRatio]]&lt;1,"Undersecured","Secured")</f>
        <v>Undersecured</v>
      </c>
      <c r="P37" t="str">
        <f>_xlfn.XLOOKUP(Loans[[#This Row],[BranchCode]],BranchesTbl[BranchCode],BranchesTbl[BranchName])</f>
        <v>Eldoret</v>
      </c>
      <c r="Q37">
        <f>_xlfn.XLOOKUP(Loans[[#This Row],[CustomerID]],CustomerTbl[CustomerID],CustomerTbl[RiskScore])</f>
        <v>535</v>
      </c>
      <c r="R37" t="str">
        <f>IFERROR(INDEX(RiskTbl[Risk_Category],MATCH(Loans[[#This Row],[RiskScore]],RiskTbl[Score_Min],1)),"Unknown")</f>
        <v>High Risk</v>
      </c>
      <c r="S37" t="str">
        <f>IF(OR(Loans[[#This Row],[LoanStatus]]="Default",Loans[[#This Row],[LoanStatus]]="Watchlist",Loans[[#This Row],[CollateralRisk]]="Undersecured",Loans[[#This Row],[RiskCategory]]="High Risk"),"High Risk Exposure","Normal")</f>
        <v>High Risk Exposure</v>
      </c>
      <c r="T37" t="str" cm="1">
        <f t="array" ref="T37">_xlfn.IFS(
Loans[[#This Row],[LoanStatus]]="Default","Critical",
OR(Loans[[#This Row],[LoanStatus]]="Watchlist",Loans[[#This Row],[CollateralRisk]]="Undersecured",Loans[[#This Row],[RiskCategory]]="High Risk"),"High",
TRUE,"Normal"
)</f>
        <v>High</v>
      </c>
    </row>
    <row r="38" spans="1:20" x14ac:dyDescent="0.35">
      <c r="A38" t="s">
        <v>255</v>
      </c>
      <c r="B38" t="s">
        <v>256</v>
      </c>
      <c r="C38" t="s">
        <v>190</v>
      </c>
      <c r="D38" t="s">
        <v>158</v>
      </c>
      <c r="E38" s="34">
        <v>6000000</v>
      </c>
      <c r="F38" s="29">
        <v>0.1205</v>
      </c>
      <c r="G38" s="30">
        <v>43877</v>
      </c>
      <c r="H38">
        <v>12</v>
      </c>
      <c r="I38">
        <v>120</v>
      </c>
      <c r="J38" s="34">
        <v>7140000</v>
      </c>
      <c r="K38" t="s">
        <v>178</v>
      </c>
      <c r="L38" s="34">
        <f>PMT(Loans[[#This Row],[InterestRate]]/12,Loans[[#This Row],[LoanTenureMonths]],-Loans[[#This Row],[LoanAmount]])</f>
        <v>533233.08492488449</v>
      </c>
      <c r="M38" s="30">
        <f>EDATE(Loans[[#This Row],[LoanStartDate]],Loans[[#This Row],[LoanTenureMonths]])</f>
        <v>44243</v>
      </c>
      <c r="N38" s="33">
        <f>IF(Loans[[#This Row],[LoanAmount]]=0,0,Loans[[#This Row],[CollateralValue]]/Loans[[#This Row],[LoanAmount]])</f>
        <v>1.19</v>
      </c>
      <c r="O38" t="str">
        <f>IF(Loans[[#This Row],[CollateralCoverageRatio]]&lt;1,"Undersecured","Secured")</f>
        <v>Secured</v>
      </c>
      <c r="P38" t="str">
        <f>_xlfn.XLOOKUP(Loans[[#This Row],[BranchCode]],BranchesTbl[BranchCode],BranchesTbl[BranchName])</f>
        <v>Nyeri</v>
      </c>
      <c r="Q38">
        <f>_xlfn.XLOOKUP(Loans[[#This Row],[CustomerID]],CustomerTbl[CustomerID],CustomerTbl[RiskScore])</f>
        <v>659</v>
      </c>
      <c r="R38" t="str">
        <f>IFERROR(INDEX(RiskTbl[Risk_Category],MATCH(Loans[[#This Row],[RiskScore]],RiskTbl[Score_Min],1)),"Unknown")</f>
        <v>Medium Risk</v>
      </c>
      <c r="S38" t="str">
        <f>IF(OR(Loans[[#This Row],[LoanStatus]]="Default",Loans[[#This Row],[LoanStatus]]="Watchlist",Loans[[#This Row],[CollateralRisk]]="Undersecured",Loans[[#This Row],[RiskCategory]]="High Risk"),"High Risk Exposure","Normal")</f>
        <v>High Risk Exposure</v>
      </c>
      <c r="T38" t="str" cm="1">
        <f t="array" ref="T38">_xlfn.IFS(
Loans[[#This Row],[LoanStatus]]="Default","Critical",
OR(Loans[[#This Row],[LoanStatus]]="Watchlist",Loans[[#This Row],[CollateralRisk]]="Undersecured",Loans[[#This Row],[RiskCategory]]="High Risk"),"High",
TRUE,"Normal"
)</f>
        <v>Critical</v>
      </c>
    </row>
    <row r="39" spans="1:20" x14ac:dyDescent="0.35">
      <c r="A39" t="s">
        <v>257</v>
      </c>
      <c r="B39" t="s">
        <v>258</v>
      </c>
      <c r="C39" t="s">
        <v>184</v>
      </c>
      <c r="D39" t="s">
        <v>157</v>
      </c>
      <c r="E39" s="34">
        <v>25000000</v>
      </c>
      <c r="F39" s="29">
        <v>9.9299999999999999E-2</v>
      </c>
      <c r="G39" s="30">
        <v>43887</v>
      </c>
      <c r="H39">
        <v>60</v>
      </c>
      <c r="I39">
        <v>120</v>
      </c>
      <c r="J39" s="34">
        <v>28500000</v>
      </c>
      <c r="K39" t="s">
        <v>178</v>
      </c>
      <c r="L39" s="34">
        <f>PMT(Loans[[#This Row],[InterestRate]]/12,Loans[[#This Row],[LoanTenureMonths]],-Loans[[#This Row],[LoanAmount]])</f>
        <v>530315.45617786027</v>
      </c>
      <c r="M39" s="30">
        <f>EDATE(Loans[[#This Row],[LoanStartDate]],Loans[[#This Row],[LoanTenureMonths]])</f>
        <v>45714</v>
      </c>
      <c r="N39" s="33">
        <f>IF(Loans[[#This Row],[LoanAmount]]=0,0,Loans[[#This Row],[CollateralValue]]/Loans[[#This Row],[LoanAmount]])</f>
        <v>1.1399999999999999</v>
      </c>
      <c r="O39" t="str">
        <f>IF(Loans[[#This Row],[CollateralCoverageRatio]]&lt;1,"Undersecured","Secured")</f>
        <v>Secured</v>
      </c>
      <c r="P39" t="str">
        <f>_xlfn.XLOOKUP(Loans[[#This Row],[BranchCode]],BranchesTbl[BranchCode],BranchesTbl[BranchName])</f>
        <v>Kisumu</v>
      </c>
      <c r="Q39">
        <f>_xlfn.XLOOKUP(Loans[[#This Row],[CustomerID]],CustomerTbl[CustomerID],CustomerTbl[RiskScore])</f>
        <v>333</v>
      </c>
      <c r="R39" t="str">
        <f>IFERROR(INDEX(RiskTbl[Risk_Category],MATCH(Loans[[#This Row],[RiskScore]],RiskTbl[Score_Min],1)),"Unknown")</f>
        <v>High Risk</v>
      </c>
      <c r="S39" t="str">
        <f>IF(OR(Loans[[#This Row],[LoanStatus]]="Default",Loans[[#This Row],[LoanStatus]]="Watchlist",Loans[[#This Row],[CollateralRisk]]="Undersecured",Loans[[#This Row],[RiskCategory]]="High Risk"),"High Risk Exposure","Normal")</f>
        <v>High Risk Exposure</v>
      </c>
      <c r="T39" t="str" cm="1">
        <f t="array" ref="T39">_xlfn.IFS(
Loans[[#This Row],[LoanStatus]]="Default","Critical",
OR(Loans[[#This Row],[LoanStatus]]="Watchlist",Loans[[#This Row],[CollateralRisk]]="Undersecured",Loans[[#This Row],[RiskCategory]]="High Risk"),"High",
TRUE,"Normal"
)</f>
        <v>Critical</v>
      </c>
    </row>
    <row r="40" spans="1:20" x14ac:dyDescent="0.35">
      <c r="A40" t="s">
        <v>259</v>
      </c>
      <c r="B40" t="s">
        <v>260</v>
      </c>
      <c r="C40" t="s">
        <v>184</v>
      </c>
      <c r="D40" t="s">
        <v>157</v>
      </c>
      <c r="E40" s="34">
        <v>6000000</v>
      </c>
      <c r="F40" s="29">
        <v>0.11459999999999999</v>
      </c>
      <c r="G40" s="30">
        <v>45732</v>
      </c>
      <c r="H40">
        <v>12</v>
      </c>
      <c r="I40">
        <v>0</v>
      </c>
      <c r="J40" s="34">
        <v>8280000</v>
      </c>
      <c r="K40" t="s">
        <v>171</v>
      </c>
      <c r="L40" s="34">
        <f>PMT(Loans[[#This Row],[InterestRate]]/12,Loans[[#This Row],[LoanTenureMonths]],-Loans[[#This Row],[LoanAmount]])</f>
        <v>531578.21845398785</v>
      </c>
      <c r="M40" s="30">
        <f>EDATE(Loans[[#This Row],[LoanStartDate]],Loans[[#This Row],[LoanTenureMonths]])</f>
        <v>46097</v>
      </c>
      <c r="N40" s="33">
        <f>IF(Loans[[#This Row],[LoanAmount]]=0,0,Loans[[#This Row],[CollateralValue]]/Loans[[#This Row],[LoanAmount]])</f>
        <v>1.38</v>
      </c>
      <c r="O40" t="str">
        <f>IF(Loans[[#This Row],[CollateralCoverageRatio]]&lt;1,"Undersecured","Secured")</f>
        <v>Secured</v>
      </c>
      <c r="P40" t="str">
        <f>_xlfn.XLOOKUP(Loans[[#This Row],[BranchCode]],BranchesTbl[BranchCode],BranchesTbl[BranchName])</f>
        <v>Kisumu</v>
      </c>
      <c r="Q40">
        <f>_xlfn.XLOOKUP(Loans[[#This Row],[CustomerID]],CustomerTbl[CustomerID],CustomerTbl[RiskScore])</f>
        <v>350</v>
      </c>
      <c r="R40" t="str">
        <f>IFERROR(INDEX(RiskTbl[Risk_Category],MATCH(Loans[[#This Row],[RiskScore]],RiskTbl[Score_Min],1)),"Unknown")</f>
        <v>High Risk</v>
      </c>
      <c r="S40" t="str">
        <f>IF(OR(Loans[[#This Row],[LoanStatus]]="Default",Loans[[#This Row],[LoanStatus]]="Watchlist",Loans[[#This Row],[CollateralRisk]]="Undersecured",Loans[[#This Row],[RiskCategory]]="High Risk"),"High Risk Exposure","Normal")</f>
        <v>High Risk Exposure</v>
      </c>
      <c r="T40" t="str" cm="1">
        <f t="array" ref="T40">_xlfn.IFS(
Loans[[#This Row],[LoanStatus]]="Default","Critical",
OR(Loans[[#This Row],[LoanStatus]]="Watchlist",Loans[[#This Row],[CollateralRisk]]="Undersecured",Loans[[#This Row],[RiskCategory]]="High Risk"),"High",
TRUE,"Normal"
)</f>
        <v>High</v>
      </c>
    </row>
    <row r="41" spans="1:20" x14ac:dyDescent="0.35">
      <c r="A41" t="s">
        <v>261</v>
      </c>
      <c r="B41" t="s">
        <v>262</v>
      </c>
      <c r="C41" t="s">
        <v>190</v>
      </c>
      <c r="D41" t="s">
        <v>157</v>
      </c>
      <c r="E41" s="34">
        <v>25000000</v>
      </c>
      <c r="F41" s="29">
        <v>0.1028</v>
      </c>
      <c r="G41" s="30">
        <v>44157</v>
      </c>
      <c r="H41">
        <v>24</v>
      </c>
      <c r="I41">
        <v>0</v>
      </c>
      <c r="J41" s="34">
        <v>23000000</v>
      </c>
      <c r="K41" t="s">
        <v>171</v>
      </c>
      <c r="L41" s="34">
        <f>PMT(Loans[[#This Row],[InterestRate]]/12,Loans[[#This Row],[LoanTenureMonths]],-Loans[[#This Row],[LoanAmount]])</f>
        <v>1156856.6733585666</v>
      </c>
      <c r="M41" s="30">
        <f>EDATE(Loans[[#This Row],[LoanStartDate]],Loans[[#This Row],[LoanTenureMonths]])</f>
        <v>44887</v>
      </c>
      <c r="N41" s="33">
        <f>IF(Loans[[#This Row],[LoanAmount]]=0,0,Loans[[#This Row],[CollateralValue]]/Loans[[#This Row],[LoanAmount]])</f>
        <v>0.92</v>
      </c>
      <c r="O41" t="str">
        <f>IF(Loans[[#This Row],[CollateralCoverageRatio]]&lt;1,"Undersecured","Secured")</f>
        <v>Undersecured</v>
      </c>
      <c r="P41" t="str">
        <f>_xlfn.XLOOKUP(Loans[[#This Row],[BranchCode]],BranchesTbl[BranchCode],BranchesTbl[BranchName])</f>
        <v>Nyeri</v>
      </c>
      <c r="Q41">
        <f>_xlfn.XLOOKUP(Loans[[#This Row],[CustomerID]],CustomerTbl[CustomerID],CustomerTbl[RiskScore])</f>
        <v>714</v>
      </c>
      <c r="R41" t="str">
        <f>IFERROR(INDEX(RiskTbl[Risk_Category],MATCH(Loans[[#This Row],[RiskScore]],RiskTbl[Score_Min],1)),"Unknown")</f>
        <v>Low Risk</v>
      </c>
      <c r="S41" t="str">
        <f>IF(OR(Loans[[#This Row],[LoanStatus]]="Default",Loans[[#This Row],[LoanStatus]]="Watchlist",Loans[[#This Row],[CollateralRisk]]="Undersecured",Loans[[#This Row],[RiskCategory]]="High Risk"),"High Risk Exposure","Normal")</f>
        <v>High Risk Exposure</v>
      </c>
      <c r="T41" t="str" cm="1">
        <f t="array" ref="T41">_xlfn.IFS(
Loans[[#This Row],[LoanStatus]]="Default","Critical",
OR(Loans[[#This Row],[LoanStatus]]="Watchlist",Loans[[#This Row],[CollateralRisk]]="Undersecured",Loans[[#This Row],[RiskCategory]]="High Risk"),"High",
TRUE,"Normal"
)</f>
        <v>High</v>
      </c>
    </row>
    <row r="42" spans="1:20" x14ac:dyDescent="0.35">
      <c r="A42" t="s">
        <v>263</v>
      </c>
      <c r="B42" t="s">
        <v>264</v>
      </c>
      <c r="C42" t="s">
        <v>206</v>
      </c>
      <c r="D42" t="s">
        <v>157</v>
      </c>
      <c r="E42" s="34">
        <v>25000000</v>
      </c>
      <c r="F42" s="29">
        <v>0.13120000000000001</v>
      </c>
      <c r="G42" s="30">
        <v>44431</v>
      </c>
      <c r="H42">
        <v>60</v>
      </c>
      <c r="I42">
        <v>5</v>
      </c>
      <c r="J42" s="34">
        <v>24500000</v>
      </c>
      <c r="K42" t="s">
        <v>171</v>
      </c>
      <c r="L42" s="34">
        <f>PMT(Loans[[#This Row],[InterestRate]]/12,Loans[[#This Row],[LoanTenureMonths]],-Loans[[#This Row],[LoanAmount]])</f>
        <v>570363.734812457</v>
      </c>
      <c r="M42" s="30">
        <f>EDATE(Loans[[#This Row],[LoanStartDate]],Loans[[#This Row],[LoanTenureMonths]])</f>
        <v>46257</v>
      </c>
      <c r="N42" s="33">
        <f>IF(Loans[[#This Row],[LoanAmount]]=0,0,Loans[[#This Row],[CollateralValue]]/Loans[[#This Row],[LoanAmount]])</f>
        <v>0.98</v>
      </c>
      <c r="O42" t="str">
        <f>IF(Loans[[#This Row],[CollateralCoverageRatio]]&lt;1,"Undersecured","Secured")</f>
        <v>Undersecured</v>
      </c>
      <c r="P42" t="str">
        <f>_xlfn.XLOOKUP(Loans[[#This Row],[BranchCode]],BranchesTbl[BranchCode],BranchesTbl[BranchName])</f>
        <v>Nyahururu</v>
      </c>
      <c r="Q42">
        <f>_xlfn.XLOOKUP(Loans[[#This Row],[CustomerID]],CustomerTbl[CustomerID],CustomerTbl[RiskScore])</f>
        <v>316</v>
      </c>
      <c r="R42" t="str">
        <f>IFERROR(INDEX(RiskTbl[Risk_Category],MATCH(Loans[[#This Row],[RiskScore]],RiskTbl[Score_Min],1)),"Unknown")</f>
        <v>High Risk</v>
      </c>
      <c r="S42" t="str">
        <f>IF(OR(Loans[[#This Row],[LoanStatus]]="Default",Loans[[#This Row],[LoanStatus]]="Watchlist",Loans[[#This Row],[CollateralRisk]]="Undersecured",Loans[[#This Row],[RiskCategory]]="High Risk"),"High Risk Exposure","Normal")</f>
        <v>High Risk Exposure</v>
      </c>
      <c r="T42" t="str" cm="1">
        <f t="array" ref="T42">_xlfn.IFS(
Loans[[#This Row],[LoanStatus]]="Default","Critical",
OR(Loans[[#This Row],[LoanStatus]]="Watchlist",Loans[[#This Row],[CollateralRisk]]="Undersecured",Loans[[#This Row],[RiskCategory]]="High Risk"),"High",
TRUE,"Normal"
)</f>
        <v>High</v>
      </c>
    </row>
    <row r="43" spans="1:20" x14ac:dyDescent="0.35">
      <c r="A43" t="s">
        <v>265</v>
      </c>
      <c r="B43" t="s">
        <v>266</v>
      </c>
      <c r="C43" t="s">
        <v>267</v>
      </c>
      <c r="D43" t="s">
        <v>158</v>
      </c>
      <c r="E43" s="34">
        <v>1000000</v>
      </c>
      <c r="F43" s="29">
        <v>0.1968</v>
      </c>
      <c r="G43" s="30">
        <v>44390</v>
      </c>
      <c r="H43">
        <v>24</v>
      </c>
      <c r="I43">
        <v>0</v>
      </c>
      <c r="J43" s="34">
        <v>700000</v>
      </c>
      <c r="K43" t="s">
        <v>171</v>
      </c>
      <c r="L43" s="34">
        <f>PMT(Loans[[#This Row],[InterestRate]]/12,Loans[[#This Row],[LoanTenureMonths]],-Loans[[#This Row],[LoanAmount]])</f>
        <v>50739.613227468479</v>
      </c>
      <c r="M43" s="30">
        <f>EDATE(Loans[[#This Row],[LoanStartDate]],Loans[[#This Row],[LoanTenureMonths]])</f>
        <v>45120</v>
      </c>
      <c r="N43" s="33">
        <f>IF(Loans[[#This Row],[LoanAmount]]=0,0,Loans[[#This Row],[CollateralValue]]/Loans[[#This Row],[LoanAmount]])</f>
        <v>0.7</v>
      </c>
      <c r="O43" t="str">
        <f>IF(Loans[[#This Row],[CollateralCoverageRatio]]&lt;1,"Undersecured","Secured")</f>
        <v>Undersecured</v>
      </c>
      <c r="P43" t="str">
        <f>_xlfn.XLOOKUP(Loans[[#This Row],[BranchCode]],BranchesTbl[BranchCode],BranchesTbl[BranchName])</f>
        <v>Malindi</v>
      </c>
      <c r="Q43">
        <f>_xlfn.XLOOKUP(Loans[[#This Row],[CustomerID]],CustomerTbl[CustomerID],CustomerTbl[RiskScore])</f>
        <v>511</v>
      </c>
      <c r="R43" t="str">
        <f>IFERROR(INDEX(RiskTbl[Risk_Category],MATCH(Loans[[#This Row],[RiskScore]],RiskTbl[Score_Min],1)),"Unknown")</f>
        <v>High Risk</v>
      </c>
      <c r="S43" t="str">
        <f>IF(OR(Loans[[#This Row],[LoanStatus]]="Default",Loans[[#This Row],[LoanStatus]]="Watchlist",Loans[[#This Row],[CollateralRisk]]="Undersecured",Loans[[#This Row],[RiskCategory]]="High Risk"),"High Risk Exposure","Normal")</f>
        <v>High Risk Exposure</v>
      </c>
      <c r="T43" t="str" cm="1">
        <f t="array" ref="T43">_xlfn.IFS(
Loans[[#This Row],[LoanStatus]]="Default","Critical",
OR(Loans[[#This Row],[LoanStatus]]="Watchlist",Loans[[#This Row],[CollateralRisk]]="Undersecured",Loans[[#This Row],[RiskCategory]]="High Risk"),"High",
TRUE,"Normal"
)</f>
        <v>High</v>
      </c>
    </row>
    <row r="44" spans="1:20" x14ac:dyDescent="0.35">
      <c r="A44" t="s">
        <v>268</v>
      </c>
      <c r="B44" t="s">
        <v>269</v>
      </c>
      <c r="C44" t="s">
        <v>270</v>
      </c>
      <c r="D44" t="s">
        <v>155</v>
      </c>
      <c r="E44" s="34">
        <v>1000000</v>
      </c>
      <c r="F44" s="29">
        <v>0.20710000000000001</v>
      </c>
      <c r="G44" s="30">
        <v>44488</v>
      </c>
      <c r="H44">
        <v>12</v>
      </c>
      <c r="I44">
        <v>10</v>
      </c>
      <c r="J44" s="34">
        <v>0</v>
      </c>
      <c r="K44" t="s">
        <v>171</v>
      </c>
      <c r="L44" s="34">
        <f>PMT(Loans[[#This Row],[InterestRate]]/12,Loans[[#This Row],[LoanTenureMonths]],-Loans[[#This Row],[LoanAmount]])</f>
        <v>92974.648236158639</v>
      </c>
      <c r="M44" s="30">
        <f>EDATE(Loans[[#This Row],[LoanStartDate]],Loans[[#This Row],[LoanTenureMonths]])</f>
        <v>44853</v>
      </c>
      <c r="N44" s="33">
        <f>IF(Loans[[#This Row],[LoanAmount]]=0,0,Loans[[#This Row],[CollateralValue]]/Loans[[#This Row],[LoanAmount]])</f>
        <v>0</v>
      </c>
      <c r="O44" t="str">
        <f>IF(Loans[[#This Row],[CollateralCoverageRatio]]&lt;1,"Undersecured","Secured")</f>
        <v>Undersecured</v>
      </c>
      <c r="P44" t="str">
        <f>_xlfn.XLOOKUP(Loans[[#This Row],[BranchCode]],BranchesTbl[BranchCode],BranchesTbl[BranchName])</f>
        <v>Nakuru</v>
      </c>
      <c r="Q44">
        <f>_xlfn.XLOOKUP(Loans[[#This Row],[CustomerID]],CustomerTbl[CustomerID],CustomerTbl[RiskScore])</f>
        <v>314</v>
      </c>
      <c r="R44" t="str">
        <f>IFERROR(INDEX(RiskTbl[Risk_Category],MATCH(Loans[[#This Row],[RiskScore]],RiskTbl[Score_Min],1)),"Unknown")</f>
        <v>High Risk</v>
      </c>
      <c r="S44" t="str">
        <f>IF(OR(Loans[[#This Row],[LoanStatus]]="Default",Loans[[#This Row],[LoanStatus]]="Watchlist",Loans[[#This Row],[CollateralRisk]]="Undersecured",Loans[[#This Row],[RiskCategory]]="High Risk"),"High Risk Exposure","Normal")</f>
        <v>High Risk Exposure</v>
      </c>
      <c r="T44" t="str" cm="1">
        <f t="array" ref="T44">_xlfn.IFS(
Loans[[#This Row],[LoanStatus]]="Default","Critical",
OR(Loans[[#This Row],[LoanStatus]]="Watchlist",Loans[[#This Row],[CollateralRisk]]="Undersecured",Loans[[#This Row],[RiskCategory]]="High Risk"),"High",
TRUE,"Normal"
)</f>
        <v>High</v>
      </c>
    </row>
    <row r="45" spans="1:20" x14ac:dyDescent="0.35">
      <c r="A45" t="s">
        <v>271</v>
      </c>
      <c r="B45" t="s">
        <v>272</v>
      </c>
      <c r="C45" t="s">
        <v>187</v>
      </c>
      <c r="D45" t="s">
        <v>155</v>
      </c>
      <c r="E45" s="34">
        <v>1000000</v>
      </c>
      <c r="F45" s="29">
        <v>0.26169999999999999</v>
      </c>
      <c r="G45" s="30">
        <v>45794</v>
      </c>
      <c r="H45">
        <v>48</v>
      </c>
      <c r="I45">
        <v>20</v>
      </c>
      <c r="J45" s="34">
        <v>0</v>
      </c>
      <c r="K45" t="s">
        <v>171</v>
      </c>
      <c r="L45" s="34">
        <f>PMT(Loans[[#This Row],[InterestRate]]/12,Loans[[#This Row],[LoanTenureMonths]],-Loans[[#This Row],[LoanAmount]])</f>
        <v>33813.020036794645</v>
      </c>
      <c r="M45" s="30">
        <f>EDATE(Loans[[#This Row],[LoanStartDate]],Loans[[#This Row],[LoanTenureMonths]])</f>
        <v>47255</v>
      </c>
      <c r="N45" s="33">
        <f>IF(Loans[[#This Row],[LoanAmount]]=0,0,Loans[[#This Row],[CollateralValue]]/Loans[[#This Row],[LoanAmount]])</f>
        <v>0</v>
      </c>
      <c r="O45" t="str">
        <f>IF(Loans[[#This Row],[CollateralCoverageRatio]]&lt;1,"Undersecured","Secured")</f>
        <v>Undersecured</v>
      </c>
      <c r="P45" t="str">
        <f>_xlfn.XLOOKUP(Loans[[#This Row],[BranchCode]],BranchesTbl[BranchCode],BranchesTbl[BranchName])</f>
        <v>Eldoret</v>
      </c>
      <c r="Q45">
        <f>_xlfn.XLOOKUP(Loans[[#This Row],[CustomerID]],CustomerTbl[CustomerID],CustomerTbl[RiskScore])</f>
        <v>661</v>
      </c>
      <c r="R45" t="str">
        <f>IFERROR(INDEX(RiskTbl[Risk_Category],MATCH(Loans[[#This Row],[RiskScore]],RiskTbl[Score_Min],1)),"Unknown")</f>
        <v>Medium Risk</v>
      </c>
      <c r="S45" t="str">
        <f>IF(OR(Loans[[#This Row],[LoanStatus]]="Default",Loans[[#This Row],[LoanStatus]]="Watchlist",Loans[[#This Row],[CollateralRisk]]="Undersecured",Loans[[#This Row],[RiskCategory]]="High Risk"),"High Risk Exposure","Normal")</f>
        <v>High Risk Exposure</v>
      </c>
      <c r="T45" t="str" cm="1">
        <f t="array" ref="T45">_xlfn.IFS(
Loans[[#This Row],[LoanStatus]]="Default","Critical",
OR(Loans[[#This Row],[LoanStatus]]="Watchlist",Loans[[#This Row],[CollateralRisk]]="Undersecured",Loans[[#This Row],[RiskCategory]]="High Risk"),"High",
TRUE,"Normal"
)</f>
        <v>High</v>
      </c>
    </row>
    <row r="46" spans="1:20" x14ac:dyDescent="0.35">
      <c r="A46" t="s">
        <v>273</v>
      </c>
      <c r="B46" t="s">
        <v>195</v>
      </c>
      <c r="C46" t="s">
        <v>181</v>
      </c>
      <c r="D46" t="s">
        <v>158</v>
      </c>
      <c r="E46" s="34">
        <v>500000</v>
      </c>
      <c r="F46" s="29">
        <v>0.17199999999999999</v>
      </c>
      <c r="G46" s="30">
        <v>44566</v>
      </c>
      <c r="H46">
        <v>48</v>
      </c>
      <c r="I46">
        <v>5</v>
      </c>
      <c r="J46" s="34">
        <v>280000</v>
      </c>
      <c r="K46" t="s">
        <v>171</v>
      </c>
      <c r="L46" s="34">
        <f>PMT(Loans[[#This Row],[InterestRate]]/12,Loans[[#This Row],[LoanTenureMonths]],-Loans[[#This Row],[LoanAmount]])</f>
        <v>14479.309594302949</v>
      </c>
      <c r="M46" s="30">
        <f>EDATE(Loans[[#This Row],[LoanStartDate]],Loans[[#This Row],[LoanTenureMonths]])</f>
        <v>46027</v>
      </c>
      <c r="N46" s="33">
        <f>IF(Loans[[#This Row],[LoanAmount]]=0,0,Loans[[#This Row],[CollateralValue]]/Loans[[#This Row],[LoanAmount]])</f>
        <v>0.56000000000000005</v>
      </c>
      <c r="O46" t="str">
        <f>IF(Loans[[#This Row],[CollateralCoverageRatio]]&lt;1,"Undersecured","Secured")</f>
        <v>Undersecured</v>
      </c>
      <c r="P46" t="str">
        <f>_xlfn.XLOOKUP(Loans[[#This Row],[BranchCode]],BranchesTbl[BranchCode],BranchesTbl[BranchName])</f>
        <v>Kitale</v>
      </c>
      <c r="Q46">
        <f>_xlfn.XLOOKUP(Loans[[#This Row],[CustomerID]],CustomerTbl[CustomerID],CustomerTbl[RiskScore])</f>
        <v>687</v>
      </c>
      <c r="R46" t="str">
        <f>IFERROR(INDEX(RiskTbl[Risk_Category],MATCH(Loans[[#This Row],[RiskScore]],RiskTbl[Score_Min],1)),"Unknown")</f>
        <v>Low Risk</v>
      </c>
      <c r="S46" t="str">
        <f>IF(OR(Loans[[#This Row],[LoanStatus]]="Default",Loans[[#This Row],[LoanStatus]]="Watchlist",Loans[[#This Row],[CollateralRisk]]="Undersecured",Loans[[#This Row],[RiskCategory]]="High Risk"),"High Risk Exposure","Normal")</f>
        <v>High Risk Exposure</v>
      </c>
      <c r="T46" t="str" cm="1">
        <f t="array" ref="T46">_xlfn.IFS(
Loans[[#This Row],[LoanStatus]]="Default","Critical",
OR(Loans[[#This Row],[LoanStatus]]="Watchlist",Loans[[#This Row],[CollateralRisk]]="Undersecured",Loans[[#This Row],[RiskCategory]]="High Risk"),"High",
TRUE,"Normal"
)</f>
        <v>High</v>
      </c>
    </row>
    <row r="47" spans="1:20" x14ac:dyDescent="0.35">
      <c r="A47" t="s">
        <v>274</v>
      </c>
      <c r="B47" t="s">
        <v>275</v>
      </c>
      <c r="C47" t="s">
        <v>219</v>
      </c>
      <c r="D47" t="s">
        <v>158</v>
      </c>
      <c r="E47" s="34">
        <v>500000</v>
      </c>
      <c r="F47" s="29">
        <v>0.17380000000000001</v>
      </c>
      <c r="G47" s="30">
        <v>44568</v>
      </c>
      <c r="H47">
        <v>72</v>
      </c>
      <c r="I47">
        <v>10</v>
      </c>
      <c r="J47" s="34">
        <v>630000</v>
      </c>
      <c r="K47" t="s">
        <v>171</v>
      </c>
      <c r="L47" s="34">
        <f>PMT(Loans[[#This Row],[InterestRate]]/12,Loans[[#This Row],[LoanTenureMonths]],-Loans[[#This Row],[LoanAmount]])</f>
        <v>11229.349507261402</v>
      </c>
      <c r="M47" s="30">
        <f>EDATE(Loans[[#This Row],[LoanStartDate]],Loans[[#This Row],[LoanTenureMonths]])</f>
        <v>46759</v>
      </c>
      <c r="N47" s="33">
        <f>IF(Loans[[#This Row],[LoanAmount]]=0,0,Loans[[#This Row],[CollateralValue]]/Loans[[#This Row],[LoanAmount]])</f>
        <v>1.26</v>
      </c>
      <c r="O47" t="str">
        <f>IF(Loans[[#This Row],[CollateralCoverageRatio]]&lt;1,"Undersecured","Secured")</f>
        <v>Secured</v>
      </c>
      <c r="P47" t="str">
        <f>_xlfn.XLOOKUP(Loans[[#This Row],[BranchCode]],BranchesTbl[BranchCode],BranchesTbl[BranchName])</f>
        <v>Meru</v>
      </c>
      <c r="Q47">
        <f>_xlfn.XLOOKUP(Loans[[#This Row],[CustomerID]],CustomerTbl[CustomerID],CustomerTbl[RiskScore])</f>
        <v>554</v>
      </c>
      <c r="R47" t="str">
        <f>IFERROR(INDEX(RiskTbl[Risk_Category],MATCH(Loans[[#This Row],[RiskScore]],RiskTbl[Score_Min],1)),"Unknown")</f>
        <v>High Risk</v>
      </c>
      <c r="S47" t="str">
        <f>IF(OR(Loans[[#This Row],[LoanStatus]]="Default",Loans[[#This Row],[LoanStatus]]="Watchlist",Loans[[#This Row],[CollateralRisk]]="Undersecured",Loans[[#This Row],[RiskCategory]]="High Risk"),"High Risk Exposure","Normal")</f>
        <v>High Risk Exposure</v>
      </c>
      <c r="T47" t="str" cm="1">
        <f t="array" ref="T47">_xlfn.IFS(
Loans[[#This Row],[LoanStatus]]="Default","Critical",
OR(Loans[[#This Row],[LoanStatus]]="Watchlist",Loans[[#This Row],[CollateralRisk]]="Undersecured",Loans[[#This Row],[RiskCategory]]="High Risk"),"High",
TRUE,"Normal"
)</f>
        <v>High</v>
      </c>
    </row>
    <row r="48" spans="1:20" x14ac:dyDescent="0.35">
      <c r="A48" t="s">
        <v>276</v>
      </c>
      <c r="B48" t="s">
        <v>277</v>
      </c>
      <c r="C48" t="s">
        <v>184</v>
      </c>
      <c r="D48" t="s">
        <v>156</v>
      </c>
      <c r="E48" s="34">
        <v>3000000</v>
      </c>
      <c r="F48" s="29">
        <v>0.23019999999999999</v>
      </c>
      <c r="G48" s="30">
        <v>44999</v>
      </c>
      <c r="H48">
        <v>24</v>
      </c>
      <c r="I48">
        <v>0</v>
      </c>
      <c r="J48" s="34">
        <v>3180000</v>
      </c>
      <c r="K48" t="s">
        <v>171</v>
      </c>
      <c r="L48" s="34">
        <f>PMT(Loans[[#This Row],[InterestRate]]/12,Loans[[#This Row],[LoanTenureMonths]],-Loans[[#This Row],[LoanAmount]])</f>
        <v>157149.7080310052</v>
      </c>
      <c r="M48" s="30">
        <f>EDATE(Loans[[#This Row],[LoanStartDate]],Loans[[#This Row],[LoanTenureMonths]])</f>
        <v>45730</v>
      </c>
      <c r="N48" s="33">
        <f>IF(Loans[[#This Row],[LoanAmount]]=0,0,Loans[[#This Row],[CollateralValue]]/Loans[[#This Row],[LoanAmount]])</f>
        <v>1.06</v>
      </c>
      <c r="O48" t="str">
        <f>IF(Loans[[#This Row],[CollateralCoverageRatio]]&lt;1,"Undersecured","Secured")</f>
        <v>Secured</v>
      </c>
      <c r="P48" t="str">
        <f>_xlfn.XLOOKUP(Loans[[#This Row],[BranchCode]],BranchesTbl[BranchCode],BranchesTbl[BranchName])</f>
        <v>Kisumu</v>
      </c>
      <c r="Q48">
        <f>_xlfn.XLOOKUP(Loans[[#This Row],[CustomerID]],CustomerTbl[CustomerID],CustomerTbl[RiskScore])</f>
        <v>748</v>
      </c>
      <c r="R48" t="str">
        <f>IFERROR(INDEX(RiskTbl[Risk_Category],MATCH(Loans[[#This Row],[RiskScore]],RiskTbl[Score_Min],1)),"Unknown")</f>
        <v>Very Low Risk</v>
      </c>
      <c r="S48" t="str">
        <f>IF(OR(Loans[[#This Row],[LoanStatus]]="Default",Loans[[#This Row],[LoanStatus]]="Watchlist",Loans[[#This Row],[CollateralRisk]]="Undersecured",Loans[[#This Row],[RiskCategory]]="High Risk"),"High Risk Exposure","Normal")</f>
        <v>Normal</v>
      </c>
      <c r="T48" t="str" cm="1">
        <f t="array" ref="T48">_xlfn.IFS(
Loans[[#This Row],[LoanStatus]]="Default","Critical",
OR(Loans[[#This Row],[LoanStatus]]="Watchlist",Loans[[#This Row],[CollateralRisk]]="Undersecured",Loans[[#This Row],[RiskCategory]]="High Risk"),"High",
TRUE,"Normal"
)</f>
        <v>Normal</v>
      </c>
    </row>
    <row r="49" spans="1:20" x14ac:dyDescent="0.35">
      <c r="A49" t="s">
        <v>278</v>
      </c>
      <c r="B49" t="s">
        <v>279</v>
      </c>
      <c r="C49" t="s">
        <v>174</v>
      </c>
      <c r="D49" t="s">
        <v>156</v>
      </c>
      <c r="E49" s="34">
        <v>6000000</v>
      </c>
      <c r="F49" s="29">
        <v>0.1943</v>
      </c>
      <c r="G49" s="30">
        <v>44879</v>
      </c>
      <c r="H49">
        <v>48</v>
      </c>
      <c r="I49">
        <v>90</v>
      </c>
      <c r="J49" s="34">
        <v>8820000</v>
      </c>
      <c r="K49" t="s">
        <v>199</v>
      </c>
      <c r="L49" s="34">
        <f>PMT(Loans[[#This Row],[InterestRate]]/12,Loans[[#This Row],[LoanTenureMonths]],-Loans[[#This Row],[LoanAmount]])</f>
        <v>180764.98315233967</v>
      </c>
      <c r="M49" s="30">
        <f>EDATE(Loans[[#This Row],[LoanStartDate]],Loans[[#This Row],[LoanTenureMonths]])</f>
        <v>46340</v>
      </c>
      <c r="N49" s="33">
        <f>IF(Loans[[#This Row],[LoanAmount]]=0,0,Loans[[#This Row],[CollateralValue]]/Loans[[#This Row],[LoanAmount]])</f>
        <v>1.47</v>
      </c>
      <c r="O49" t="str">
        <f>IF(Loans[[#This Row],[CollateralCoverageRatio]]&lt;1,"Undersecured","Secured")</f>
        <v>Secured</v>
      </c>
      <c r="P49" t="str">
        <f>_xlfn.XLOOKUP(Loans[[#This Row],[BranchCode]],BranchesTbl[BranchCode],BranchesTbl[BranchName])</f>
        <v>Westlands</v>
      </c>
      <c r="Q49">
        <f>_xlfn.XLOOKUP(Loans[[#This Row],[CustomerID]],CustomerTbl[CustomerID],CustomerTbl[RiskScore])</f>
        <v>553</v>
      </c>
      <c r="R49" t="str">
        <f>IFERROR(INDEX(RiskTbl[Risk_Category],MATCH(Loans[[#This Row],[RiskScore]],RiskTbl[Score_Min],1)),"Unknown")</f>
        <v>High Risk</v>
      </c>
      <c r="S49" t="str">
        <f>IF(OR(Loans[[#This Row],[LoanStatus]]="Default",Loans[[#This Row],[LoanStatus]]="Watchlist",Loans[[#This Row],[CollateralRisk]]="Undersecured",Loans[[#This Row],[RiskCategory]]="High Risk"),"High Risk Exposure","Normal")</f>
        <v>High Risk Exposure</v>
      </c>
      <c r="T49" t="str" cm="1">
        <f t="array" ref="T49">_xlfn.IFS(
Loans[[#This Row],[LoanStatus]]="Default","Critical",
OR(Loans[[#This Row],[LoanStatus]]="Watchlist",Loans[[#This Row],[CollateralRisk]]="Undersecured",Loans[[#This Row],[RiskCategory]]="High Risk"),"High",
TRUE,"Normal"
)</f>
        <v>High</v>
      </c>
    </row>
    <row r="50" spans="1:20" x14ac:dyDescent="0.35">
      <c r="A50" t="s">
        <v>280</v>
      </c>
      <c r="B50" t="s">
        <v>281</v>
      </c>
      <c r="C50" t="s">
        <v>193</v>
      </c>
      <c r="D50" t="s">
        <v>158</v>
      </c>
      <c r="E50" s="34">
        <v>6000000</v>
      </c>
      <c r="F50" s="29">
        <v>0.18740000000000001</v>
      </c>
      <c r="G50" s="30">
        <v>43942</v>
      </c>
      <c r="H50">
        <v>12</v>
      </c>
      <c r="I50">
        <v>0</v>
      </c>
      <c r="J50" s="34">
        <v>6060000</v>
      </c>
      <c r="K50" t="s">
        <v>171</v>
      </c>
      <c r="L50" s="34">
        <f>PMT(Loans[[#This Row],[InterestRate]]/12,Loans[[#This Row],[LoanTenureMonths]],-Loans[[#This Row],[LoanAmount]])</f>
        <v>552195.22092726105</v>
      </c>
      <c r="M50" s="30">
        <f>EDATE(Loans[[#This Row],[LoanStartDate]],Loans[[#This Row],[LoanTenureMonths]])</f>
        <v>44307</v>
      </c>
      <c r="N50" s="33">
        <f>IF(Loans[[#This Row],[LoanAmount]]=0,0,Loans[[#This Row],[CollateralValue]]/Loans[[#This Row],[LoanAmount]])</f>
        <v>1.01</v>
      </c>
      <c r="O50" t="str">
        <f>IF(Loans[[#This Row],[CollateralCoverageRatio]]&lt;1,"Undersecured","Secured")</f>
        <v>Secured</v>
      </c>
      <c r="P50" t="str">
        <f>_xlfn.XLOOKUP(Loans[[#This Row],[BranchCode]],BranchesTbl[BranchCode],BranchesTbl[BranchName])</f>
        <v>Mombasa</v>
      </c>
      <c r="Q50">
        <f>_xlfn.XLOOKUP(Loans[[#This Row],[CustomerID]],CustomerTbl[CustomerID],CustomerTbl[RiskScore])</f>
        <v>499</v>
      </c>
      <c r="R50" t="str">
        <f>IFERROR(INDEX(RiskTbl[Risk_Category],MATCH(Loans[[#This Row],[RiskScore]],RiskTbl[Score_Min],1)),"Unknown")</f>
        <v>High Risk</v>
      </c>
      <c r="S50" t="str">
        <f>IF(OR(Loans[[#This Row],[LoanStatus]]="Default",Loans[[#This Row],[LoanStatus]]="Watchlist",Loans[[#This Row],[CollateralRisk]]="Undersecured",Loans[[#This Row],[RiskCategory]]="High Risk"),"High Risk Exposure","Normal")</f>
        <v>High Risk Exposure</v>
      </c>
      <c r="T50" t="str" cm="1">
        <f t="array" ref="T50">_xlfn.IFS(
Loans[[#This Row],[LoanStatus]]="Default","Critical",
OR(Loans[[#This Row],[LoanStatus]]="Watchlist",Loans[[#This Row],[CollateralRisk]]="Undersecured",Loans[[#This Row],[RiskCategory]]="High Risk"),"High",
TRUE,"Normal"
)</f>
        <v>High</v>
      </c>
    </row>
    <row r="51" spans="1:20" x14ac:dyDescent="0.35">
      <c r="A51" t="s">
        <v>282</v>
      </c>
      <c r="B51" t="s">
        <v>279</v>
      </c>
      <c r="C51" t="s">
        <v>267</v>
      </c>
      <c r="D51" t="s">
        <v>156</v>
      </c>
      <c r="E51" s="34">
        <v>25000000</v>
      </c>
      <c r="F51" s="29">
        <v>0.1409</v>
      </c>
      <c r="G51" s="30">
        <v>44435</v>
      </c>
      <c r="H51">
        <v>48</v>
      </c>
      <c r="I51">
        <v>45</v>
      </c>
      <c r="J51" s="34">
        <v>26250000</v>
      </c>
      <c r="K51" t="s">
        <v>199</v>
      </c>
      <c r="L51" s="34">
        <f>PMT(Loans[[#This Row],[InterestRate]]/12,Loans[[#This Row],[LoanTenureMonths]],-Loans[[#This Row],[LoanAmount]])</f>
        <v>684291.11808316282</v>
      </c>
      <c r="M51" s="30">
        <f>EDATE(Loans[[#This Row],[LoanStartDate]],Loans[[#This Row],[LoanTenureMonths]])</f>
        <v>45896</v>
      </c>
      <c r="N51" s="33">
        <f>IF(Loans[[#This Row],[LoanAmount]]=0,0,Loans[[#This Row],[CollateralValue]]/Loans[[#This Row],[LoanAmount]])</f>
        <v>1.05</v>
      </c>
      <c r="O51" t="str">
        <f>IF(Loans[[#This Row],[CollateralCoverageRatio]]&lt;1,"Undersecured","Secured")</f>
        <v>Secured</v>
      </c>
      <c r="P51" t="str">
        <f>_xlfn.XLOOKUP(Loans[[#This Row],[BranchCode]],BranchesTbl[BranchCode],BranchesTbl[BranchName])</f>
        <v>Malindi</v>
      </c>
      <c r="Q51">
        <f>_xlfn.XLOOKUP(Loans[[#This Row],[CustomerID]],CustomerTbl[CustomerID],CustomerTbl[RiskScore])</f>
        <v>553</v>
      </c>
      <c r="R51" t="str">
        <f>IFERROR(INDEX(RiskTbl[Risk_Category],MATCH(Loans[[#This Row],[RiskScore]],RiskTbl[Score_Min],1)),"Unknown")</f>
        <v>High Risk</v>
      </c>
      <c r="S51" t="str">
        <f>IF(OR(Loans[[#This Row],[LoanStatus]]="Default",Loans[[#This Row],[LoanStatus]]="Watchlist",Loans[[#This Row],[CollateralRisk]]="Undersecured",Loans[[#This Row],[RiskCategory]]="High Risk"),"High Risk Exposure","Normal")</f>
        <v>High Risk Exposure</v>
      </c>
      <c r="T51" t="str" cm="1">
        <f t="array" ref="T51">_xlfn.IFS(
Loans[[#This Row],[LoanStatus]]="Default","Critical",
OR(Loans[[#This Row],[LoanStatus]]="Watchlist",Loans[[#This Row],[CollateralRisk]]="Undersecured",Loans[[#This Row],[RiskCategory]]="High Risk"),"High",
TRUE,"Normal"
)</f>
        <v>High</v>
      </c>
    </row>
    <row r="52" spans="1:20" x14ac:dyDescent="0.35">
      <c r="A52" t="s">
        <v>283</v>
      </c>
      <c r="B52" t="s">
        <v>284</v>
      </c>
      <c r="C52" t="s">
        <v>270</v>
      </c>
      <c r="D52" t="s">
        <v>155</v>
      </c>
      <c r="E52" s="34">
        <v>1000000</v>
      </c>
      <c r="F52" s="29">
        <v>0.25409999999999999</v>
      </c>
      <c r="G52" s="30">
        <v>45330</v>
      </c>
      <c r="H52">
        <v>24</v>
      </c>
      <c r="I52">
        <v>20</v>
      </c>
      <c r="J52" s="34">
        <v>0</v>
      </c>
      <c r="K52" t="s">
        <v>171</v>
      </c>
      <c r="L52" s="34">
        <f>PMT(Loans[[#This Row],[InterestRate]]/12,Loans[[#This Row],[LoanTenureMonths]],-Loans[[#This Row],[LoanAmount]])</f>
        <v>53577.452573394861</v>
      </c>
      <c r="M52" s="30">
        <f>EDATE(Loans[[#This Row],[LoanStartDate]],Loans[[#This Row],[LoanTenureMonths]])</f>
        <v>46061</v>
      </c>
      <c r="N52" s="33">
        <f>IF(Loans[[#This Row],[LoanAmount]]=0,0,Loans[[#This Row],[CollateralValue]]/Loans[[#This Row],[LoanAmount]])</f>
        <v>0</v>
      </c>
      <c r="O52" t="str">
        <f>IF(Loans[[#This Row],[CollateralCoverageRatio]]&lt;1,"Undersecured","Secured")</f>
        <v>Undersecured</v>
      </c>
      <c r="P52" t="str">
        <f>_xlfn.XLOOKUP(Loans[[#This Row],[BranchCode]],BranchesTbl[BranchCode],BranchesTbl[BranchName])</f>
        <v>Nakuru</v>
      </c>
      <c r="Q52">
        <f>_xlfn.XLOOKUP(Loans[[#This Row],[CustomerID]],CustomerTbl[CustomerID],CustomerTbl[RiskScore])</f>
        <v>822</v>
      </c>
      <c r="R52" t="str">
        <f>IFERROR(INDEX(RiskTbl[Risk_Category],MATCH(Loans[[#This Row],[RiskScore]],RiskTbl[Score_Min],1)),"Unknown")</f>
        <v>Prime</v>
      </c>
      <c r="S52" t="str">
        <f>IF(OR(Loans[[#This Row],[LoanStatus]]="Default",Loans[[#This Row],[LoanStatus]]="Watchlist",Loans[[#This Row],[CollateralRisk]]="Undersecured",Loans[[#This Row],[RiskCategory]]="High Risk"),"High Risk Exposure","Normal")</f>
        <v>High Risk Exposure</v>
      </c>
      <c r="T52" t="str" cm="1">
        <f t="array" ref="T52">_xlfn.IFS(
Loans[[#This Row],[LoanStatus]]="Default","Critical",
OR(Loans[[#This Row],[LoanStatus]]="Watchlist",Loans[[#This Row],[CollateralRisk]]="Undersecured",Loans[[#This Row],[RiskCategory]]="High Risk"),"High",
TRUE,"Normal"
)</f>
        <v>High</v>
      </c>
    </row>
    <row r="53" spans="1:20" x14ac:dyDescent="0.35">
      <c r="A53" t="s">
        <v>285</v>
      </c>
      <c r="B53" t="s">
        <v>286</v>
      </c>
      <c r="C53" t="s">
        <v>181</v>
      </c>
      <c r="D53" t="s">
        <v>155</v>
      </c>
      <c r="E53" s="34">
        <v>250000</v>
      </c>
      <c r="F53" s="29">
        <v>0.248</v>
      </c>
      <c r="G53" s="30">
        <v>44676</v>
      </c>
      <c r="H53">
        <v>48</v>
      </c>
      <c r="I53">
        <v>45</v>
      </c>
      <c r="J53" s="34">
        <v>0</v>
      </c>
      <c r="K53" t="s">
        <v>199</v>
      </c>
      <c r="L53" s="34">
        <f>PMT(Loans[[#This Row],[InterestRate]]/12,Loans[[#This Row],[LoanTenureMonths]],-Loans[[#This Row],[LoanAmount]])</f>
        <v>8261.4193558785955</v>
      </c>
      <c r="M53" s="30">
        <f>EDATE(Loans[[#This Row],[LoanStartDate]],Loans[[#This Row],[LoanTenureMonths]])</f>
        <v>46137</v>
      </c>
      <c r="N53" s="33">
        <f>IF(Loans[[#This Row],[LoanAmount]]=0,0,Loans[[#This Row],[CollateralValue]]/Loans[[#This Row],[LoanAmount]])</f>
        <v>0</v>
      </c>
      <c r="O53" t="str">
        <f>IF(Loans[[#This Row],[CollateralCoverageRatio]]&lt;1,"Undersecured","Secured")</f>
        <v>Undersecured</v>
      </c>
      <c r="P53" t="str">
        <f>_xlfn.XLOOKUP(Loans[[#This Row],[BranchCode]],BranchesTbl[BranchCode],BranchesTbl[BranchName])</f>
        <v>Kitale</v>
      </c>
      <c r="Q53">
        <f>_xlfn.XLOOKUP(Loans[[#This Row],[CustomerID]],CustomerTbl[CustomerID],CustomerTbl[RiskScore])</f>
        <v>636</v>
      </c>
      <c r="R53" t="str">
        <f>IFERROR(INDEX(RiskTbl[Risk_Category],MATCH(Loans[[#This Row],[RiskScore]],RiskTbl[Score_Min],1)),"Unknown")</f>
        <v>Medium Risk</v>
      </c>
      <c r="S53" t="str">
        <f>IF(OR(Loans[[#This Row],[LoanStatus]]="Default",Loans[[#This Row],[LoanStatus]]="Watchlist",Loans[[#This Row],[CollateralRisk]]="Undersecured",Loans[[#This Row],[RiskCategory]]="High Risk"),"High Risk Exposure","Normal")</f>
        <v>High Risk Exposure</v>
      </c>
      <c r="T53" t="str" cm="1">
        <f t="array" ref="T53">_xlfn.IFS(
Loans[[#This Row],[LoanStatus]]="Default","Critical",
OR(Loans[[#This Row],[LoanStatus]]="Watchlist",Loans[[#This Row],[CollateralRisk]]="Undersecured",Loans[[#This Row],[RiskCategory]]="High Risk"),"High",
TRUE,"Normal"
)</f>
        <v>High</v>
      </c>
    </row>
    <row r="54" spans="1:20" x14ac:dyDescent="0.35">
      <c r="A54" t="s">
        <v>287</v>
      </c>
      <c r="B54" t="s">
        <v>288</v>
      </c>
      <c r="C54" t="s">
        <v>196</v>
      </c>
      <c r="D54" t="s">
        <v>157</v>
      </c>
      <c r="E54" s="34">
        <v>6000000</v>
      </c>
      <c r="F54" s="29">
        <v>0.1235</v>
      </c>
      <c r="G54" s="30">
        <v>45740</v>
      </c>
      <c r="H54">
        <v>12</v>
      </c>
      <c r="I54">
        <v>20</v>
      </c>
      <c r="J54" s="34">
        <v>8760000</v>
      </c>
      <c r="K54" t="s">
        <v>171</v>
      </c>
      <c r="L54" s="34">
        <f>PMT(Loans[[#This Row],[InterestRate]]/12,Loans[[#This Row],[LoanTenureMonths]],-Loans[[#This Row],[LoanAmount]])</f>
        <v>534075.62938655727</v>
      </c>
      <c r="M54" s="30">
        <f>EDATE(Loans[[#This Row],[LoanStartDate]],Loans[[#This Row],[LoanTenureMonths]])</f>
        <v>46105</v>
      </c>
      <c r="N54" s="33">
        <f>IF(Loans[[#This Row],[LoanAmount]]=0,0,Loans[[#This Row],[CollateralValue]]/Loans[[#This Row],[LoanAmount]])</f>
        <v>1.46</v>
      </c>
      <c r="O54" t="str">
        <f>IF(Loans[[#This Row],[CollateralCoverageRatio]]&lt;1,"Undersecured","Secured")</f>
        <v>Secured</v>
      </c>
      <c r="P54" t="str">
        <f>_xlfn.XLOOKUP(Loans[[#This Row],[BranchCode]],BranchesTbl[BranchCode],BranchesTbl[BranchName])</f>
        <v>Karen</v>
      </c>
      <c r="Q54">
        <f>_xlfn.XLOOKUP(Loans[[#This Row],[CustomerID]],CustomerTbl[CustomerID],CustomerTbl[RiskScore])</f>
        <v>666</v>
      </c>
      <c r="R54" t="str">
        <f>IFERROR(INDEX(RiskTbl[Risk_Category],MATCH(Loans[[#This Row],[RiskScore]],RiskTbl[Score_Min],1)),"Unknown")</f>
        <v>Medium Risk</v>
      </c>
      <c r="S54" t="str">
        <f>IF(OR(Loans[[#This Row],[LoanStatus]]="Default",Loans[[#This Row],[LoanStatus]]="Watchlist",Loans[[#This Row],[CollateralRisk]]="Undersecured",Loans[[#This Row],[RiskCategory]]="High Risk"),"High Risk Exposure","Normal")</f>
        <v>Normal</v>
      </c>
      <c r="T54" t="str" cm="1">
        <f t="array" ref="T54">_xlfn.IFS(
Loans[[#This Row],[LoanStatus]]="Default","Critical",
OR(Loans[[#This Row],[LoanStatus]]="Watchlist",Loans[[#This Row],[CollateralRisk]]="Undersecured",Loans[[#This Row],[RiskCategory]]="High Risk"),"High",
TRUE,"Normal"
)</f>
        <v>Normal</v>
      </c>
    </row>
    <row r="55" spans="1:20" x14ac:dyDescent="0.35">
      <c r="A55" t="s">
        <v>289</v>
      </c>
      <c r="B55" t="s">
        <v>290</v>
      </c>
      <c r="C55" t="s">
        <v>206</v>
      </c>
      <c r="D55" t="s">
        <v>157</v>
      </c>
      <c r="E55" s="34">
        <v>80000000</v>
      </c>
      <c r="F55" s="29">
        <v>0.1326</v>
      </c>
      <c r="G55" s="30">
        <v>44557</v>
      </c>
      <c r="H55">
        <v>60</v>
      </c>
      <c r="I55">
        <v>90</v>
      </c>
      <c r="J55" s="34">
        <v>115200000</v>
      </c>
      <c r="K55" t="s">
        <v>199</v>
      </c>
      <c r="L55" s="34">
        <f>PMT(Loans[[#This Row],[InterestRate]]/12,Loans[[#This Row],[LoanTenureMonths]],-Loans[[#This Row],[LoanAmount]])</f>
        <v>1830911.2753964383</v>
      </c>
      <c r="M55" s="30">
        <f>EDATE(Loans[[#This Row],[LoanStartDate]],Loans[[#This Row],[LoanTenureMonths]])</f>
        <v>46383</v>
      </c>
      <c r="N55" s="33">
        <f>IF(Loans[[#This Row],[LoanAmount]]=0,0,Loans[[#This Row],[CollateralValue]]/Loans[[#This Row],[LoanAmount]])</f>
        <v>1.44</v>
      </c>
      <c r="O55" t="str">
        <f>IF(Loans[[#This Row],[CollateralCoverageRatio]]&lt;1,"Undersecured","Secured")</f>
        <v>Secured</v>
      </c>
      <c r="P55" t="str">
        <f>_xlfn.XLOOKUP(Loans[[#This Row],[BranchCode]],BranchesTbl[BranchCode],BranchesTbl[BranchName])</f>
        <v>Nyahururu</v>
      </c>
      <c r="Q55">
        <f>_xlfn.XLOOKUP(Loans[[#This Row],[CustomerID]],CustomerTbl[CustomerID],CustomerTbl[RiskScore])</f>
        <v>572</v>
      </c>
      <c r="R55" t="str">
        <f>IFERROR(INDEX(RiskTbl[Risk_Category],MATCH(Loans[[#This Row],[RiskScore]],RiskTbl[Score_Min],1)),"Unknown")</f>
        <v>High Risk</v>
      </c>
      <c r="S55" t="str">
        <f>IF(OR(Loans[[#This Row],[LoanStatus]]="Default",Loans[[#This Row],[LoanStatus]]="Watchlist",Loans[[#This Row],[CollateralRisk]]="Undersecured",Loans[[#This Row],[RiskCategory]]="High Risk"),"High Risk Exposure","Normal")</f>
        <v>High Risk Exposure</v>
      </c>
      <c r="T55" t="str" cm="1">
        <f t="array" ref="T55">_xlfn.IFS(
Loans[[#This Row],[LoanStatus]]="Default","Critical",
OR(Loans[[#This Row],[LoanStatus]]="Watchlist",Loans[[#This Row],[CollateralRisk]]="Undersecured",Loans[[#This Row],[RiskCategory]]="High Risk"),"High",
TRUE,"Normal"
)</f>
        <v>High</v>
      </c>
    </row>
    <row r="56" spans="1:20" x14ac:dyDescent="0.35">
      <c r="A56" t="s">
        <v>291</v>
      </c>
      <c r="B56" t="s">
        <v>292</v>
      </c>
      <c r="C56" t="s">
        <v>206</v>
      </c>
      <c r="D56" t="s">
        <v>157</v>
      </c>
      <c r="E56" s="34">
        <v>80000000</v>
      </c>
      <c r="F56" s="29">
        <v>0.124</v>
      </c>
      <c r="G56" s="30">
        <v>45329</v>
      </c>
      <c r="H56">
        <v>60</v>
      </c>
      <c r="I56">
        <v>0</v>
      </c>
      <c r="J56" s="34">
        <v>73600000</v>
      </c>
      <c r="K56" t="s">
        <v>171</v>
      </c>
      <c r="L56" s="34">
        <f>PMT(Loans[[#This Row],[InterestRate]]/12,Loans[[#This Row],[LoanTenureMonths]],-Loans[[#This Row],[LoanAmount]])</f>
        <v>1795768.6705665854</v>
      </c>
      <c r="M56" s="30">
        <f>EDATE(Loans[[#This Row],[LoanStartDate]],Loans[[#This Row],[LoanTenureMonths]])</f>
        <v>47156</v>
      </c>
      <c r="N56" s="33">
        <f>IF(Loans[[#This Row],[LoanAmount]]=0,0,Loans[[#This Row],[CollateralValue]]/Loans[[#This Row],[LoanAmount]])</f>
        <v>0.92</v>
      </c>
      <c r="O56" t="str">
        <f>IF(Loans[[#This Row],[CollateralCoverageRatio]]&lt;1,"Undersecured","Secured")</f>
        <v>Undersecured</v>
      </c>
      <c r="P56" t="str">
        <f>_xlfn.XLOOKUP(Loans[[#This Row],[BranchCode]],BranchesTbl[BranchCode],BranchesTbl[BranchName])</f>
        <v>Nyahururu</v>
      </c>
      <c r="Q56">
        <f>_xlfn.XLOOKUP(Loans[[#This Row],[CustomerID]],CustomerTbl[CustomerID],CustomerTbl[RiskScore])</f>
        <v>831</v>
      </c>
      <c r="R56" t="str">
        <f>IFERROR(INDEX(RiskTbl[Risk_Category],MATCH(Loans[[#This Row],[RiskScore]],RiskTbl[Score_Min],1)),"Unknown")</f>
        <v>Prime</v>
      </c>
      <c r="S56" t="str">
        <f>IF(OR(Loans[[#This Row],[LoanStatus]]="Default",Loans[[#This Row],[LoanStatus]]="Watchlist",Loans[[#This Row],[CollateralRisk]]="Undersecured",Loans[[#This Row],[RiskCategory]]="High Risk"),"High Risk Exposure","Normal")</f>
        <v>High Risk Exposure</v>
      </c>
      <c r="T56" t="str" cm="1">
        <f t="array" ref="T56">_xlfn.IFS(
Loans[[#This Row],[LoanStatus]]="Default","Critical",
OR(Loans[[#This Row],[LoanStatus]]="Watchlist",Loans[[#This Row],[CollateralRisk]]="Undersecured",Loans[[#This Row],[RiskCategory]]="High Risk"),"High",
TRUE,"Normal"
)</f>
        <v>High</v>
      </c>
    </row>
    <row r="57" spans="1:20" x14ac:dyDescent="0.35">
      <c r="A57" t="s">
        <v>293</v>
      </c>
      <c r="B57" t="s">
        <v>294</v>
      </c>
      <c r="C57" t="s">
        <v>177</v>
      </c>
      <c r="D57" t="s">
        <v>158</v>
      </c>
      <c r="E57" s="34">
        <v>6000000</v>
      </c>
      <c r="F57" s="29">
        <v>0.1386</v>
      </c>
      <c r="G57" s="30">
        <v>45578</v>
      </c>
      <c r="H57">
        <v>12</v>
      </c>
      <c r="I57">
        <v>5</v>
      </c>
      <c r="J57" s="34">
        <v>6060000</v>
      </c>
      <c r="K57" t="s">
        <v>171</v>
      </c>
      <c r="L57" s="34">
        <f>PMT(Loans[[#This Row],[InterestRate]]/12,Loans[[#This Row],[LoanTenureMonths]],-Loans[[#This Row],[LoanAmount]])</f>
        <v>538327.54954878206</v>
      </c>
      <c r="M57" s="30">
        <f>EDATE(Loans[[#This Row],[LoanStartDate]],Loans[[#This Row],[LoanTenureMonths]])</f>
        <v>45943</v>
      </c>
      <c r="N57" s="33">
        <f>IF(Loans[[#This Row],[LoanAmount]]=0,0,Loans[[#This Row],[CollateralValue]]/Loans[[#This Row],[LoanAmount]])</f>
        <v>1.01</v>
      </c>
      <c r="O57" t="str">
        <f>IF(Loans[[#This Row],[CollateralCoverageRatio]]&lt;1,"Undersecured","Secured")</f>
        <v>Secured</v>
      </c>
      <c r="P57" t="str">
        <f>_xlfn.XLOOKUP(Loans[[#This Row],[BranchCode]],BranchesTbl[BranchCode],BranchesTbl[BranchName])</f>
        <v>Naivasha</v>
      </c>
      <c r="Q57">
        <f>_xlfn.XLOOKUP(Loans[[#This Row],[CustomerID]],CustomerTbl[CustomerID],CustomerTbl[RiskScore])</f>
        <v>511</v>
      </c>
      <c r="R57" t="str">
        <f>IFERROR(INDEX(RiskTbl[Risk_Category],MATCH(Loans[[#This Row],[RiskScore]],RiskTbl[Score_Min],1)),"Unknown")</f>
        <v>High Risk</v>
      </c>
      <c r="S57" t="str">
        <f>IF(OR(Loans[[#This Row],[LoanStatus]]="Default",Loans[[#This Row],[LoanStatus]]="Watchlist",Loans[[#This Row],[CollateralRisk]]="Undersecured",Loans[[#This Row],[RiskCategory]]="High Risk"),"High Risk Exposure","Normal")</f>
        <v>High Risk Exposure</v>
      </c>
      <c r="T57" t="str" cm="1">
        <f t="array" ref="T57">_xlfn.IFS(
Loans[[#This Row],[LoanStatus]]="Default","Critical",
OR(Loans[[#This Row],[LoanStatus]]="Watchlist",Loans[[#This Row],[CollateralRisk]]="Undersecured",Loans[[#This Row],[RiskCategory]]="High Risk"),"High",
TRUE,"Normal"
)</f>
        <v>High</v>
      </c>
    </row>
    <row r="58" spans="1:20" x14ac:dyDescent="0.35">
      <c r="A58" t="s">
        <v>295</v>
      </c>
      <c r="B58" t="s">
        <v>296</v>
      </c>
      <c r="C58" t="s">
        <v>232</v>
      </c>
      <c r="D58" t="s">
        <v>155</v>
      </c>
      <c r="E58" s="34">
        <v>1000000</v>
      </c>
      <c r="F58" s="29">
        <v>0.1968</v>
      </c>
      <c r="G58" s="30">
        <v>44851</v>
      </c>
      <c r="H58">
        <v>36</v>
      </c>
      <c r="I58">
        <v>90</v>
      </c>
      <c r="J58" s="34">
        <v>0</v>
      </c>
      <c r="K58" t="s">
        <v>199</v>
      </c>
      <c r="L58" s="34">
        <f>PMT(Loans[[#This Row],[InterestRate]]/12,Loans[[#This Row],[LoanTenureMonths]],-Loans[[#This Row],[LoanAmount]])</f>
        <v>37000.735643337706</v>
      </c>
      <c r="M58" s="30">
        <f>EDATE(Loans[[#This Row],[LoanStartDate]],Loans[[#This Row],[LoanTenureMonths]])</f>
        <v>45947</v>
      </c>
      <c r="N58" s="33">
        <f>IF(Loans[[#This Row],[LoanAmount]]=0,0,Loans[[#This Row],[CollateralValue]]/Loans[[#This Row],[LoanAmount]])</f>
        <v>0</v>
      </c>
      <c r="O58" t="str">
        <f>IF(Loans[[#This Row],[CollateralCoverageRatio]]&lt;1,"Undersecured","Secured")</f>
        <v>Undersecured</v>
      </c>
      <c r="P58" t="str">
        <f>_xlfn.XLOOKUP(Loans[[#This Row],[BranchCode]],BranchesTbl[BranchCode],BranchesTbl[BranchName])</f>
        <v>Upper Hill</v>
      </c>
      <c r="Q58">
        <f>_xlfn.XLOOKUP(Loans[[#This Row],[CustomerID]],CustomerTbl[CustomerID],CustomerTbl[RiskScore])</f>
        <v>847</v>
      </c>
      <c r="R58" t="str">
        <f>IFERROR(INDEX(RiskTbl[Risk_Category],MATCH(Loans[[#This Row],[RiskScore]],RiskTbl[Score_Min],1)),"Unknown")</f>
        <v>Prime</v>
      </c>
      <c r="S58" t="str">
        <f>IF(OR(Loans[[#This Row],[LoanStatus]]="Default",Loans[[#This Row],[LoanStatus]]="Watchlist",Loans[[#This Row],[CollateralRisk]]="Undersecured",Loans[[#This Row],[RiskCategory]]="High Risk"),"High Risk Exposure","Normal")</f>
        <v>High Risk Exposure</v>
      </c>
      <c r="T58" t="str" cm="1">
        <f t="array" ref="T58">_xlfn.IFS(
Loans[[#This Row],[LoanStatus]]="Default","Critical",
OR(Loans[[#This Row],[LoanStatus]]="Watchlist",Loans[[#This Row],[CollateralRisk]]="Undersecured",Loans[[#This Row],[RiskCategory]]="High Risk"),"High",
TRUE,"Normal"
)</f>
        <v>High</v>
      </c>
    </row>
    <row r="59" spans="1:20" x14ac:dyDescent="0.35">
      <c r="A59" t="s">
        <v>297</v>
      </c>
      <c r="B59" t="s">
        <v>298</v>
      </c>
      <c r="C59" t="s">
        <v>193</v>
      </c>
      <c r="D59" t="s">
        <v>155</v>
      </c>
      <c r="E59" s="34">
        <v>500000</v>
      </c>
      <c r="F59" s="29">
        <v>0.27050000000000002</v>
      </c>
      <c r="G59" s="30">
        <v>45857</v>
      </c>
      <c r="H59">
        <v>60</v>
      </c>
      <c r="I59">
        <v>120</v>
      </c>
      <c r="J59" s="34">
        <v>0</v>
      </c>
      <c r="K59" t="s">
        <v>178</v>
      </c>
      <c r="L59" s="34">
        <f>PMT(Loans[[#This Row],[InterestRate]]/12,Loans[[#This Row],[LoanTenureMonths]],-Loans[[#This Row],[LoanAmount]])</f>
        <v>15282.609479987525</v>
      </c>
      <c r="M59" s="30">
        <f>EDATE(Loans[[#This Row],[LoanStartDate]],Loans[[#This Row],[LoanTenureMonths]])</f>
        <v>47683</v>
      </c>
      <c r="N59" s="33">
        <f>IF(Loans[[#This Row],[LoanAmount]]=0,0,Loans[[#This Row],[CollateralValue]]/Loans[[#This Row],[LoanAmount]])</f>
        <v>0</v>
      </c>
      <c r="O59" t="str">
        <f>IF(Loans[[#This Row],[CollateralCoverageRatio]]&lt;1,"Undersecured","Secured")</f>
        <v>Undersecured</v>
      </c>
      <c r="P59" t="str">
        <f>_xlfn.XLOOKUP(Loans[[#This Row],[BranchCode]],BranchesTbl[BranchCode],BranchesTbl[BranchName])</f>
        <v>Mombasa</v>
      </c>
      <c r="Q59">
        <f>_xlfn.XLOOKUP(Loans[[#This Row],[CustomerID]],CustomerTbl[CustomerID],CustomerTbl[RiskScore])</f>
        <v>324</v>
      </c>
      <c r="R59" t="str">
        <f>IFERROR(INDEX(RiskTbl[Risk_Category],MATCH(Loans[[#This Row],[RiskScore]],RiskTbl[Score_Min],1)),"Unknown")</f>
        <v>High Risk</v>
      </c>
      <c r="S59" t="str">
        <f>IF(OR(Loans[[#This Row],[LoanStatus]]="Default",Loans[[#This Row],[LoanStatus]]="Watchlist",Loans[[#This Row],[CollateralRisk]]="Undersecured",Loans[[#This Row],[RiskCategory]]="High Risk"),"High Risk Exposure","Normal")</f>
        <v>High Risk Exposure</v>
      </c>
      <c r="T59" t="str" cm="1">
        <f t="array" ref="T59">_xlfn.IFS(
Loans[[#This Row],[LoanStatus]]="Default","Critical",
OR(Loans[[#This Row],[LoanStatus]]="Watchlist",Loans[[#This Row],[CollateralRisk]]="Undersecured",Loans[[#This Row],[RiskCategory]]="High Risk"),"High",
TRUE,"Normal"
)</f>
        <v>Critical</v>
      </c>
    </row>
    <row r="60" spans="1:20" x14ac:dyDescent="0.35">
      <c r="A60" t="s">
        <v>299</v>
      </c>
      <c r="B60" t="s">
        <v>300</v>
      </c>
      <c r="C60" t="s">
        <v>177</v>
      </c>
      <c r="D60" t="s">
        <v>157</v>
      </c>
      <c r="E60" s="34">
        <v>80000000</v>
      </c>
      <c r="F60" s="29">
        <v>0.12959999999999999</v>
      </c>
      <c r="G60" s="30">
        <v>44317</v>
      </c>
      <c r="H60">
        <v>24</v>
      </c>
      <c r="I60">
        <v>20</v>
      </c>
      <c r="J60" s="34">
        <v>68000000</v>
      </c>
      <c r="K60" t="s">
        <v>171</v>
      </c>
      <c r="L60" s="34">
        <f>PMT(Loans[[#This Row],[InterestRate]]/12,Loans[[#This Row],[LoanTenureMonths]],-Loans[[#This Row],[LoanAmount]])</f>
        <v>3801842.9196061096</v>
      </c>
      <c r="M60" s="30">
        <f>EDATE(Loans[[#This Row],[LoanStartDate]],Loans[[#This Row],[LoanTenureMonths]])</f>
        <v>45047</v>
      </c>
      <c r="N60" s="33">
        <f>IF(Loans[[#This Row],[LoanAmount]]=0,0,Loans[[#This Row],[CollateralValue]]/Loans[[#This Row],[LoanAmount]])</f>
        <v>0.85</v>
      </c>
      <c r="O60" t="str">
        <f>IF(Loans[[#This Row],[CollateralCoverageRatio]]&lt;1,"Undersecured","Secured")</f>
        <v>Undersecured</v>
      </c>
      <c r="P60" t="str">
        <f>_xlfn.XLOOKUP(Loans[[#This Row],[BranchCode]],BranchesTbl[BranchCode],BranchesTbl[BranchName])</f>
        <v>Naivasha</v>
      </c>
      <c r="Q60">
        <f>_xlfn.XLOOKUP(Loans[[#This Row],[CustomerID]],CustomerTbl[CustomerID],CustomerTbl[RiskScore])</f>
        <v>674</v>
      </c>
      <c r="R60" t="str">
        <f>IFERROR(INDEX(RiskTbl[Risk_Category],MATCH(Loans[[#This Row],[RiskScore]],RiskTbl[Score_Min],1)),"Unknown")</f>
        <v>Low Risk</v>
      </c>
      <c r="S60" t="str">
        <f>IF(OR(Loans[[#This Row],[LoanStatus]]="Default",Loans[[#This Row],[LoanStatus]]="Watchlist",Loans[[#This Row],[CollateralRisk]]="Undersecured",Loans[[#This Row],[RiskCategory]]="High Risk"),"High Risk Exposure","Normal")</f>
        <v>High Risk Exposure</v>
      </c>
      <c r="T60" t="str" cm="1">
        <f t="array" ref="T60">_xlfn.IFS(
Loans[[#This Row],[LoanStatus]]="Default","Critical",
OR(Loans[[#This Row],[LoanStatus]]="Watchlist",Loans[[#This Row],[CollateralRisk]]="Undersecured",Loans[[#This Row],[RiskCategory]]="High Risk"),"High",
TRUE,"Normal"
)</f>
        <v>High</v>
      </c>
    </row>
    <row r="61" spans="1:20" x14ac:dyDescent="0.35">
      <c r="A61" t="s">
        <v>301</v>
      </c>
      <c r="B61" t="s">
        <v>302</v>
      </c>
      <c r="C61" t="s">
        <v>219</v>
      </c>
      <c r="D61" t="s">
        <v>155</v>
      </c>
      <c r="E61" s="34">
        <v>500000</v>
      </c>
      <c r="F61" s="29">
        <v>0.24879999999999999</v>
      </c>
      <c r="G61" s="30">
        <v>45204</v>
      </c>
      <c r="H61">
        <v>60</v>
      </c>
      <c r="I61">
        <v>45</v>
      </c>
      <c r="J61" s="34">
        <v>0</v>
      </c>
      <c r="K61" t="s">
        <v>199</v>
      </c>
      <c r="L61" s="34">
        <f>PMT(Loans[[#This Row],[InterestRate]]/12,Loans[[#This Row],[LoanTenureMonths]],-Loans[[#This Row],[LoanAmount]])</f>
        <v>14640.50668193447</v>
      </c>
      <c r="M61" s="30">
        <f>EDATE(Loans[[#This Row],[LoanStartDate]],Loans[[#This Row],[LoanTenureMonths]])</f>
        <v>47031</v>
      </c>
      <c r="N61" s="33">
        <f>IF(Loans[[#This Row],[LoanAmount]]=0,0,Loans[[#This Row],[CollateralValue]]/Loans[[#This Row],[LoanAmount]])</f>
        <v>0</v>
      </c>
      <c r="O61" t="str">
        <f>IF(Loans[[#This Row],[CollateralCoverageRatio]]&lt;1,"Undersecured","Secured")</f>
        <v>Undersecured</v>
      </c>
      <c r="P61" t="str">
        <f>_xlfn.XLOOKUP(Loans[[#This Row],[BranchCode]],BranchesTbl[BranchCode],BranchesTbl[BranchName])</f>
        <v>Meru</v>
      </c>
      <c r="Q61">
        <f>_xlfn.XLOOKUP(Loans[[#This Row],[CustomerID]],CustomerTbl[CustomerID],CustomerTbl[RiskScore])</f>
        <v>555</v>
      </c>
      <c r="R61" t="str">
        <f>IFERROR(INDEX(RiskTbl[Risk_Category],MATCH(Loans[[#This Row],[RiskScore]],RiskTbl[Score_Min],1)),"Unknown")</f>
        <v>High Risk</v>
      </c>
      <c r="S61" t="str">
        <f>IF(OR(Loans[[#This Row],[LoanStatus]]="Default",Loans[[#This Row],[LoanStatus]]="Watchlist",Loans[[#This Row],[CollateralRisk]]="Undersecured",Loans[[#This Row],[RiskCategory]]="High Risk"),"High Risk Exposure","Normal")</f>
        <v>High Risk Exposure</v>
      </c>
      <c r="T61" t="str" cm="1">
        <f t="array" ref="T61">_xlfn.IFS(
Loans[[#This Row],[LoanStatus]]="Default","Critical",
OR(Loans[[#This Row],[LoanStatus]]="Watchlist",Loans[[#This Row],[CollateralRisk]]="Undersecured",Loans[[#This Row],[RiskCategory]]="High Risk"),"High",
TRUE,"Normal"
)</f>
        <v>High</v>
      </c>
    </row>
    <row r="62" spans="1:20" x14ac:dyDescent="0.35">
      <c r="A62" t="s">
        <v>303</v>
      </c>
      <c r="B62" t="s">
        <v>264</v>
      </c>
      <c r="C62" t="s">
        <v>174</v>
      </c>
      <c r="D62" t="s">
        <v>157</v>
      </c>
      <c r="E62" s="34">
        <v>80000000</v>
      </c>
      <c r="F62" s="29">
        <v>9.1399999999999995E-2</v>
      </c>
      <c r="G62" s="30">
        <v>44476</v>
      </c>
      <c r="H62">
        <v>72</v>
      </c>
      <c r="I62">
        <v>20</v>
      </c>
      <c r="J62" s="34">
        <v>64800000</v>
      </c>
      <c r="K62" t="s">
        <v>171</v>
      </c>
      <c r="L62" s="34">
        <f>PMT(Loans[[#This Row],[InterestRate]]/12,Loans[[#This Row],[LoanTenureMonths]],-Loans[[#This Row],[LoanAmount]])</f>
        <v>1447607.904587989</v>
      </c>
      <c r="M62" s="30">
        <f>EDATE(Loans[[#This Row],[LoanStartDate]],Loans[[#This Row],[LoanTenureMonths]])</f>
        <v>46667</v>
      </c>
      <c r="N62" s="33">
        <f>IF(Loans[[#This Row],[LoanAmount]]=0,0,Loans[[#This Row],[CollateralValue]]/Loans[[#This Row],[LoanAmount]])</f>
        <v>0.81</v>
      </c>
      <c r="O62" t="str">
        <f>IF(Loans[[#This Row],[CollateralCoverageRatio]]&lt;1,"Undersecured","Secured")</f>
        <v>Undersecured</v>
      </c>
      <c r="P62" t="str">
        <f>_xlfn.XLOOKUP(Loans[[#This Row],[BranchCode]],BranchesTbl[BranchCode],BranchesTbl[BranchName])</f>
        <v>Westlands</v>
      </c>
      <c r="Q62">
        <f>_xlfn.XLOOKUP(Loans[[#This Row],[CustomerID]],CustomerTbl[CustomerID],CustomerTbl[RiskScore])</f>
        <v>316</v>
      </c>
      <c r="R62" t="str">
        <f>IFERROR(INDEX(RiskTbl[Risk_Category],MATCH(Loans[[#This Row],[RiskScore]],RiskTbl[Score_Min],1)),"Unknown")</f>
        <v>High Risk</v>
      </c>
      <c r="S62" t="str">
        <f>IF(OR(Loans[[#This Row],[LoanStatus]]="Default",Loans[[#This Row],[LoanStatus]]="Watchlist",Loans[[#This Row],[CollateralRisk]]="Undersecured",Loans[[#This Row],[RiskCategory]]="High Risk"),"High Risk Exposure","Normal")</f>
        <v>High Risk Exposure</v>
      </c>
      <c r="T62" t="str" cm="1">
        <f t="array" ref="T62">_xlfn.IFS(
Loans[[#This Row],[LoanStatus]]="Default","Critical",
OR(Loans[[#This Row],[LoanStatus]]="Watchlist",Loans[[#This Row],[CollateralRisk]]="Undersecured",Loans[[#This Row],[RiskCategory]]="High Risk"),"High",
TRUE,"Normal"
)</f>
        <v>High</v>
      </c>
    </row>
    <row r="63" spans="1:20" x14ac:dyDescent="0.35">
      <c r="A63" t="s">
        <v>304</v>
      </c>
      <c r="B63" t="s">
        <v>254</v>
      </c>
      <c r="C63" t="s">
        <v>170</v>
      </c>
      <c r="D63" t="s">
        <v>156</v>
      </c>
      <c r="E63" s="34">
        <v>25000000</v>
      </c>
      <c r="F63" s="29">
        <v>0.2157</v>
      </c>
      <c r="G63" s="30">
        <v>44578</v>
      </c>
      <c r="H63">
        <v>12</v>
      </c>
      <c r="I63">
        <v>0</v>
      </c>
      <c r="J63" s="34">
        <v>33750000</v>
      </c>
      <c r="K63" t="s">
        <v>171</v>
      </c>
      <c r="L63" s="34">
        <f>PMT(Loans[[#This Row],[InterestRate]]/12,Loans[[#This Row],[LoanTenureMonths]],-Loans[[#This Row],[LoanAmount]])</f>
        <v>2334688.8820227017</v>
      </c>
      <c r="M63" s="30">
        <f>EDATE(Loans[[#This Row],[LoanStartDate]],Loans[[#This Row],[LoanTenureMonths]])</f>
        <v>44943</v>
      </c>
      <c r="N63" s="33">
        <f>IF(Loans[[#This Row],[LoanAmount]]=0,0,Loans[[#This Row],[CollateralValue]]/Loans[[#This Row],[LoanAmount]])</f>
        <v>1.35</v>
      </c>
      <c r="O63" t="str">
        <f>IF(Loans[[#This Row],[CollateralCoverageRatio]]&lt;1,"Undersecured","Secured")</f>
        <v>Secured</v>
      </c>
      <c r="P63" t="str">
        <f>_xlfn.XLOOKUP(Loans[[#This Row],[BranchCode]],BranchesTbl[BranchCode],BranchesTbl[BranchName])</f>
        <v>Thika</v>
      </c>
      <c r="Q63">
        <f>_xlfn.XLOOKUP(Loans[[#This Row],[CustomerID]],CustomerTbl[CustomerID],CustomerTbl[RiskScore])</f>
        <v>535</v>
      </c>
      <c r="R63" t="str">
        <f>IFERROR(INDEX(RiskTbl[Risk_Category],MATCH(Loans[[#This Row],[RiskScore]],RiskTbl[Score_Min],1)),"Unknown")</f>
        <v>High Risk</v>
      </c>
      <c r="S63" t="str">
        <f>IF(OR(Loans[[#This Row],[LoanStatus]]="Default",Loans[[#This Row],[LoanStatus]]="Watchlist",Loans[[#This Row],[CollateralRisk]]="Undersecured",Loans[[#This Row],[RiskCategory]]="High Risk"),"High Risk Exposure","Normal")</f>
        <v>High Risk Exposure</v>
      </c>
      <c r="T63" t="str" cm="1">
        <f t="array" ref="T63">_xlfn.IFS(
Loans[[#This Row],[LoanStatus]]="Default","Critical",
OR(Loans[[#This Row],[LoanStatus]]="Watchlist",Loans[[#This Row],[CollateralRisk]]="Undersecured",Loans[[#This Row],[RiskCategory]]="High Risk"),"High",
TRUE,"Normal"
)</f>
        <v>High</v>
      </c>
    </row>
    <row r="64" spans="1:20" x14ac:dyDescent="0.35">
      <c r="A64" t="s">
        <v>305</v>
      </c>
      <c r="B64" t="s">
        <v>306</v>
      </c>
      <c r="C64" t="s">
        <v>170</v>
      </c>
      <c r="D64" t="s">
        <v>155</v>
      </c>
      <c r="E64" s="34">
        <v>500000</v>
      </c>
      <c r="F64" s="29">
        <v>0.23569999999999999</v>
      </c>
      <c r="G64" s="30">
        <v>45570</v>
      </c>
      <c r="H64">
        <v>12</v>
      </c>
      <c r="I64">
        <v>90</v>
      </c>
      <c r="J64" s="34">
        <v>0</v>
      </c>
      <c r="K64" t="s">
        <v>199</v>
      </c>
      <c r="L64" s="34">
        <f>PMT(Loans[[#This Row],[InterestRate]]/12,Loans[[#This Row],[LoanTenureMonths]],-Loans[[#This Row],[LoanAmount]])</f>
        <v>47175.812480345143</v>
      </c>
      <c r="M64" s="30">
        <f>EDATE(Loans[[#This Row],[LoanStartDate]],Loans[[#This Row],[LoanTenureMonths]])</f>
        <v>45935</v>
      </c>
      <c r="N64" s="33">
        <f>IF(Loans[[#This Row],[LoanAmount]]=0,0,Loans[[#This Row],[CollateralValue]]/Loans[[#This Row],[LoanAmount]])</f>
        <v>0</v>
      </c>
      <c r="O64" t="str">
        <f>IF(Loans[[#This Row],[CollateralCoverageRatio]]&lt;1,"Undersecured","Secured")</f>
        <v>Undersecured</v>
      </c>
      <c r="P64" t="str">
        <f>_xlfn.XLOOKUP(Loans[[#This Row],[BranchCode]],BranchesTbl[BranchCode],BranchesTbl[BranchName])</f>
        <v>Thika</v>
      </c>
      <c r="Q64">
        <f>_xlfn.XLOOKUP(Loans[[#This Row],[CustomerID]],CustomerTbl[CustomerID],CustomerTbl[RiskScore])</f>
        <v>400</v>
      </c>
      <c r="R64" t="str">
        <f>IFERROR(INDEX(RiskTbl[Risk_Category],MATCH(Loans[[#This Row],[RiskScore]],RiskTbl[Score_Min],1)),"Unknown")</f>
        <v>High Risk</v>
      </c>
      <c r="S64" t="str">
        <f>IF(OR(Loans[[#This Row],[LoanStatus]]="Default",Loans[[#This Row],[LoanStatus]]="Watchlist",Loans[[#This Row],[CollateralRisk]]="Undersecured",Loans[[#This Row],[RiskCategory]]="High Risk"),"High Risk Exposure","Normal")</f>
        <v>High Risk Exposure</v>
      </c>
      <c r="T64" t="str" cm="1">
        <f t="array" ref="T64">_xlfn.IFS(
Loans[[#This Row],[LoanStatus]]="Default","Critical",
OR(Loans[[#This Row],[LoanStatus]]="Watchlist",Loans[[#This Row],[CollateralRisk]]="Undersecured",Loans[[#This Row],[RiskCategory]]="High Risk"),"High",
TRUE,"Normal"
)</f>
        <v>High</v>
      </c>
    </row>
    <row r="65" spans="1:20" x14ac:dyDescent="0.35">
      <c r="A65" t="s">
        <v>307</v>
      </c>
      <c r="B65" t="s">
        <v>308</v>
      </c>
      <c r="C65" t="s">
        <v>239</v>
      </c>
      <c r="D65" t="s">
        <v>155</v>
      </c>
      <c r="E65" s="34">
        <v>100000</v>
      </c>
      <c r="F65" s="29">
        <v>0.19139999999999999</v>
      </c>
      <c r="G65" s="30">
        <v>44643</v>
      </c>
      <c r="H65">
        <v>48</v>
      </c>
      <c r="I65">
        <v>0</v>
      </c>
      <c r="J65" s="34">
        <v>0</v>
      </c>
      <c r="K65" t="s">
        <v>171</v>
      </c>
      <c r="L65" s="34">
        <f>PMT(Loans[[#This Row],[InterestRate]]/12,Loans[[#This Row],[LoanTenureMonths]],-Loans[[#This Row],[LoanAmount]])</f>
        <v>2997.4044669870191</v>
      </c>
      <c r="M65" s="30">
        <f>EDATE(Loans[[#This Row],[LoanStartDate]],Loans[[#This Row],[LoanTenureMonths]])</f>
        <v>46104</v>
      </c>
      <c r="N65" s="33">
        <f>IF(Loans[[#This Row],[LoanAmount]]=0,0,Loans[[#This Row],[CollateralValue]]/Loans[[#This Row],[LoanAmount]])</f>
        <v>0</v>
      </c>
      <c r="O65" t="str">
        <f>IF(Loans[[#This Row],[CollateralCoverageRatio]]&lt;1,"Undersecured","Secured")</f>
        <v>Undersecured</v>
      </c>
      <c r="P65" t="str">
        <f>_xlfn.XLOOKUP(Loans[[#This Row],[BranchCode]],BranchesTbl[BranchCode],BranchesTbl[BranchName])</f>
        <v>Machakos</v>
      </c>
      <c r="Q65">
        <f>_xlfn.XLOOKUP(Loans[[#This Row],[CustomerID]],CustomerTbl[CustomerID],CustomerTbl[RiskScore])</f>
        <v>477</v>
      </c>
      <c r="R65" t="str">
        <f>IFERROR(INDEX(RiskTbl[Risk_Category],MATCH(Loans[[#This Row],[RiskScore]],RiskTbl[Score_Min],1)),"Unknown")</f>
        <v>High Risk</v>
      </c>
      <c r="S65" t="str">
        <f>IF(OR(Loans[[#This Row],[LoanStatus]]="Default",Loans[[#This Row],[LoanStatus]]="Watchlist",Loans[[#This Row],[CollateralRisk]]="Undersecured",Loans[[#This Row],[RiskCategory]]="High Risk"),"High Risk Exposure","Normal")</f>
        <v>High Risk Exposure</v>
      </c>
      <c r="T65" t="str" cm="1">
        <f t="array" ref="T65">_xlfn.IFS(
Loans[[#This Row],[LoanStatus]]="Default","Critical",
OR(Loans[[#This Row],[LoanStatus]]="Watchlist",Loans[[#This Row],[CollateralRisk]]="Undersecured",Loans[[#This Row],[RiskCategory]]="High Risk"),"High",
TRUE,"Normal"
)</f>
        <v>High</v>
      </c>
    </row>
    <row r="66" spans="1:20" x14ac:dyDescent="0.35">
      <c r="A66" t="s">
        <v>309</v>
      </c>
      <c r="B66" t="s">
        <v>310</v>
      </c>
      <c r="C66" t="s">
        <v>174</v>
      </c>
      <c r="D66" t="s">
        <v>156</v>
      </c>
      <c r="E66" s="34">
        <v>6000000</v>
      </c>
      <c r="F66" s="29">
        <v>0.21759999999999999</v>
      </c>
      <c r="G66" s="30">
        <v>45719</v>
      </c>
      <c r="H66">
        <v>60</v>
      </c>
      <c r="I66">
        <v>0</v>
      </c>
      <c r="J66" s="34">
        <v>5520000</v>
      </c>
      <c r="K66" t="s">
        <v>171</v>
      </c>
      <c r="L66" s="34">
        <f>PMT(Loans[[#This Row],[InterestRate]]/12,Loans[[#This Row],[LoanTenureMonths]],-Loans[[#This Row],[LoanAmount]])</f>
        <v>164895.77420292946</v>
      </c>
      <c r="M66" s="30">
        <f>EDATE(Loans[[#This Row],[LoanStartDate]],Loans[[#This Row],[LoanTenureMonths]])</f>
        <v>47545</v>
      </c>
      <c r="N66" s="33">
        <f>IF(Loans[[#This Row],[LoanAmount]]=0,0,Loans[[#This Row],[CollateralValue]]/Loans[[#This Row],[LoanAmount]])</f>
        <v>0.92</v>
      </c>
      <c r="O66" t="str">
        <f>IF(Loans[[#This Row],[CollateralCoverageRatio]]&lt;1,"Undersecured","Secured")</f>
        <v>Undersecured</v>
      </c>
      <c r="P66" t="str">
        <f>_xlfn.XLOOKUP(Loans[[#This Row],[BranchCode]],BranchesTbl[BranchCode],BranchesTbl[BranchName])</f>
        <v>Westlands</v>
      </c>
      <c r="Q66">
        <f>_xlfn.XLOOKUP(Loans[[#This Row],[CustomerID]],CustomerTbl[CustomerID],CustomerTbl[RiskScore])</f>
        <v>681</v>
      </c>
      <c r="R66" t="str">
        <f>IFERROR(INDEX(RiskTbl[Risk_Category],MATCH(Loans[[#This Row],[RiskScore]],RiskTbl[Score_Min],1)),"Unknown")</f>
        <v>Low Risk</v>
      </c>
      <c r="S66" t="str">
        <f>IF(OR(Loans[[#This Row],[LoanStatus]]="Default",Loans[[#This Row],[LoanStatus]]="Watchlist",Loans[[#This Row],[CollateralRisk]]="Undersecured",Loans[[#This Row],[RiskCategory]]="High Risk"),"High Risk Exposure","Normal")</f>
        <v>High Risk Exposure</v>
      </c>
      <c r="T66" t="str" cm="1">
        <f t="array" ref="T66">_xlfn.IFS(
Loans[[#This Row],[LoanStatus]]="Default","Critical",
OR(Loans[[#This Row],[LoanStatus]]="Watchlist",Loans[[#This Row],[CollateralRisk]]="Undersecured",Loans[[#This Row],[RiskCategory]]="High Risk"),"High",
TRUE,"Normal"
)</f>
        <v>High</v>
      </c>
    </row>
    <row r="67" spans="1:20" x14ac:dyDescent="0.35">
      <c r="A67" t="s">
        <v>311</v>
      </c>
      <c r="B67" t="s">
        <v>312</v>
      </c>
      <c r="C67" t="s">
        <v>187</v>
      </c>
      <c r="D67" t="s">
        <v>156</v>
      </c>
      <c r="E67" s="34">
        <v>6000000</v>
      </c>
      <c r="F67" s="29">
        <v>0.21859999999999999</v>
      </c>
      <c r="G67" s="30">
        <v>45038</v>
      </c>
      <c r="H67">
        <v>60</v>
      </c>
      <c r="I67">
        <v>120</v>
      </c>
      <c r="J67" s="34">
        <v>8760000</v>
      </c>
      <c r="K67" t="s">
        <v>178</v>
      </c>
      <c r="L67" s="34">
        <f>PMT(Loans[[#This Row],[InterestRate]]/12,Loans[[#This Row],[LoanTenureMonths]],-Loans[[#This Row],[LoanAmount]])</f>
        <v>165236.22904067975</v>
      </c>
      <c r="M67" s="30">
        <f>EDATE(Loans[[#This Row],[LoanStartDate]],Loans[[#This Row],[LoanTenureMonths]])</f>
        <v>46865</v>
      </c>
      <c r="N67" s="33">
        <f>IF(Loans[[#This Row],[LoanAmount]]=0,0,Loans[[#This Row],[CollateralValue]]/Loans[[#This Row],[LoanAmount]])</f>
        <v>1.46</v>
      </c>
      <c r="O67" t="str">
        <f>IF(Loans[[#This Row],[CollateralCoverageRatio]]&lt;1,"Undersecured","Secured")</f>
        <v>Secured</v>
      </c>
      <c r="P67" t="str">
        <f>_xlfn.XLOOKUP(Loans[[#This Row],[BranchCode]],BranchesTbl[BranchCode],BranchesTbl[BranchName])</f>
        <v>Eldoret</v>
      </c>
      <c r="Q67">
        <f>_xlfn.XLOOKUP(Loans[[#This Row],[CustomerID]],CustomerTbl[CustomerID],CustomerTbl[RiskScore])</f>
        <v>780</v>
      </c>
      <c r="R67" t="str">
        <f>IFERROR(INDEX(RiskTbl[Risk_Category],MATCH(Loans[[#This Row],[RiskScore]],RiskTbl[Score_Min],1)),"Unknown")</f>
        <v>Very Low Risk</v>
      </c>
      <c r="S67" t="str">
        <f>IF(OR(Loans[[#This Row],[LoanStatus]]="Default",Loans[[#This Row],[LoanStatus]]="Watchlist",Loans[[#This Row],[CollateralRisk]]="Undersecured",Loans[[#This Row],[RiskCategory]]="High Risk"),"High Risk Exposure","Normal")</f>
        <v>High Risk Exposure</v>
      </c>
      <c r="T67" t="str" cm="1">
        <f t="array" ref="T67">_xlfn.IFS(
Loans[[#This Row],[LoanStatus]]="Default","Critical",
OR(Loans[[#This Row],[LoanStatus]]="Watchlist",Loans[[#This Row],[CollateralRisk]]="Undersecured",Loans[[#This Row],[RiskCategory]]="High Risk"),"High",
TRUE,"Normal"
)</f>
        <v>Critical</v>
      </c>
    </row>
    <row r="68" spans="1:20" x14ac:dyDescent="0.35">
      <c r="A68" t="s">
        <v>313</v>
      </c>
      <c r="B68" t="s">
        <v>314</v>
      </c>
      <c r="C68" t="s">
        <v>232</v>
      </c>
      <c r="D68" t="s">
        <v>158</v>
      </c>
      <c r="E68" s="34">
        <v>3000000</v>
      </c>
      <c r="F68" s="29">
        <v>0.1825</v>
      </c>
      <c r="G68" s="30">
        <v>45566</v>
      </c>
      <c r="H68">
        <v>72</v>
      </c>
      <c r="I68">
        <v>0</v>
      </c>
      <c r="J68" s="34">
        <v>3450000</v>
      </c>
      <c r="K68" t="s">
        <v>171</v>
      </c>
      <c r="L68" s="34">
        <f>PMT(Loans[[#This Row],[InterestRate]]/12,Loans[[#This Row],[LoanTenureMonths]],-Loans[[#This Row],[LoanAmount]])</f>
        <v>68848.03858230765</v>
      </c>
      <c r="M68" s="30">
        <f>EDATE(Loans[[#This Row],[LoanStartDate]],Loans[[#This Row],[LoanTenureMonths]])</f>
        <v>47757</v>
      </c>
      <c r="N68" s="33">
        <f>IF(Loans[[#This Row],[LoanAmount]]=0,0,Loans[[#This Row],[CollateralValue]]/Loans[[#This Row],[LoanAmount]])</f>
        <v>1.1499999999999999</v>
      </c>
      <c r="O68" t="str">
        <f>IF(Loans[[#This Row],[CollateralCoverageRatio]]&lt;1,"Undersecured","Secured")</f>
        <v>Secured</v>
      </c>
      <c r="P68" t="str">
        <f>_xlfn.XLOOKUP(Loans[[#This Row],[BranchCode]],BranchesTbl[BranchCode],BranchesTbl[BranchName])</f>
        <v>Upper Hill</v>
      </c>
      <c r="Q68">
        <f>_xlfn.XLOOKUP(Loans[[#This Row],[CustomerID]],CustomerTbl[CustomerID],CustomerTbl[RiskScore])</f>
        <v>611</v>
      </c>
      <c r="R68" t="str">
        <f>IFERROR(INDEX(RiskTbl[Risk_Category],MATCH(Loans[[#This Row],[RiskScore]],RiskTbl[Score_Min],1)),"Unknown")</f>
        <v>Medium Risk</v>
      </c>
      <c r="S68" t="str">
        <f>IF(OR(Loans[[#This Row],[LoanStatus]]="Default",Loans[[#This Row],[LoanStatus]]="Watchlist",Loans[[#This Row],[CollateralRisk]]="Undersecured",Loans[[#This Row],[RiskCategory]]="High Risk"),"High Risk Exposure","Normal")</f>
        <v>Normal</v>
      </c>
      <c r="T68" t="str" cm="1">
        <f t="array" ref="T68">_xlfn.IFS(
Loans[[#This Row],[LoanStatus]]="Default","Critical",
OR(Loans[[#This Row],[LoanStatus]]="Watchlist",Loans[[#This Row],[CollateralRisk]]="Undersecured",Loans[[#This Row],[RiskCategory]]="High Risk"),"High",
TRUE,"Normal"
)</f>
        <v>Normal</v>
      </c>
    </row>
    <row r="69" spans="1:20" x14ac:dyDescent="0.35">
      <c r="A69" t="s">
        <v>315</v>
      </c>
      <c r="B69" t="s">
        <v>316</v>
      </c>
      <c r="C69" t="s">
        <v>239</v>
      </c>
      <c r="D69" t="s">
        <v>158</v>
      </c>
      <c r="E69" s="34">
        <v>6000000</v>
      </c>
      <c r="F69" s="29">
        <v>0.13250000000000001</v>
      </c>
      <c r="G69" s="30">
        <v>45205</v>
      </c>
      <c r="H69">
        <v>24</v>
      </c>
      <c r="I69">
        <v>0</v>
      </c>
      <c r="J69" s="34">
        <v>7140000</v>
      </c>
      <c r="K69" t="s">
        <v>171</v>
      </c>
      <c r="L69" s="34">
        <f>PMT(Loans[[#This Row],[InterestRate]]/12,Loans[[#This Row],[LoanTenureMonths]],-Loans[[#This Row],[LoanAmount]])</f>
        <v>285956.00343582977</v>
      </c>
      <c r="M69" s="30">
        <f>EDATE(Loans[[#This Row],[LoanStartDate]],Loans[[#This Row],[LoanTenureMonths]])</f>
        <v>45936</v>
      </c>
      <c r="N69" s="33">
        <f>IF(Loans[[#This Row],[LoanAmount]]=0,0,Loans[[#This Row],[CollateralValue]]/Loans[[#This Row],[LoanAmount]])</f>
        <v>1.19</v>
      </c>
      <c r="O69" t="str">
        <f>IF(Loans[[#This Row],[CollateralCoverageRatio]]&lt;1,"Undersecured","Secured")</f>
        <v>Secured</v>
      </c>
      <c r="P69" t="str">
        <f>_xlfn.XLOOKUP(Loans[[#This Row],[BranchCode]],BranchesTbl[BranchCode],BranchesTbl[BranchName])</f>
        <v>Machakos</v>
      </c>
      <c r="Q69">
        <f>_xlfn.XLOOKUP(Loans[[#This Row],[CustomerID]],CustomerTbl[CustomerID],CustomerTbl[RiskScore])</f>
        <v>325</v>
      </c>
      <c r="R69" t="str">
        <f>IFERROR(INDEX(RiskTbl[Risk_Category],MATCH(Loans[[#This Row],[RiskScore]],RiskTbl[Score_Min],1)),"Unknown")</f>
        <v>High Risk</v>
      </c>
      <c r="S69" t="str">
        <f>IF(OR(Loans[[#This Row],[LoanStatus]]="Default",Loans[[#This Row],[LoanStatus]]="Watchlist",Loans[[#This Row],[CollateralRisk]]="Undersecured",Loans[[#This Row],[RiskCategory]]="High Risk"),"High Risk Exposure","Normal")</f>
        <v>High Risk Exposure</v>
      </c>
      <c r="T69" t="str" cm="1">
        <f t="array" ref="T69">_xlfn.IFS(
Loans[[#This Row],[LoanStatus]]="Default","Critical",
OR(Loans[[#This Row],[LoanStatus]]="Watchlist",Loans[[#This Row],[CollateralRisk]]="Undersecured",Loans[[#This Row],[RiskCategory]]="High Risk"),"High",
TRUE,"Normal"
)</f>
        <v>High</v>
      </c>
    </row>
    <row r="70" spans="1:20" x14ac:dyDescent="0.35">
      <c r="A70" t="s">
        <v>317</v>
      </c>
      <c r="B70" t="s">
        <v>318</v>
      </c>
      <c r="C70" t="s">
        <v>219</v>
      </c>
      <c r="D70" t="s">
        <v>158</v>
      </c>
      <c r="E70" s="34">
        <v>3000000</v>
      </c>
      <c r="F70" s="29">
        <v>0.13420000000000001</v>
      </c>
      <c r="G70" s="30">
        <v>44094</v>
      </c>
      <c r="H70">
        <v>60</v>
      </c>
      <c r="I70">
        <v>45</v>
      </c>
      <c r="J70" s="34">
        <v>1980000</v>
      </c>
      <c r="K70" t="s">
        <v>199</v>
      </c>
      <c r="L70" s="34">
        <f>PMT(Loans[[#This Row],[InterestRate]]/12,Loans[[#This Row],[LoanTenureMonths]],-Loans[[#This Row],[LoanAmount]])</f>
        <v>68905.957544182776</v>
      </c>
      <c r="M70" s="30">
        <f>EDATE(Loans[[#This Row],[LoanStartDate]],Loans[[#This Row],[LoanTenureMonths]])</f>
        <v>45920</v>
      </c>
      <c r="N70" s="33">
        <f>IF(Loans[[#This Row],[LoanAmount]]=0,0,Loans[[#This Row],[CollateralValue]]/Loans[[#This Row],[LoanAmount]])</f>
        <v>0.66</v>
      </c>
      <c r="O70" t="str">
        <f>IF(Loans[[#This Row],[CollateralCoverageRatio]]&lt;1,"Undersecured","Secured")</f>
        <v>Undersecured</v>
      </c>
      <c r="P70" t="str">
        <f>_xlfn.XLOOKUP(Loans[[#This Row],[BranchCode]],BranchesTbl[BranchCode],BranchesTbl[BranchName])</f>
        <v>Meru</v>
      </c>
      <c r="Q70">
        <f>_xlfn.XLOOKUP(Loans[[#This Row],[CustomerID]],CustomerTbl[CustomerID],CustomerTbl[RiskScore])</f>
        <v>669</v>
      </c>
      <c r="R70" t="str">
        <f>IFERROR(INDEX(RiskTbl[Risk_Category],MATCH(Loans[[#This Row],[RiskScore]],RiskTbl[Score_Min],1)),"Unknown")</f>
        <v>Medium Risk</v>
      </c>
      <c r="S70" t="str">
        <f>IF(OR(Loans[[#This Row],[LoanStatus]]="Default",Loans[[#This Row],[LoanStatus]]="Watchlist",Loans[[#This Row],[CollateralRisk]]="Undersecured",Loans[[#This Row],[RiskCategory]]="High Risk"),"High Risk Exposure","Normal")</f>
        <v>High Risk Exposure</v>
      </c>
      <c r="T70" t="str" cm="1">
        <f t="array" ref="T70">_xlfn.IFS(
Loans[[#This Row],[LoanStatus]]="Default","Critical",
OR(Loans[[#This Row],[LoanStatus]]="Watchlist",Loans[[#This Row],[CollateralRisk]]="Undersecured",Loans[[#This Row],[RiskCategory]]="High Risk"),"High",
TRUE,"Normal"
)</f>
        <v>High</v>
      </c>
    </row>
    <row r="71" spans="1:20" x14ac:dyDescent="0.35">
      <c r="A71" t="s">
        <v>319</v>
      </c>
      <c r="B71" t="s">
        <v>320</v>
      </c>
      <c r="C71" t="s">
        <v>181</v>
      </c>
      <c r="D71" t="s">
        <v>155</v>
      </c>
      <c r="E71" s="34">
        <v>100000</v>
      </c>
      <c r="F71" s="29">
        <v>0.19309999999999999</v>
      </c>
      <c r="G71" s="30">
        <v>45943</v>
      </c>
      <c r="H71">
        <v>24</v>
      </c>
      <c r="I71">
        <v>45</v>
      </c>
      <c r="J71" s="34">
        <v>0</v>
      </c>
      <c r="K71" t="s">
        <v>199</v>
      </c>
      <c r="L71" s="34">
        <f>PMT(Loans[[#This Row],[InterestRate]]/12,Loans[[#This Row],[LoanTenureMonths]],-Loans[[#This Row],[LoanAmount]])</f>
        <v>5055.9359450824786</v>
      </c>
      <c r="M71" s="30">
        <f>EDATE(Loans[[#This Row],[LoanStartDate]],Loans[[#This Row],[LoanTenureMonths]])</f>
        <v>46673</v>
      </c>
      <c r="N71" s="33">
        <f>IF(Loans[[#This Row],[LoanAmount]]=0,0,Loans[[#This Row],[CollateralValue]]/Loans[[#This Row],[LoanAmount]])</f>
        <v>0</v>
      </c>
      <c r="O71" t="str">
        <f>IF(Loans[[#This Row],[CollateralCoverageRatio]]&lt;1,"Undersecured","Secured")</f>
        <v>Undersecured</v>
      </c>
      <c r="P71" t="str">
        <f>_xlfn.XLOOKUP(Loans[[#This Row],[BranchCode]],BranchesTbl[BranchCode],BranchesTbl[BranchName])</f>
        <v>Kitale</v>
      </c>
      <c r="Q71">
        <f>_xlfn.XLOOKUP(Loans[[#This Row],[CustomerID]],CustomerTbl[CustomerID],CustomerTbl[RiskScore])</f>
        <v>406</v>
      </c>
      <c r="R71" t="str">
        <f>IFERROR(INDEX(RiskTbl[Risk_Category],MATCH(Loans[[#This Row],[RiskScore]],RiskTbl[Score_Min],1)),"Unknown")</f>
        <v>High Risk</v>
      </c>
      <c r="S71" t="str">
        <f>IF(OR(Loans[[#This Row],[LoanStatus]]="Default",Loans[[#This Row],[LoanStatus]]="Watchlist",Loans[[#This Row],[CollateralRisk]]="Undersecured",Loans[[#This Row],[RiskCategory]]="High Risk"),"High Risk Exposure","Normal")</f>
        <v>High Risk Exposure</v>
      </c>
      <c r="T71" t="str" cm="1">
        <f t="array" ref="T71">_xlfn.IFS(
Loans[[#This Row],[LoanStatus]]="Default","Critical",
OR(Loans[[#This Row],[LoanStatus]]="Watchlist",Loans[[#This Row],[CollateralRisk]]="Undersecured",Loans[[#This Row],[RiskCategory]]="High Risk"),"High",
TRUE,"Normal"
)</f>
        <v>High</v>
      </c>
    </row>
    <row r="72" spans="1:20" x14ac:dyDescent="0.35">
      <c r="A72" t="s">
        <v>321</v>
      </c>
      <c r="B72" t="s">
        <v>322</v>
      </c>
      <c r="C72" t="s">
        <v>206</v>
      </c>
      <c r="D72" t="s">
        <v>156</v>
      </c>
      <c r="E72" s="34">
        <v>25000000</v>
      </c>
      <c r="F72" s="29">
        <v>0.21410000000000001</v>
      </c>
      <c r="G72" s="30">
        <v>44202</v>
      </c>
      <c r="H72">
        <v>36</v>
      </c>
      <c r="I72">
        <v>45</v>
      </c>
      <c r="J72" s="34">
        <v>13500000</v>
      </c>
      <c r="K72" t="s">
        <v>199</v>
      </c>
      <c r="L72" s="34">
        <f>PMT(Loans[[#This Row],[InterestRate]]/12,Loans[[#This Row],[LoanTenureMonths]],-Loans[[#This Row],[LoanAmount]])</f>
        <v>947147.61717903626</v>
      </c>
      <c r="M72" s="30">
        <f>EDATE(Loans[[#This Row],[LoanStartDate]],Loans[[#This Row],[LoanTenureMonths]])</f>
        <v>45297</v>
      </c>
      <c r="N72" s="33">
        <f>IF(Loans[[#This Row],[LoanAmount]]=0,0,Loans[[#This Row],[CollateralValue]]/Loans[[#This Row],[LoanAmount]])</f>
        <v>0.54</v>
      </c>
      <c r="O72" t="str">
        <f>IF(Loans[[#This Row],[CollateralCoverageRatio]]&lt;1,"Undersecured","Secured")</f>
        <v>Undersecured</v>
      </c>
      <c r="P72" t="str">
        <f>_xlfn.XLOOKUP(Loans[[#This Row],[BranchCode]],BranchesTbl[BranchCode],BranchesTbl[BranchName])</f>
        <v>Nyahururu</v>
      </c>
      <c r="Q72">
        <f>_xlfn.XLOOKUP(Loans[[#This Row],[CustomerID]],CustomerTbl[CustomerID],CustomerTbl[RiskScore])</f>
        <v>564</v>
      </c>
      <c r="R72" t="str">
        <f>IFERROR(INDEX(RiskTbl[Risk_Category],MATCH(Loans[[#This Row],[RiskScore]],RiskTbl[Score_Min],1)),"Unknown")</f>
        <v>High Risk</v>
      </c>
      <c r="S72" t="str">
        <f>IF(OR(Loans[[#This Row],[LoanStatus]]="Default",Loans[[#This Row],[LoanStatus]]="Watchlist",Loans[[#This Row],[CollateralRisk]]="Undersecured",Loans[[#This Row],[RiskCategory]]="High Risk"),"High Risk Exposure","Normal")</f>
        <v>High Risk Exposure</v>
      </c>
      <c r="T72" t="str" cm="1">
        <f t="array" ref="T72">_xlfn.IFS(
Loans[[#This Row],[LoanStatus]]="Default","Critical",
OR(Loans[[#This Row],[LoanStatus]]="Watchlist",Loans[[#This Row],[CollateralRisk]]="Undersecured",Loans[[#This Row],[RiskCategory]]="High Risk"),"High",
TRUE,"Normal"
)</f>
        <v>High</v>
      </c>
    </row>
    <row r="73" spans="1:20" x14ac:dyDescent="0.35">
      <c r="A73" t="s">
        <v>323</v>
      </c>
      <c r="B73" t="s">
        <v>324</v>
      </c>
      <c r="C73" t="s">
        <v>181</v>
      </c>
      <c r="D73" t="s">
        <v>158</v>
      </c>
      <c r="E73" s="34">
        <v>6000000</v>
      </c>
      <c r="F73" s="29">
        <v>0.18279999999999999</v>
      </c>
      <c r="G73" s="30">
        <v>44526</v>
      </c>
      <c r="H73">
        <v>48</v>
      </c>
      <c r="I73">
        <v>5</v>
      </c>
      <c r="J73" s="34">
        <v>4920000</v>
      </c>
      <c r="K73" t="s">
        <v>171</v>
      </c>
      <c r="L73" s="34">
        <f>PMT(Loans[[#This Row],[InterestRate]]/12,Loans[[#This Row],[LoanTenureMonths]],-Loans[[#This Row],[LoanAmount]])</f>
        <v>177129.08444203404</v>
      </c>
      <c r="M73" s="30">
        <f>EDATE(Loans[[#This Row],[LoanStartDate]],Loans[[#This Row],[LoanTenureMonths]])</f>
        <v>45987</v>
      </c>
      <c r="N73" s="33">
        <f>IF(Loans[[#This Row],[LoanAmount]]=0,0,Loans[[#This Row],[CollateralValue]]/Loans[[#This Row],[LoanAmount]])</f>
        <v>0.82</v>
      </c>
      <c r="O73" t="str">
        <f>IF(Loans[[#This Row],[CollateralCoverageRatio]]&lt;1,"Undersecured","Secured")</f>
        <v>Undersecured</v>
      </c>
      <c r="P73" t="str">
        <f>_xlfn.XLOOKUP(Loans[[#This Row],[BranchCode]],BranchesTbl[BranchCode],BranchesTbl[BranchName])</f>
        <v>Kitale</v>
      </c>
      <c r="Q73">
        <f>_xlfn.XLOOKUP(Loans[[#This Row],[CustomerID]],CustomerTbl[CustomerID],CustomerTbl[RiskScore])</f>
        <v>696</v>
      </c>
      <c r="R73" t="str">
        <f>IFERROR(INDEX(RiskTbl[Risk_Category],MATCH(Loans[[#This Row],[RiskScore]],RiskTbl[Score_Min],1)),"Unknown")</f>
        <v>Low Risk</v>
      </c>
      <c r="S73" t="str">
        <f>IF(OR(Loans[[#This Row],[LoanStatus]]="Default",Loans[[#This Row],[LoanStatus]]="Watchlist",Loans[[#This Row],[CollateralRisk]]="Undersecured",Loans[[#This Row],[RiskCategory]]="High Risk"),"High Risk Exposure","Normal")</f>
        <v>High Risk Exposure</v>
      </c>
      <c r="T73" t="str" cm="1">
        <f t="array" ref="T73">_xlfn.IFS(
Loans[[#This Row],[LoanStatus]]="Default","Critical",
OR(Loans[[#This Row],[LoanStatus]]="Watchlist",Loans[[#This Row],[CollateralRisk]]="Undersecured",Loans[[#This Row],[RiskCategory]]="High Risk"),"High",
TRUE,"Normal"
)</f>
        <v>High</v>
      </c>
    </row>
    <row r="74" spans="1:20" x14ac:dyDescent="0.35">
      <c r="A74" t="s">
        <v>325</v>
      </c>
      <c r="B74" t="s">
        <v>326</v>
      </c>
      <c r="C74" t="s">
        <v>181</v>
      </c>
      <c r="D74" t="s">
        <v>157</v>
      </c>
      <c r="E74" s="34">
        <v>6000000</v>
      </c>
      <c r="F74" s="29">
        <v>0.1047</v>
      </c>
      <c r="G74" s="30">
        <v>44881</v>
      </c>
      <c r="H74">
        <v>24</v>
      </c>
      <c r="I74">
        <v>0</v>
      </c>
      <c r="J74" s="34">
        <v>7980000</v>
      </c>
      <c r="K74" t="s">
        <v>171</v>
      </c>
      <c r="L74" s="34">
        <f>PMT(Loans[[#This Row],[InterestRate]]/12,Loans[[#This Row],[LoanTenureMonths]],-Loans[[#This Row],[LoanAmount]])</f>
        <v>278172.93301708018</v>
      </c>
      <c r="M74" s="30">
        <f>EDATE(Loans[[#This Row],[LoanStartDate]],Loans[[#This Row],[LoanTenureMonths]])</f>
        <v>45612</v>
      </c>
      <c r="N74" s="33">
        <f>IF(Loans[[#This Row],[LoanAmount]]=0,0,Loans[[#This Row],[CollateralValue]]/Loans[[#This Row],[LoanAmount]])</f>
        <v>1.33</v>
      </c>
      <c r="O74" t="str">
        <f>IF(Loans[[#This Row],[CollateralCoverageRatio]]&lt;1,"Undersecured","Secured")</f>
        <v>Secured</v>
      </c>
      <c r="P74" t="str">
        <f>_xlfn.XLOOKUP(Loans[[#This Row],[BranchCode]],BranchesTbl[BranchCode],BranchesTbl[BranchName])</f>
        <v>Kitale</v>
      </c>
      <c r="Q74">
        <f>_xlfn.XLOOKUP(Loans[[#This Row],[CustomerID]],CustomerTbl[CustomerID],CustomerTbl[RiskScore])</f>
        <v>357</v>
      </c>
      <c r="R74" t="str">
        <f>IFERROR(INDEX(RiskTbl[Risk_Category],MATCH(Loans[[#This Row],[RiskScore]],RiskTbl[Score_Min],1)),"Unknown")</f>
        <v>High Risk</v>
      </c>
      <c r="S74" t="str">
        <f>IF(OR(Loans[[#This Row],[LoanStatus]]="Default",Loans[[#This Row],[LoanStatus]]="Watchlist",Loans[[#This Row],[CollateralRisk]]="Undersecured",Loans[[#This Row],[RiskCategory]]="High Risk"),"High Risk Exposure","Normal")</f>
        <v>High Risk Exposure</v>
      </c>
      <c r="T74" t="str" cm="1">
        <f t="array" ref="T74">_xlfn.IFS(
Loans[[#This Row],[LoanStatus]]="Default","Critical",
OR(Loans[[#This Row],[LoanStatus]]="Watchlist",Loans[[#This Row],[CollateralRisk]]="Undersecured",Loans[[#This Row],[RiskCategory]]="High Risk"),"High",
TRUE,"Normal"
)</f>
        <v>High</v>
      </c>
    </row>
    <row r="75" spans="1:20" x14ac:dyDescent="0.35">
      <c r="A75" t="s">
        <v>327</v>
      </c>
      <c r="B75" t="s">
        <v>328</v>
      </c>
      <c r="C75" t="s">
        <v>267</v>
      </c>
      <c r="D75" t="s">
        <v>156</v>
      </c>
      <c r="E75" s="34">
        <v>25000000</v>
      </c>
      <c r="F75" s="29">
        <v>0.1615</v>
      </c>
      <c r="G75" s="30">
        <v>45051</v>
      </c>
      <c r="H75">
        <v>36</v>
      </c>
      <c r="I75">
        <v>0</v>
      </c>
      <c r="J75" s="34">
        <v>33500000</v>
      </c>
      <c r="K75" t="s">
        <v>171</v>
      </c>
      <c r="L75" s="34">
        <f>PMT(Loans[[#This Row],[InterestRate]]/12,Loans[[#This Row],[LoanTenureMonths]],-Loans[[#This Row],[LoanAmount]])</f>
        <v>880778.33112373343</v>
      </c>
      <c r="M75" s="30">
        <f>EDATE(Loans[[#This Row],[LoanStartDate]],Loans[[#This Row],[LoanTenureMonths]])</f>
        <v>46147</v>
      </c>
      <c r="N75" s="33">
        <f>IF(Loans[[#This Row],[LoanAmount]]=0,0,Loans[[#This Row],[CollateralValue]]/Loans[[#This Row],[LoanAmount]])</f>
        <v>1.34</v>
      </c>
      <c r="O75" t="str">
        <f>IF(Loans[[#This Row],[CollateralCoverageRatio]]&lt;1,"Undersecured","Secured")</f>
        <v>Secured</v>
      </c>
      <c r="P75" t="str">
        <f>_xlfn.XLOOKUP(Loans[[#This Row],[BranchCode]],BranchesTbl[BranchCode],BranchesTbl[BranchName])</f>
        <v>Malindi</v>
      </c>
      <c r="Q75">
        <f>_xlfn.XLOOKUP(Loans[[#This Row],[CustomerID]],CustomerTbl[CustomerID],CustomerTbl[RiskScore])</f>
        <v>793</v>
      </c>
      <c r="R75" t="str">
        <f>IFERROR(INDEX(RiskTbl[Risk_Category],MATCH(Loans[[#This Row],[RiskScore]],RiskTbl[Score_Min],1)),"Unknown")</f>
        <v>Very Low Risk</v>
      </c>
      <c r="S75" t="str">
        <f>IF(OR(Loans[[#This Row],[LoanStatus]]="Default",Loans[[#This Row],[LoanStatus]]="Watchlist",Loans[[#This Row],[CollateralRisk]]="Undersecured",Loans[[#This Row],[RiskCategory]]="High Risk"),"High Risk Exposure","Normal")</f>
        <v>Normal</v>
      </c>
      <c r="T75" t="str" cm="1">
        <f t="array" ref="T75">_xlfn.IFS(
Loans[[#This Row],[LoanStatus]]="Default","Critical",
OR(Loans[[#This Row],[LoanStatus]]="Watchlist",Loans[[#This Row],[CollateralRisk]]="Undersecured",Loans[[#This Row],[RiskCategory]]="High Risk"),"High",
TRUE,"Normal"
)</f>
        <v>Normal</v>
      </c>
    </row>
    <row r="76" spans="1:20" x14ac:dyDescent="0.35">
      <c r="A76" t="s">
        <v>329</v>
      </c>
      <c r="B76" t="s">
        <v>330</v>
      </c>
      <c r="C76" t="s">
        <v>206</v>
      </c>
      <c r="D76" t="s">
        <v>155</v>
      </c>
      <c r="E76" s="34">
        <v>500000</v>
      </c>
      <c r="F76" s="29">
        <v>0.25869999999999999</v>
      </c>
      <c r="G76" s="30">
        <v>45449</v>
      </c>
      <c r="H76">
        <v>36</v>
      </c>
      <c r="I76">
        <v>90</v>
      </c>
      <c r="J76" s="34">
        <v>0</v>
      </c>
      <c r="K76" t="s">
        <v>199</v>
      </c>
      <c r="L76" s="34">
        <f>PMT(Loans[[#This Row],[InterestRate]]/12,Loans[[#This Row],[LoanTenureMonths]],-Loans[[#This Row],[LoanAmount]])</f>
        <v>20110.700947971181</v>
      </c>
      <c r="M76" s="30">
        <f>EDATE(Loans[[#This Row],[LoanStartDate]],Loans[[#This Row],[LoanTenureMonths]])</f>
        <v>46544</v>
      </c>
      <c r="N76" s="33">
        <f>IF(Loans[[#This Row],[LoanAmount]]=0,0,Loans[[#This Row],[CollateralValue]]/Loans[[#This Row],[LoanAmount]])</f>
        <v>0</v>
      </c>
      <c r="O76" t="str">
        <f>IF(Loans[[#This Row],[CollateralCoverageRatio]]&lt;1,"Undersecured","Secured")</f>
        <v>Undersecured</v>
      </c>
      <c r="P76" t="str">
        <f>_xlfn.XLOOKUP(Loans[[#This Row],[BranchCode]],BranchesTbl[BranchCode],BranchesTbl[BranchName])</f>
        <v>Nyahururu</v>
      </c>
      <c r="Q76">
        <f>_xlfn.XLOOKUP(Loans[[#This Row],[CustomerID]],CustomerTbl[CustomerID],CustomerTbl[RiskScore])</f>
        <v>485</v>
      </c>
      <c r="R76" t="str">
        <f>IFERROR(INDEX(RiskTbl[Risk_Category],MATCH(Loans[[#This Row],[RiskScore]],RiskTbl[Score_Min],1)),"Unknown")</f>
        <v>High Risk</v>
      </c>
      <c r="S76" t="str">
        <f>IF(OR(Loans[[#This Row],[LoanStatus]]="Default",Loans[[#This Row],[LoanStatus]]="Watchlist",Loans[[#This Row],[CollateralRisk]]="Undersecured",Loans[[#This Row],[RiskCategory]]="High Risk"),"High Risk Exposure","Normal")</f>
        <v>High Risk Exposure</v>
      </c>
      <c r="T76" t="str" cm="1">
        <f t="array" ref="T76">_xlfn.IFS(
Loans[[#This Row],[LoanStatus]]="Default","Critical",
OR(Loans[[#This Row],[LoanStatus]]="Watchlist",Loans[[#This Row],[CollateralRisk]]="Undersecured",Loans[[#This Row],[RiskCategory]]="High Risk"),"High",
TRUE,"Normal"
)</f>
        <v>High</v>
      </c>
    </row>
    <row r="77" spans="1:20" x14ac:dyDescent="0.35">
      <c r="A77" t="s">
        <v>331</v>
      </c>
      <c r="B77" t="s">
        <v>332</v>
      </c>
      <c r="C77" t="s">
        <v>193</v>
      </c>
      <c r="D77" t="s">
        <v>155</v>
      </c>
      <c r="E77" s="34">
        <v>1000000</v>
      </c>
      <c r="F77" s="29">
        <v>0.23930000000000001</v>
      </c>
      <c r="G77" s="30">
        <v>45095</v>
      </c>
      <c r="H77">
        <v>12</v>
      </c>
      <c r="I77">
        <v>0</v>
      </c>
      <c r="J77" s="34">
        <v>0</v>
      </c>
      <c r="K77" t="s">
        <v>171</v>
      </c>
      <c r="L77" s="34">
        <f>PMT(Loans[[#This Row],[InterestRate]]/12,Loans[[#This Row],[LoanTenureMonths]],-Loans[[#This Row],[LoanAmount]])</f>
        <v>94525.723991158331</v>
      </c>
      <c r="M77" s="30">
        <f>EDATE(Loans[[#This Row],[LoanStartDate]],Loans[[#This Row],[LoanTenureMonths]])</f>
        <v>45461</v>
      </c>
      <c r="N77" s="33">
        <f>IF(Loans[[#This Row],[LoanAmount]]=0,0,Loans[[#This Row],[CollateralValue]]/Loans[[#This Row],[LoanAmount]])</f>
        <v>0</v>
      </c>
      <c r="O77" t="str">
        <f>IF(Loans[[#This Row],[CollateralCoverageRatio]]&lt;1,"Undersecured","Secured")</f>
        <v>Undersecured</v>
      </c>
      <c r="P77" t="str">
        <f>_xlfn.XLOOKUP(Loans[[#This Row],[BranchCode]],BranchesTbl[BranchCode],BranchesTbl[BranchName])</f>
        <v>Mombasa</v>
      </c>
      <c r="Q77">
        <f>_xlfn.XLOOKUP(Loans[[#This Row],[CustomerID]],CustomerTbl[CustomerID],CustomerTbl[RiskScore])</f>
        <v>681</v>
      </c>
      <c r="R77" t="str">
        <f>IFERROR(INDEX(RiskTbl[Risk_Category],MATCH(Loans[[#This Row],[RiskScore]],RiskTbl[Score_Min],1)),"Unknown")</f>
        <v>Low Risk</v>
      </c>
      <c r="S77" t="str">
        <f>IF(OR(Loans[[#This Row],[LoanStatus]]="Default",Loans[[#This Row],[LoanStatus]]="Watchlist",Loans[[#This Row],[CollateralRisk]]="Undersecured",Loans[[#This Row],[RiskCategory]]="High Risk"),"High Risk Exposure","Normal")</f>
        <v>High Risk Exposure</v>
      </c>
      <c r="T77" t="str" cm="1">
        <f t="array" ref="T77">_xlfn.IFS(
Loans[[#This Row],[LoanStatus]]="Default","Critical",
OR(Loans[[#This Row],[LoanStatus]]="Watchlist",Loans[[#This Row],[CollateralRisk]]="Undersecured",Loans[[#This Row],[RiskCategory]]="High Risk"),"High",
TRUE,"Normal"
)</f>
        <v>High</v>
      </c>
    </row>
    <row r="78" spans="1:20" x14ac:dyDescent="0.35">
      <c r="A78" t="s">
        <v>333</v>
      </c>
      <c r="B78" t="s">
        <v>201</v>
      </c>
      <c r="C78" t="s">
        <v>190</v>
      </c>
      <c r="D78" t="s">
        <v>156</v>
      </c>
      <c r="E78" s="34">
        <v>25000000</v>
      </c>
      <c r="F78" s="29">
        <v>0.17730000000000001</v>
      </c>
      <c r="G78" s="30">
        <v>43926</v>
      </c>
      <c r="H78">
        <v>24</v>
      </c>
      <c r="I78">
        <v>0</v>
      </c>
      <c r="J78" s="34">
        <v>19250000</v>
      </c>
      <c r="K78" t="s">
        <v>171</v>
      </c>
      <c r="L78" s="34">
        <f>PMT(Loans[[#This Row],[InterestRate]]/12,Loans[[#This Row],[LoanTenureMonths]],-Loans[[#This Row],[LoanAmount]])</f>
        <v>1244843.5398501572</v>
      </c>
      <c r="M78" s="30">
        <f>EDATE(Loans[[#This Row],[LoanStartDate]],Loans[[#This Row],[LoanTenureMonths]])</f>
        <v>44656</v>
      </c>
      <c r="N78" s="33">
        <f>IF(Loans[[#This Row],[LoanAmount]]=0,0,Loans[[#This Row],[CollateralValue]]/Loans[[#This Row],[LoanAmount]])</f>
        <v>0.77</v>
      </c>
      <c r="O78" t="str">
        <f>IF(Loans[[#This Row],[CollateralCoverageRatio]]&lt;1,"Undersecured","Secured")</f>
        <v>Undersecured</v>
      </c>
      <c r="P78" t="str">
        <f>_xlfn.XLOOKUP(Loans[[#This Row],[BranchCode]],BranchesTbl[BranchCode],BranchesTbl[BranchName])</f>
        <v>Nyeri</v>
      </c>
      <c r="Q78">
        <f>_xlfn.XLOOKUP(Loans[[#This Row],[CustomerID]],CustomerTbl[CustomerID],CustomerTbl[RiskScore])</f>
        <v>459</v>
      </c>
      <c r="R78" t="str">
        <f>IFERROR(INDEX(RiskTbl[Risk_Category],MATCH(Loans[[#This Row],[RiskScore]],RiskTbl[Score_Min],1)),"Unknown")</f>
        <v>High Risk</v>
      </c>
      <c r="S78" t="str">
        <f>IF(OR(Loans[[#This Row],[LoanStatus]]="Default",Loans[[#This Row],[LoanStatus]]="Watchlist",Loans[[#This Row],[CollateralRisk]]="Undersecured",Loans[[#This Row],[RiskCategory]]="High Risk"),"High Risk Exposure","Normal")</f>
        <v>High Risk Exposure</v>
      </c>
      <c r="T78" t="str" cm="1">
        <f t="array" ref="T78">_xlfn.IFS(
Loans[[#This Row],[LoanStatus]]="Default","Critical",
OR(Loans[[#This Row],[LoanStatus]]="Watchlist",Loans[[#This Row],[CollateralRisk]]="Undersecured",Loans[[#This Row],[RiskCategory]]="High Risk"),"High",
TRUE,"Normal"
)</f>
        <v>High</v>
      </c>
    </row>
    <row r="79" spans="1:20" x14ac:dyDescent="0.35">
      <c r="A79" t="s">
        <v>334</v>
      </c>
      <c r="B79" t="s">
        <v>335</v>
      </c>
      <c r="C79" t="s">
        <v>267</v>
      </c>
      <c r="D79" t="s">
        <v>158</v>
      </c>
      <c r="E79" s="34">
        <v>500000</v>
      </c>
      <c r="F79" s="29">
        <v>0.19520000000000001</v>
      </c>
      <c r="G79" s="30">
        <v>45702</v>
      </c>
      <c r="H79">
        <v>36</v>
      </c>
      <c r="I79">
        <v>0</v>
      </c>
      <c r="J79" s="34">
        <v>670000</v>
      </c>
      <c r="K79" t="s">
        <v>171</v>
      </c>
      <c r="L79" s="34">
        <f>PMT(Loans[[#This Row],[InterestRate]]/12,Loans[[#This Row],[LoanTenureMonths]],-Loans[[#This Row],[LoanAmount]])</f>
        <v>18459.731264017919</v>
      </c>
      <c r="M79" s="30">
        <f>EDATE(Loans[[#This Row],[LoanStartDate]],Loans[[#This Row],[LoanTenureMonths]])</f>
        <v>46797</v>
      </c>
      <c r="N79" s="33">
        <f>IF(Loans[[#This Row],[LoanAmount]]=0,0,Loans[[#This Row],[CollateralValue]]/Loans[[#This Row],[LoanAmount]])</f>
        <v>1.34</v>
      </c>
      <c r="O79" t="str">
        <f>IF(Loans[[#This Row],[CollateralCoverageRatio]]&lt;1,"Undersecured","Secured")</f>
        <v>Secured</v>
      </c>
      <c r="P79" t="str">
        <f>_xlfn.XLOOKUP(Loans[[#This Row],[BranchCode]],BranchesTbl[BranchCode],BranchesTbl[BranchName])</f>
        <v>Malindi</v>
      </c>
      <c r="Q79">
        <f>_xlfn.XLOOKUP(Loans[[#This Row],[CustomerID]],CustomerTbl[CustomerID],CustomerTbl[RiskScore])</f>
        <v>656</v>
      </c>
      <c r="R79" t="str">
        <f>IFERROR(INDEX(RiskTbl[Risk_Category],MATCH(Loans[[#This Row],[RiskScore]],RiskTbl[Score_Min],1)),"Unknown")</f>
        <v>Medium Risk</v>
      </c>
      <c r="S79" t="str">
        <f>IF(OR(Loans[[#This Row],[LoanStatus]]="Default",Loans[[#This Row],[LoanStatus]]="Watchlist",Loans[[#This Row],[CollateralRisk]]="Undersecured",Loans[[#This Row],[RiskCategory]]="High Risk"),"High Risk Exposure","Normal")</f>
        <v>Normal</v>
      </c>
      <c r="T79" t="str" cm="1">
        <f t="array" ref="T79">_xlfn.IFS(
Loans[[#This Row],[LoanStatus]]="Default","Critical",
OR(Loans[[#This Row],[LoanStatus]]="Watchlist",Loans[[#This Row],[CollateralRisk]]="Undersecured",Loans[[#This Row],[RiskCategory]]="High Risk"),"High",
TRUE,"Normal"
)</f>
        <v>Normal</v>
      </c>
    </row>
    <row r="80" spans="1:20" x14ac:dyDescent="0.35">
      <c r="A80" t="s">
        <v>336</v>
      </c>
      <c r="B80" t="s">
        <v>337</v>
      </c>
      <c r="C80" t="s">
        <v>174</v>
      </c>
      <c r="D80" t="s">
        <v>156</v>
      </c>
      <c r="E80" s="34">
        <v>6000000</v>
      </c>
      <c r="F80" s="29">
        <v>0.20880000000000001</v>
      </c>
      <c r="G80" s="30">
        <v>44130</v>
      </c>
      <c r="H80">
        <v>36</v>
      </c>
      <c r="I80">
        <v>5</v>
      </c>
      <c r="J80" s="34">
        <v>3060000</v>
      </c>
      <c r="K80" t="s">
        <v>171</v>
      </c>
      <c r="L80" s="34">
        <f>PMT(Loans[[#This Row],[InterestRate]]/12,Loans[[#This Row],[LoanTenureMonths]],-Loans[[#This Row],[LoanAmount]])</f>
        <v>225680.89719147395</v>
      </c>
      <c r="M80" s="30">
        <f>EDATE(Loans[[#This Row],[LoanStartDate]],Loans[[#This Row],[LoanTenureMonths]])</f>
        <v>45225</v>
      </c>
      <c r="N80" s="33">
        <f>IF(Loans[[#This Row],[LoanAmount]]=0,0,Loans[[#This Row],[CollateralValue]]/Loans[[#This Row],[LoanAmount]])</f>
        <v>0.51</v>
      </c>
      <c r="O80" t="str">
        <f>IF(Loans[[#This Row],[CollateralCoverageRatio]]&lt;1,"Undersecured","Secured")</f>
        <v>Undersecured</v>
      </c>
      <c r="P80" t="str">
        <f>_xlfn.XLOOKUP(Loans[[#This Row],[BranchCode]],BranchesTbl[BranchCode],BranchesTbl[BranchName])</f>
        <v>Westlands</v>
      </c>
      <c r="Q80">
        <f>_xlfn.XLOOKUP(Loans[[#This Row],[CustomerID]],CustomerTbl[CustomerID],CustomerTbl[RiskScore])</f>
        <v>402</v>
      </c>
      <c r="R80" t="str">
        <f>IFERROR(INDEX(RiskTbl[Risk_Category],MATCH(Loans[[#This Row],[RiskScore]],RiskTbl[Score_Min],1)),"Unknown")</f>
        <v>High Risk</v>
      </c>
      <c r="S80" t="str">
        <f>IF(OR(Loans[[#This Row],[LoanStatus]]="Default",Loans[[#This Row],[LoanStatus]]="Watchlist",Loans[[#This Row],[CollateralRisk]]="Undersecured",Loans[[#This Row],[RiskCategory]]="High Risk"),"High Risk Exposure","Normal")</f>
        <v>High Risk Exposure</v>
      </c>
      <c r="T80" t="str" cm="1">
        <f t="array" ref="T80">_xlfn.IFS(
Loans[[#This Row],[LoanStatus]]="Default","Critical",
OR(Loans[[#This Row],[LoanStatus]]="Watchlist",Loans[[#This Row],[CollateralRisk]]="Undersecured",Loans[[#This Row],[RiskCategory]]="High Risk"),"High",
TRUE,"Normal"
)</f>
        <v>High</v>
      </c>
    </row>
    <row r="81" spans="1:20" x14ac:dyDescent="0.35">
      <c r="A81" t="s">
        <v>338</v>
      </c>
      <c r="B81" t="s">
        <v>339</v>
      </c>
      <c r="C81" t="s">
        <v>174</v>
      </c>
      <c r="D81" t="s">
        <v>158</v>
      </c>
      <c r="E81" s="34">
        <v>6000000</v>
      </c>
      <c r="F81" s="29">
        <v>0.1656</v>
      </c>
      <c r="G81" s="30">
        <v>46016</v>
      </c>
      <c r="H81">
        <v>60</v>
      </c>
      <c r="I81">
        <v>0</v>
      </c>
      <c r="J81" s="34">
        <v>7140000</v>
      </c>
      <c r="K81" t="s">
        <v>171</v>
      </c>
      <c r="L81" s="34">
        <f>PMT(Loans[[#This Row],[InterestRate]]/12,Loans[[#This Row],[LoanTenureMonths]],-Loans[[#This Row],[LoanAmount]])</f>
        <v>147699.62287726067</v>
      </c>
      <c r="M81" s="30">
        <f>EDATE(Loans[[#This Row],[LoanStartDate]],Loans[[#This Row],[LoanTenureMonths]])</f>
        <v>47842</v>
      </c>
      <c r="N81" s="33">
        <f>IF(Loans[[#This Row],[LoanAmount]]=0,0,Loans[[#This Row],[CollateralValue]]/Loans[[#This Row],[LoanAmount]])</f>
        <v>1.19</v>
      </c>
      <c r="O81" t="str">
        <f>IF(Loans[[#This Row],[CollateralCoverageRatio]]&lt;1,"Undersecured","Secured")</f>
        <v>Secured</v>
      </c>
      <c r="P81" t="str">
        <f>_xlfn.XLOOKUP(Loans[[#This Row],[BranchCode]],BranchesTbl[BranchCode],BranchesTbl[BranchName])</f>
        <v>Westlands</v>
      </c>
      <c r="Q81">
        <f>_xlfn.XLOOKUP(Loans[[#This Row],[CustomerID]],CustomerTbl[CustomerID],CustomerTbl[RiskScore])</f>
        <v>385</v>
      </c>
      <c r="R81" t="str">
        <f>IFERROR(INDEX(RiskTbl[Risk_Category],MATCH(Loans[[#This Row],[RiskScore]],RiskTbl[Score_Min],1)),"Unknown")</f>
        <v>High Risk</v>
      </c>
      <c r="S81" t="str">
        <f>IF(OR(Loans[[#This Row],[LoanStatus]]="Default",Loans[[#This Row],[LoanStatus]]="Watchlist",Loans[[#This Row],[CollateralRisk]]="Undersecured",Loans[[#This Row],[RiskCategory]]="High Risk"),"High Risk Exposure","Normal")</f>
        <v>High Risk Exposure</v>
      </c>
      <c r="T81" t="str" cm="1">
        <f t="array" ref="T81">_xlfn.IFS(
Loans[[#This Row],[LoanStatus]]="Default","Critical",
OR(Loans[[#This Row],[LoanStatus]]="Watchlist",Loans[[#This Row],[CollateralRisk]]="Undersecured",Loans[[#This Row],[RiskCategory]]="High Risk"),"High",
TRUE,"Normal"
)</f>
        <v>High</v>
      </c>
    </row>
    <row r="82" spans="1:20" x14ac:dyDescent="0.35">
      <c r="A82" t="s">
        <v>340</v>
      </c>
      <c r="B82" t="s">
        <v>341</v>
      </c>
      <c r="C82" t="s">
        <v>181</v>
      </c>
      <c r="D82" t="s">
        <v>157</v>
      </c>
      <c r="E82" s="34">
        <v>6000000</v>
      </c>
      <c r="F82" s="29">
        <v>0.1182</v>
      </c>
      <c r="G82" s="30">
        <v>44830</v>
      </c>
      <c r="H82">
        <v>36</v>
      </c>
      <c r="I82">
        <v>5</v>
      </c>
      <c r="J82" s="34">
        <v>5520000</v>
      </c>
      <c r="K82" t="s">
        <v>171</v>
      </c>
      <c r="L82" s="34">
        <f>PMT(Loans[[#This Row],[InterestRate]]/12,Loans[[#This Row],[LoanTenureMonths]],-Loans[[#This Row],[LoanAmount]])</f>
        <v>198770.4232847541</v>
      </c>
      <c r="M82" s="30">
        <f>EDATE(Loans[[#This Row],[LoanStartDate]],Loans[[#This Row],[LoanTenureMonths]])</f>
        <v>45926</v>
      </c>
      <c r="N82" s="33">
        <f>IF(Loans[[#This Row],[LoanAmount]]=0,0,Loans[[#This Row],[CollateralValue]]/Loans[[#This Row],[LoanAmount]])</f>
        <v>0.92</v>
      </c>
      <c r="O82" t="str">
        <f>IF(Loans[[#This Row],[CollateralCoverageRatio]]&lt;1,"Undersecured","Secured")</f>
        <v>Undersecured</v>
      </c>
      <c r="P82" t="str">
        <f>_xlfn.XLOOKUP(Loans[[#This Row],[BranchCode]],BranchesTbl[BranchCode],BranchesTbl[BranchName])</f>
        <v>Kitale</v>
      </c>
      <c r="Q82">
        <f>_xlfn.XLOOKUP(Loans[[#This Row],[CustomerID]],CustomerTbl[CustomerID],CustomerTbl[RiskScore])</f>
        <v>333</v>
      </c>
      <c r="R82" t="str">
        <f>IFERROR(INDEX(RiskTbl[Risk_Category],MATCH(Loans[[#This Row],[RiskScore]],RiskTbl[Score_Min],1)),"Unknown")</f>
        <v>High Risk</v>
      </c>
      <c r="S82" t="str">
        <f>IF(OR(Loans[[#This Row],[LoanStatus]]="Default",Loans[[#This Row],[LoanStatus]]="Watchlist",Loans[[#This Row],[CollateralRisk]]="Undersecured",Loans[[#This Row],[RiskCategory]]="High Risk"),"High Risk Exposure","Normal")</f>
        <v>High Risk Exposure</v>
      </c>
      <c r="T82" t="str" cm="1">
        <f t="array" ref="T82">_xlfn.IFS(
Loans[[#This Row],[LoanStatus]]="Default","Critical",
OR(Loans[[#This Row],[LoanStatus]]="Watchlist",Loans[[#This Row],[CollateralRisk]]="Undersecured",Loans[[#This Row],[RiskCategory]]="High Risk"),"High",
TRUE,"Normal"
)</f>
        <v>High</v>
      </c>
    </row>
    <row r="83" spans="1:20" x14ac:dyDescent="0.35">
      <c r="A83" t="s">
        <v>342</v>
      </c>
      <c r="B83" t="s">
        <v>221</v>
      </c>
      <c r="C83" t="s">
        <v>267</v>
      </c>
      <c r="D83" t="s">
        <v>158</v>
      </c>
      <c r="E83" s="34">
        <v>3000000</v>
      </c>
      <c r="F83" s="29">
        <v>0.18290000000000001</v>
      </c>
      <c r="G83" s="30">
        <v>44952</v>
      </c>
      <c r="H83">
        <v>12</v>
      </c>
      <c r="I83">
        <v>120</v>
      </c>
      <c r="J83" s="34">
        <v>3240000</v>
      </c>
      <c r="K83" t="s">
        <v>178</v>
      </c>
      <c r="L83" s="34">
        <f>PMT(Loans[[#This Row],[InterestRate]]/12,Loans[[#This Row],[LoanTenureMonths]],-Loans[[#This Row],[LoanAmount]])</f>
        <v>275454.19298295351</v>
      </c>
      <c r="M83" s="30">
        <f>EDATE(Loans[[#This Row],[LoanStartDate]],Loans[[#This Row],[LoanTenureMonths]])</f>
        <v>45317</v>
      </c>
      <c r="N83" s="33">
        <f>IF(Loans[[#This Row],[LoanAmount]]=0,0,Loans[[#This Row],[CollateralValue]]/Loans[[#This Row],[LoanAmount]])</f>
        <v>1.08</v>
      </c>
      <c r="O83" t="str">
        <f>IF(Loans[[#This Row],[CollateralCoverageRatio]]&lt;1,"Undersecured","Secured")</f>
        <v>Secured</v>
      </c>
      <c r="P83" t="str">
        <f>_xlfn.XLOOKUP(Loans[[#This Row],[BranchCode]],BranchesTbl[BranchCode],BranchesTbl[BranchName])</f>
        <v>Malindi</v>
      </c>
      <c r="Q83">
        <f>_xlfn.XLOOKUP(Loans[[#This Row],[CustomerID]],CustomerTbl[CustomerID],CustomerTbl[RiskScore])</f>
        <v>732</v>
      </c>
      <c r="R83" t="str">
        <f>IFERROR(INDEX(RiskTbl[Risk_Category],MATCH(Loans[[#This Row],[RiskScore]],RiskTbl[Score_Min],1)),"Unknown")</f>
        <v>Low Risk</v>
      </c>
      <c r="S83" t="str">
        <f>IF(OR(Loans[[#This Row],[LoanStatus]]="Default",Loans[[#This Row],[LoanStatus]]="Watchlist",Loans[[#This Row],[CollateralRisk]]="Undersecured",Loans[[#This Row],[RiskCategory]]="High Risk"),"High Risk Exposure","Normal")</f>
        <v>High Risk Exposure</v>
      </c>
      <c r="T83" t="str" cm="1">
        <f t="array" ref="T83">_xlfn.IFS(
Loans[[#This Row],[LoanStatus]]="Default","Critical",
OR(Loans[[#This Row],[LoanStatus]]="Watchlist",Loans[[#This Row],[CollateralRisk]]="Undersecured",Loans[[#This Row],[RiskCategory]]="High Risk"),"High",
TRUE,"Normal"
)</f>
        <v>Critical</v>
      </c>
    </row>
    <row r="84" spans="1:20" x14ac:dyDescent="0.35">
      <c r="A84" t="s">
        <v>343</v>
      </c>
      <c r="B84" t="s">
        <v>344</v>
      </c>
      <c r="C84" t="s">
        <v>187</v>
      </c>
      <c r="D84" t="s">
        <v>158</v>
      </c>
      <c r="E84" s="34">
        <v>3000000</v>
      </c>
      <c r="F84" s="29">
        <v>0.1293</v>
      </c>
      <c r="G84" s="30">
        <v>45407</v>
      </c>
      <c r="H84">
        <v>24</v>
      </c>
      <c r="I84">
        <v>45</v>
      </c>
      <c r="J84" s="34">
        <v>3330000</v>
      </c>
      <c r="K84" t="s">
        <v>199</v>
      </c>
      <c r="L84" s="34">
        <f>PMT(Loans[[#This Row],[InterestRate]]/12,Loans[[#This Row],[LoanTenureMonths]],-Loans[[#This Row],[LoanAmount]])</f>
        <v>142526.84931338459</v>
      </c>
      <c r="M84" s="30">
        <f>EDATE(Loans[[#This Row],[LoanStartDate]],Loans[[#This Row],[LoanTenureMonths]])</f>
        <v>46137</v>
      </c>
      <c r="N84" s="33">
        <f>IF(Loans[[#This Row],[LoanAmount]]=0,0,Loans[[#This Row],[CollateralValue]]/Loans[[#This Row],[LoanAmount]])</f>
        <v>1.1100000000000001</v>
      </c>
      <c r="O84" t="str">
        <f>IF(Loans[[#This Row],[CollateralCoverageRatio]]&lt;1,"Undersecured","Secured")</f>
        <v>Secured</v>
      </c>
      <c r="P84" t="str">
        <f>_xlfn.XLOOKUP(Loans[[#This Row],[BranchCode]],BranchesTbl[BranchCode],BranchesTbl[BranchName])</f>
        <v>Eldoret</v>
      </c>
      <c r="Q84">
        <f>_xlfn.XLOOKUP(Loans[[#This Row],[CustomerID]],CustomerTbl[CustomerID],CustomerTbl[RiskScore])</f>
        <v>720</v>
      </c>
      <c r="R84" t="str">
        <f>IFERROR(INDEX(RiskTbl[Risk_Category],MATCH(Loans[[#This Row],[RiskScore]],RiskTbl[Score_Min],1)),"Unknown")</f>
        <v>Low Risk</v>
      </c>
      <c r="S84" t="str">
        <f>IF(OR(Loans[[#This Row],[LoanStatus]]="Default",Loans[[#This Row],[LoanStatus]]="Watchlist",Loans[[#This Row],[CollateralRisk]]="Undersecured",Loans[[#This Row],[RiskCategory]]="High Risk"),"High Risk Exposure","Normal")</f>
        <v>High Risk Exposure</v>
      </c>
      <c r="T84" t="str" cm="1">
        <f t="array" ref="T84">_xlfn.IFS(
Loans[[#This Row],[LoanStatus]]="Default","Critical",
OR(Loans[[#This Row],[LoanStatus]]="Watchlist",Loans[[#This Row],[CollateralRisk]]="Undersecured",Loans[[#This Row],[RiskCategory]]="High Risk"),"High",
TRUE,"Normal"
)</f>
        <v>High</v>
      </c>
    </row>
    <row r="85" spans="1:20" x14ac:dyDescent="0.35">
      <c r="A85" t="s">
        <v>345</v>
      </c>
      <c r="B85" t="s">
        <v>344</v>
      </c>
      <c r="C85" t="s">
        <v>190</v>
      </c>
      <c r="D85" t="s">
        <v>158</v>
      </c>
      <c r="E85" s="34">
        <v>3000000</v>
      </c>
      <c r="F85" s="29">
        <v>0.1244</v>
      </c>
      <c r="G85" s="30">
        <v>45570</v>
      </c>
      <c r="H85">
        <v>36</v>
      </c>
      <c r="I85">
        <v>5</v>
      </c>
      <c r="J85" s="34">
        <v>2370000</v>
      </c>
      <c r="K85" t="s">
        <v>171</v>
      </c>
      <c r="L85" s="34">
        <f>PMT(Loans[[#This Row],[InterestRate]]/12,Loans[[#This Row],[LoanTenureMonths]],-Loans[[#This Row],[LoanAmount]])</f>
        <v>100274.56286327582</v>
      </c>
      <c r="M85" s="30">
        <f>EDATE(Loans[[#This Row],[LoanStartDate]],Loans[[#This Row],[LoanTenureMonths]])</f>
        <v>46665</v>
      </c>
      <c r="N85" s="33">
        <f>IF(Loans[[#This Row],[LoanAmount]]=0,0,Loans[[#This Row],[CollateralValue]]/Loans[[#This Row],[LoanAmount]])</f>
        <v>0.79</v>
      </c>
      <c r="O85" t="str">
        <f>IF(Loans[[#This Row],[CollateralCoverageRatio]]&lt;1,"Undersecured","Secured")</f>
        <v>Undersecured</v>
      </c>
      <c r="P85" t="str">
        <f>_xlfn.XLOOKUP(Loans[[#This Row],[BranchCode]],BranchesTbl[BranchCode],BranchesTbl[BranchName])</f>
        <v>Nyeri</v>
      </c>
      <c r="Q85">
        <f>_xlfn.XLOOKUP(Loans[[#This Row],[CustomerID]],CustomerTbl[CustomerID],CustomerTbl[RiskScore])</f>
        <v>720</v>
      </c>
      <c r="R85" t="str">
        <f>IFERROR(INDEX(RiskTbl[Risk_Category],MATCH(Loans[[#This Row],[RiskScore]],RiskTbl[Score_Min],1)),"Unknown")</f>
        <v>Low Risk</v>
      </c>
      <c r="S85" t="str">
        <f>IF(OR(Loans[[#This Row],[LoanStatus]]="Default",Loans[[#This Row],[LoanStatus]]="Watchlist",Loans[[#This Row],[CollateralRisk]]="Undersecured",Loans[[#This Row],[RiskCategory]]="High Risk"),"High Risk Exposure","Normal")</f>
        <v>High Risk Exposure</v>
      </c>
      <c r="T85" t="str" cm="1">
        <f t="array" ref="T85">_xlfn.IFS(
Loans[[#This Row],[LoanStatus]]="Default","Critical",
OR(Loans[[#This Row],[LoanStatus]]="Watchlist",Loans[[#This Row],[CollateralRisk]]="Undersecured",Loans[[#This Row],[RiskCategory]]="High Risk"),"High",
TRUE,"Normal"
)</f>
        <v>High</v>
      </c>
    </row>
    <row r="86" spans="1:20" x14ac:dyDescent="0.35">
      <c r="A86" t="s">
        <v>346</v>
      </c>
      <c r="B86" t="s">
        <v>347</v>
      </c>
      <c r="C86" t="s">
        <v>206</v>
      </c>
      <c r="D86" t="s">
        <v>157</v>
      </c>
      <c r="E86" s="34">
        <v>25000000</v>
      </c>
      <c r="F86" s="29">
        <v>0.1062</v>
      </c>
      <c r="G86" s="30">
        <v>44459</v>
      </c>
      <c r="H86">
        <v>72</v>
      </c>
      <c r="I86">
        <v>90</v>
      </c>
      <c r="J86" s="34">
        <v>23750000</v>
      </c>
      <c r="K86" t="s">
        <v>199</v>
      </c>
      <c r="L86" s="34">
        <f>PMT(Loans[[#This Row],[InterestRate]]/12,Loans[[#This Row],[LoanTenureMonths]],-Loans[[#This Row],[LoanAmount]])</f>
        <v>471000.40430036915</v>
      </c>
      <c r="M86" s="30">
        <f>EDATE(Loans[[#This Row],[LoanStartDate]],Loans[[#This Row],[LoanTenureMonths]])</f>
        <v>46650</v>
      </c>
      <c r="N86" s="33">
        <f>IF(Loans[[#This Row],[LoanAmount]]=0,0,Loans[[#This Row],[CollateralValue]]/Loans[[#This Row],[LoanAmount]])</f>
        <v>0.95</v>
      </c>
      <c r="O86" t="str">
        <f>IF(Loans[[#This Row],[CollateralCoverageRatio]]&lt;1,"Undersecured","Secured")</f>
        <v>Undersecured</v>
      </c>
      <c r="P86" t="str">
        <f>_xlfn.XLOOKUP(Loans[[#This Row],[BranchCode]],BranchesTbl[BranchCode],BranchesTbl[BranchName])</f>
        <v>Nyahururu</v>
      </c>
      <c r="Q86">
        <f>_xlfn.XLOOKUP(Loans[[#This Row],[CustomerID]],CustomerTbl[CustomerID],CustomerTbl[RiskScore])</f>
        <v>653</v>
      </c>
      <c r="R86" t="str">
        <f>IFERROR(INDEX(RiskTbl[Risk_Category],MATCH(Loans[[#This Row],[RiskScore]],RiskTbl[Score_Min],1)),"Unknown")</f>
        <v>Medium Risk</v>
      </c>
      <c r="S86" t="str">
        <f>IF(OR(Loans[[#This Row],[LoanStatus]]="Default",Loans[[#This Row],[LoanStatus]]="Watchlist",Loans[[#This Row],[CollateralRisk]]="Undersecured",Loans[[#This Row],[RiskCategory]]="High Risk"),"High Risk Exposure","Normal")</f>
        <v>High Risk Exposure</v>
      </c>
      <c r="T86" t="str" cm="1">
        <f t="array" ref="T86">_xlfn.IFS(
Loans[[#This Row],[LoanStatus]]="Default","Critical",
OR(Loans[[#This Row],[LoanStatus]]="Watchlist",Loans[[#This Row],[CollateralRisk]]="Undersecured",Loans[[#This Row],[RiskCategory]]="High Risk"),"High",
TRUE,"Normal"
)</f>
        <v>High</v>
      </c>
    </row>
    <row r="87" spans="1:20" x14ac:dyDescent="0.35">
      <c r="A87" t="s">
        <v>348</v>
      </c>
      <c r="B87" t="s">
        <v>349</v>
      </c>
      <c r="C87" t="s">
        <v>270</v>
      </c>
      <c r="D87" t="s">
        <v>157</v>
      </c>
      <c r="E87" s="34">
        <v>6000000</v>
      </c>
      <c r="F87" s="29">
        <v>0.13850000000000001</v>
      </c>
      <c r="G87" s="30">
        <v>44207</v>
      </c>
      <c r="H87">
        <v>48</v>
      </c>
      <c r="I87">
        <v>120</v>
      </c>
      <c r="J87" s="34">
        <v>9000000</v>
      </c>
      <c r="K87" t="s">
        <v>178</v>
      </c>
      <c r="L87" s="34">
        <f>PMT(Loans[[#This Row],[InterestRate]]/12,Loans[[#This Row],[LoanTenureMonths]],-Loans[[#This Row],[LoanAmount]])</f>
        <v>163507.74821068844</v>
      </c>
      <c r="M87" s="30">
        <f>EDATE(Loans[[#This Row],[LoanStartDate]],Loans[[#This Row],[LoanTenureMonths]])</f>
        <v>45668</v>
      </c>
      <c r="N87" s="33">
        <f>IF(Loans[[#This Row],[LoanAmount]]=0,0,Loans[[#This Row],[CollateralValue]]/Loans[[#This Row],[LoanAmount]])</f>
        <v>1.5</v>
      </c>
      <c r="O87" t="str">
        <f>IF(Loans[[#This Row],[CollateralCoverageRatio]]&lt;1,"Undersecured","Secured")</f>
        <v>Secured</v>
      </c>
      <c r="P87" t="str">
        <f>_xlfn.XLOOKUP(Loans[[#This Row],[BranchCode]],BranchesTbl[BranchCode],BranchesTbl[BranchName])</f>
        <v>Nakuru</v>
      </c>
      <c r="Q87">
        <f>_xlfn.XLOOKUP(Loans[[#This Row],[CustomerID]],CustomerTbl[CustomerID],CustomerTbl[RiskScore])</f>
        <v>561</v>
      </c>
      <c r="R87" t="str">
        <f>IFERROR(INDEX(RiskTbl[Risk_Category],MATCH(Loans[[#This Row],[RiskScore]],RiskTbl[Score_Min],1)),"Unknown")</f>
        <v>High Risk</v>
      </c>
      <c r="S87" t="str">
        <f>IF(OR(Loans[[#This Row],[LoanStatus]]="Default",Loans[[#This Row],[LoanStatus]]="Watchlist",Loans[[#This Row],[CollateralRisk]]="Undersecured",Loans[[#This Row],[RiskCategory]]="High Risk"),"High Risk Exposure","Normal")</f>
        <v>High Risk Exposure</v>
      </c>
      <c r="T87" t="str" cm="1">
        <f t="array" ref="T87">_xlfn.IFS(
Loans[[#This Row],[LoanStatus]]="Default","Critical",
OR(Loans[[#This Row],[LoanStatus]]="Watchlist",Loans[[#This Row],[CollateralRisk]]="Undersecured",Loans[[#This Row],[RiskCategory]]="High Risk"),"High",
TRUE,"Normal"
)</f>
        <v>Critical</v>
      </c>
    </row>
    <row r="88" spans="1:20" x14ac:dyDescent="0.35">
      <c r="A88" t="s">
        <v>350</v>
      </c>
      <c r="B88" t="s">
        <v>351</v>
      </c>
      <c r="C88" t="s">
        <v>206</v>
      </c>
      <c r="D88" t="s">
        <v>156</v>
      </c>
      <c r="E88" s="34">
        <v>6000000</v>
      </c>
      <c r="F88" s="29">
        <v>0.22359999999999999</v>
      </c>
      <c r="G88" s="30">
        <v>44321</v>
      </c>
      <c r="H88">
        <v>60</v>
      </c>
      <c r="I88">
        <v>0</v>
      </c>
      <c r="J88" s="34">
        <v>4800000</v>
      </c>
      <c r="K88" t="s">
        <v>171</v>
      </c>
      <c r="L88" s="34">
        <f>PMT(Loans[[#This Row],[InterestRate]]/12,Loans[[#This Row],[LoanTenureMonths]],-Loans[[#This Row],[LoanAmount]])</f>
        <v>166943.90991637885</v>
      </c>
      <c r="M88" s="30">
        <f>EDATE(Loans[[#This Row],[LoanStartDate]],Loans[[#This Row],[LoanTenureMonths]])</f>
        <v>46147</v>
      </c>
      <c r="N88" s="33">
        <f>IF(Loans[[#This Row],[LoanAmount]]=0,0,Loans[[#This Row],[CollateralValue]]/Loans[[#This Row],[LoanAmount]])</f>
        <v>0.8</v>
      </c>
      <c r="O88" t="str">
        <f>IF(Loans[[#This Row],[CollateralCoverageRatio]]&lt;1,"Undersecured","Secured")</f>
        <v>Undersecured</v>
      </c>
      <c r="P88" t="str">
        <f>_xlfn.XLOOKUP(Loans[[#This Row],[BranchCode]],BranchesTbl[BranchCode],BranchesTbl[BranchName])</f>
        <v>Nyahururu</v>
      </c>
      <c r="Q88">
        <f>_xlfn.XLOOKUP(Loans[[#This Row],[CustomerID]],CustomerTbl[CustomerID],CustomerTbl[RiskScore])</f>
        <v>494</v>
      </c>
      <c r="R88" t="str">
        <f>IFERROR(INDEX(RiskTbl[Risk_Category],MATCH(Loans[[#This Row],[RiskScore]],RiskTbl[Score_Min],1)),"Unknown")</f>
        <v>High Risk</v>
      </c>
      <c r="S88" t="str">
        <f>IF(OR(Loans[[#This Row],[LoanStatus]]="Default",Loans[[#This Row],[LoanStatus]]="Watchlist",Loans[[#This Row],[CollateralRisk]]="Undersecured",Loans[[#This Row],[RiskCategory]]="High Risk"),"High Risk Exposure","Normal")</f>
        <v>High Risk Exposure</v>
      </c>
      <c r="T88" t="str" cm="1">
        <f t="array" ref="T88">_xlfn.IFS(
Loans[[#This Row],[LoanStatus]]="Default","Critical",
OR(Loans[[#This Row],[LoanStatus]]="Watchlist",Loans[[#This Row],[CollateralRisk]]="Undersecured",Loans[[#This Row],[RiskCategory]]="High Risk"),"High",
TRUE,"Normal"
)</f>
        <v>High</v>
      </c>
    </row>
    <row r="89" spans="1:20" x14ac:dyDescent="0.35">
      <c r="A89" t="s">
        <v>352</v>
      </c>
      <c r="B89" t="s">
        <v>353</v>
      </c>
      <c r="C89" t="s">
        <v>184</v>
      </c>
      <c r="D89" t="s">
        <v>158</v>
      </c>
      <c r="E89" s="34">
        <v>6000000</v>
      </c>
      <c r="F89" s="29">
        <v>0.1578</v>
      </c>
      <c r="G89" s="30">
        <v>44391</v>
      </c>
      <c r="H89">
        <v>48</v>
      </c>
      <c r="I89">
        <v>5</v>
      </c>
      <c r="J89" s="34">
        <v>8760000</v>
      </c>
      <c r="K89" t="s">
        <v>171</v>
      </c>
      <c r="L89" s="34">
        <f>PMT(Loans[[#This Row],[InterestRate]]/12,Loans[[#This Row],[LoanTenureMonths]],-Loans[[#This Row],[LoanAmount]])</f>
        <v>169366.40322088759</v>
      </c>
      <c r="M89" s="30">
        <f>EDATE(Loans[[#This Row],[LoanStartDate]],Loans[[#This Row],[LoanTenureMonths]])</f>
        <v>45852</v>
      </c>
      <c r="N89" s="33">
        <f>IF(Loans[[#This Row],[LoanAmount]]=0,0,Loans[[#This Row],[CollateralValue]]/Loans[[#This Row],[LoanAmount]])</f>
        <v>1.46</v>
      </c>
      <c r="O89" t="str">
        <f>IF(Loans[[#This Row],[CollateralCoverageRatio]]&lt;1,"Undersecured","Secured")</f>
        <v>Secured</v>
      </c>
      <c r="P89" t="str">
        <f>_xlfn.XLOOKUP(Loans[[#This Row],[BranchCode]],BranchesTbl[BranchCode],BranchesTbl[BranchName])</f>
        <v>Kisumu</v>
      </c>
      <c r="Q89">
        <f>_xlfn.XLOOKUP(Loans[[#This Row],[CustomerID]],CustomerTbl[CustomerID],CustomerTbl[RiskScore])</f>
        <v>402</v>
      </c>
      <c r="R89" t="str">
        <f>IFERROR(INDEX(RiskTbl[Risk_Category],MATCH(Loans[[#This Row],[RiskScore]],RiskTbl[Score_Min],1)),"Unknown")</f>
        <v>High Risk</v>
      </c>
      <c r="S89" t="str">
        <f>IF(OR(Loans[[#This Row],[LoanStatus]]="Default",Loans[[#This Row],[LoanStatus]]="Watchlist",Loans[[#This Row],[CollateralRisk]]="Undersecured",Loans[[#This Row],[RiskCategory]]="High Risk"),"High Risk Exposure","Normal")</f>
        <v>High Risk Exposure</v>
      </c>
      <c r="T89" t="str" cm="1">
        <f t="array" ref="T89">_xlfn.IFS(
Loans[[#This Row],[LoanStatus]]="Default","Critical",
OR(Loans[[#This Row],[LoanStatus]]="Watchlist",Loans[[#This Row],[CollateralRisk]]="Undersecured",Loans[[#This Row],[RiskCategory]]="High Risk"),"High",
TRUE,"Normal"
)</f>
        <v>High</v>
      </c>
    </row>
    <row r="90" spans="1:20" x14ac:dyDescent="0.35">
      <c r="A90" t="s">
        <v>354</v>
      </c>
      <c r="B90" t="s">
        <v>355</v>
      </c>
      <c r="C90" t="s">
        <v>174</v>
      </c>
      <c r="D90" t="s">
        <v>157</v>
      </c>
      <c r="E90" s="34">
        <v>80000000</v>
      </c>
      <c r="F90" s="29">
        <v>0.1099</v>
      </c>
      <c r="G90" s="30">
        <v>45641</v>
      </c>
      <c r="H90">
        <v>24</v>
      </c>
      <c r="I90">
        <v>90</v>
      </c>
      <c r="J90" s="34">
        <v>114400000</v>
      </c>
      <c r="K90" t="s">
        <v>199</v>
      </c>
      <c r="L90" s="34">
        <f>PMT(Loans[[#This Row],[InterestRate]]/12,Loans[[#This Row],[LoanTenureMonths]],-Loans[[#This Row],[LoanAmount]])</f>
        <v>3728255.6474923198</v>
      </c>
      <c r="M90" s="30">
        <f>EDATE(Loans[[#This Row],[LoanStartDate]],Loans[[#This Row],[LoanTenureMonths]])</f>
        <v>46371</v>
      </c>
      <c r="N90" s="33">
        <f>IF(Loans[[#This Row],[LoanAmount]]=0,0,Loans[[#This Row],[CollateralValue]]/Loans[[#This Row],[LoanAmount]])</f>
        <v>1.43</v>
      </c>
      <c r="O90" t="str">
        <f>IF(Loans[[#This Row],[CollateralCoverageRatio]]&lt;1,"Undersecured","Secured")</f>
        <v>Secured</v>
      </c>
      <c r="P90" t="str">
        <f>_xlfn.XLOOKUP(Loans[[#This Row],[BranchCode]],BranchesTbl[BranchCode],BranchesTbl[BranchName])</f>
        <v>Westlands</v>
      </c>
      <c r="Q90">
        <f>_xlfn.XLOOKUP(Loans[[#This Row],[CustomerID]],CustomerTbl[CustomerID],CustomerTbl[RiskScore])</f>
        <v>712</v>
      </c>
      <c r="R90" t="str">
        <f>IFERROR(INDEX(RiskTbl[Risk_Category],MATCH(Loans[[#This Row],[RiskScore]],RiskTbl[Score_Min],1)),"Unknown")</f>
        <v>Low Risk</v>
      </c>
      <c r="S90" t="str">
        <f>IF(OR(Loans[[#This Row],[LoanStatus]]="Default",Loans[[#This Row],[LoanStatus]]="Watchlist",Loans[[#This Row],[CollateralRisk]]="Undersecured",Loans[[#This Row],[RiskCategory]]="High Risk"),"High Risk Exposure","Normal")</f>
        <v>High Risk Exposure</v>
      </c>
      <c r="T90" t="str" cm="1">
        <f t="array" ref="T90">_xlfn.IFS(
Loans[[#This Row],[LoanStatus]]="Default","Critical",
OR(Loans[[#This Row],[LoanStatus]]="Watchlist",Loans[[#This Row],[CollateralRisk]]="Undersecured",Loans[[#This Row],[RiskCategory]]="High Risk"),"High",
TRUE,"Normal"
)</f>
        <v>High</v>
      </c>
    </row>
    <row r="91" spans="1:20" x14ac:dyDescent="0.35">
      <c r="A91" t="s">
        <v>356</v>
      </c>
      <c r="B91" t="s">
        <v>357</v>
      </c>
      <c r="C91" t="s">
        <v>184</v>
      </c>
      <c r="D91" t="s">
        <v>156</v>
      </c>
      <c r="E91" s="34">
        <v>3000000</v>
      </c>
      <c r="F91" s="29">
        <v>0.22159999999999999</v>
      </c>
      <c r="G91" s="30">
        <v>44719</v>
      </c>
      <c r="H91">
        <v>12</v>
      </c>
      <c r="I91">
        <v>0</v>
      </c>
      <c r="J91" s="34">
        <v>3660000</v>
      </c>
      <c r="K91" t="s">
        <v>171</v>
      </c>
      <c r="L91" s="34">
        <f>PMT(Loans[[#This Row],[InterestRate]]/12,Loans[[#This Row],[LoanTenureMonths]],-Loans[[#This Row],[LoanAmount]])</f>
        <v>281014.20181139233</v>
      </c>
      <c r="M91" s="30">
        <f>EDATE(Loans[[#This Row],[LoanStartDate]],Loans[[#This Row],[LoanTenureMonths]])</f>
        <v>45084</v>
      </c>
      <c r="N91" s="33">
        <f>IF(Loans[[#This Row],[LoanAmount]]=0,0,Loans[[#This Row],[CollateralValue]]/Loans[[#This Row],[LoanAmount]])</f>
        <v>1.22</v>
      </c>
      <c r="O91" t="str">
        <f>IF(Loans[[#This Row],[CollateralCoverageRatio]]&lt;1,"Undersecured","Secured")</f>
        <v>Secured</v>
      </c>
      <c r="P91" t="str">
        <f>_xlfn.XLOOKUP(Loans[[#This Row],[BranchCode]],BranchesTbl[BranchCode],BranchesTbl[BranchName])</f>
        <v>Kisumu</v>
      </c>
      <c r="Q91">
        <f>_xlfn.XLOOKUP(Loans[[#This Row],[CustomerID]],CustomerTbl[CustomerID],CustomerTbl[RiskScore])</f>
        <v>712</v>
      </c>
      <c r="R91" t="str">
        <f>IFERROR(INDEX(RiskTbl[Risk_Category],MATCH(Loans[[#This Row],[RiskScore]],RiskTbl[Score_Min],1)),"Unknown")</f>
        <v>Low Risk</v>
      </c>
      <c r="S91" t="str">
        <f>IF(OR(Loans[[#This Row],[LoanStatus]]="Default",Loans[[#This Row],[LoanStatus]]="Watchlist",Loans[[#This Row],[CollateralRisk]]="Undersecured",Loans[[#This Row],[RiskCategory]]="High Risk"),"High Risk Exposure","Normal")</f>
        <v>Normal</v>
      </c>
      <c r="T91" t="str" cm="1">
        <f t="array" ref="T91">_xlfn.IFS(
Loans[[#This Row],[LoanStatus]]="Default","Critical",
OR(Loans[[#This Row],[LoanStatus]]="Watchlist",Loans[[#This Row],[CollateralRisk]]="Undersecured",Loans[[#This Row],[RiskCategory]]="High Risk"),"High",
TRUE,"Normal"
)</f>
        <v>Normal</v>
      </c>
    </row>
    <row r="92" spans="1:20" x14ac:dyDescent="0.35">
      <c r="A92" t="s">
        <v>358</v>
      </c>
      <c r="B92" t="s">
        <v>359</v>
      </c>
      <c r="C92" t="s">
        <v>239</v>
      </c>
      <c r="D92" t="s">
        <v>156</v>
      </c>
      <c r="E92" s="34">
        <v>6000000</v>
      </c>
      <c r="F92" s="29">
        <v>0.2001</v>
      </c>
      <c r="G92" s="30">
        <v>45501</v>
      </c>
      <c r="H92">
        <v>60</v>
      </c>
      <c r="I92">
        <v>120</v>
      </c>
      <c r="J92" s="34">
        <v>7380000</v>
      </c>
      <c r="K92" t="s">
        <v>178</v>
      </c>
      <c r="L92" s="34">
        <f>PMT(Loans[[#This Row],[InterestRate]]/12,Loans[[#This Row],[LoanTenureMonths]],-Loans[[#This Row],[LoanAmount]])</f>
        <v>158996.68905666252</v>
      </c>
      <c r="M92" s="30">
        <f>EDATE(Loans[[#This Row],[LoanStartDate]],Loans[[#This Row],[LoanTenureMonths]])</f>
        <v>47327</v>
      </c>
      <c r="N92" s="33">
        <f>IF(Loans[[#This Row],[LoanAmount]]=0,0,Loans[[#This Row],[CollateralValue]]/Loans[[#This Row],[LoanAmount]])</f>
        <v>1.23</v>
      </c>
      <c r="O92" t="str">
        <f>IF(Loans[[#This Row],[CollateralCoverageRatio]]&lt;1,"Undersecured","Secured")</f>
        <v>Secured</v>
      </c>
      <c r="P92" t="str">
        <f>_xlfn.XLOOKUP(Loans[[#This Row],[BranchCode]],BranchesTbl[BranchCode],BranchesTbl[BranchName])</f>
        <v>Machakos</v>
      </c>
      <c r="Q92">
        <f>_xlfn.XLOOKUP(Loans[[#This Row],[CustomerID]],CustomerTbl[CustomerID],CustomerTbl[RiskScore])</f>
        <v>820</v>
      </c>
      <c r="R92" t="str">
        <f>IFERROR(INDEX(RiskTbl[Risk_Category],MATCH(Loans[[#This Row],[RiskScore]],RiskTbl[Score_Min],1)),"Unknown")</f>
        <v>Prime</v>
      </c>
      <c r="S92" t="str">
        <f>IF(OR(Loans[[#This Row],[LoanStatus]]="Default",Loans[[#This Row],[LoanStatus]]="Watchlist",Loans[[#This Row],[CollateralRisk]]="Undersecured",Loans[[#This Row],[RiskCategory]]="High Risk"),"High Risk Exposure","Normal")</f>
        <v>High Risk Exposure</v>
      </c>
      <c r="T92" t="str" cm="1">
        <f t="array" ref="T92">_xlfn.IFS(
Loans[[#This Row],[LoanStatus]]="Default","Critical",
OR(Loans[[#This Row],[LoanStatus]]="Watchlist",Loans[[#This Row],[CollateralRisk]]="Undersecured",Loans[[#This Row],[RiskCategory]]="High Risk"),"High",
TRUE,"Normal"
)</f>
        <v>Critical</v>
      </c>
    </row>
    <row r="93" spans="1:20" x14ac:dyDescent="0.35">
      <c r="A93" t="s">
        <v>360</v>
      </c>
      <c r="B93" t="s">
        <v>361</v>
      </c>
      <c r="C93" t="s">
        <v>206</v>
      </c>
      <c r="D93" t="s">
        <v>156</v>
      </c>
      <c r="E93" s="34">
        <v>3000000</v>
      </c>
      <c r="F93" s="29">
        <v>0.18099999999999999</v>
      </c>
      <c r="G93" s="30">
        <v>45858</v>
      </c>
      <c r="H93">
        <v>36</v>
      </c>
      <c r="I93">
        <v>90</v>
      </c>
      <c r="J93" s="34">
        <v>4200000</v>
      </c>
      <c r="K93" t="s">
        <v>199</v>
      </c>
      <c r="L93" s="34">
        <f>PMT(Loans[[#This Row],[InterestRate]]/12,Loans[[#This Row],[LoanTenureMonths]],-Loans[[#This Row],[LoanAmount]])</f>
        <v>108607.74068838227</v>
      </c>
      <c r="M93" s="30">
        <f>EDATE(Loans[[#This Row],[LoanStartDate]],Loans[[#This Row],[LoanTenureMonths]])</f>
        <v>46954</v>
      </c>
      <c r="N93" s="33">
        <f>IF(Loans[[#This Row],[LoanAmount]]=0,0,Loans[[#This Row],[CollateralValue]]/Loans[[#This Row],[LoanAmount]])</f>
        <v>1.4</v>
      </c>
      <c r="O93" t="str">
        <f>IF(Loans[[#This Row],[CollateralCoverageRatio]]&lt;1,"Undersecured","Secured")</f>
        <v>Secured</v>
      </c>
      <c r="P93" t="str">
        <f>_xlfn.XLOOKUP(Loans[[#This Row],[BranchCode]],BranchesTbl[BranchCode],BranchesTbl[BranchName])</f>
        <v>Nyahururu</v>
      </c>
      <c r="Q93">
        <f>_xlfn.XLOOKUP(Loans[[#This Row],[CustomerID]],CustomerTbl[CustomerID],CustomerTbl[RiskScore])</f>
        <v>588</v>
      </c>
      <c r="R93" t="str">
        <f>IFERROR(INDEX(RiskTbl[Risk_Category],MATCH(Loans[[#This Row],[RiskScore]],RiskTbl[Score_Min],1)),"Unknown")</f>
        <v>Medium Risk</v>
      </c>
      <c r="S93" t="str">
        <f>IF(OR(Loans[[#This Row],[LoanStatus]]="Default",Loans[[#This Row],[LoanStatus]]="Watchlist",Loans[[#This Row],[CollateralRisk]]="Undersecured",Loans[[#This Row],[RiskCategory]]="High Risk"),"High Risk Exposure","Normal")</f>
        <v>High Risk Exposure</v>
      </c>
      <c r="T93" t="str" cm="1">
        <f t="array" ref="T93">_xlfn.IFS(
Loans[[#This Row],[LoanStatus]]="Default","Critical",
OR(Loans[[#This Row],[LoanStatus]]="Watchlist",Loans[[#This Row],[CollateralRisk]]="Undersecured",Loans[[#This Row],[RiskCategory]]="High Risk"),"High",
TRUE,"Normal"
)</f>
        <v>High</v>
      </c>
    </row>
    <row r="94" spans="1:20" x14ac:dyDescent="0.35">
      <c r="A94" t="s">
        <v>362</v>
      </c>
      <c r="B94" t="s">
        <v>363</v>
      </c>
      <c r="C94" t="s">
        <v>184</v>
      </c>
      <c r="D94" t="s">
        <v>157</v>
      </c>
      <c r="E94" s="34">
        <v>6000000</v>
      </c>
      <c r="F94" s="29">
        <v>9.8000000000000004E-2</v>
      </c>
      <c r="G94" s="30">
        <v>44548</v>
      </c>
      <c r="H94">
        <v>12</v>
      </c>
      <c r="I94">
        <v>10</v>
      </c>
      <c r="J94" s="34">
        <v>5400000</v>
      </c>
      <c r="K94" t="s">
        <v>171</v>
      </c>
      <c r="L94" s="34">
        <f>PMT(Loans[[#This Row],[InterestRate]]/12,Loans[[#This Row],[LoanTenureMonths]],-Loans[[#This Row],[LoanAmount]])</f>
        <v>526937.37725363357</v>
      </c>
      <c r="M94" s="30">
        <f>EDATE(Loans[[#This Row],[LoanStartDate]],Loans[[#This Row],[LoanTenureMonths]])</f>
        <v>44913</v>
      </c>
      <c r="N94" s="33">
        <f>IF(Loans[[#This Row],[LoanAmount]]=0,0,Loans[[#This Row],[CollateralValue]]/Loans[[#This Row],[LoanAmount]])</f>
        <v>0.9</v>
      </c>
      <c r="O94" t="str">
        <f>IF(Loans[[#This Row],[CollateralCoverageRatio]]&lt;1,"Undersecured","Secured")</f>
        <v>Undersecured</v>
      </c>
      <c r="P94" t="str">
        <f>_xlfn.XLOOKUP(Loans[[#This Row],[BranchCode]],BranchesTbl[BranchCode],BranchesTbl[BranchName])</f>
        <v>Kisumu</v>
      </c>
      <c r="Q94">
        <f>_xlfn.XLOOKUP(Loans[[#This Row],[CustomerID]],CustomerTbl[CustomerID],CustomerTbl[RiskScore])</f>
        <v>653</v>
      </c>
      <c r="R94" t="str">
        <f>IFERROR(INDEX(RiskTbl[Risk_Category],MATCH(Loans[[#This Row],[RiskScore]],RiskTbl[Score_Min],1)),"Unknown")</f>
        <v>Medium Risk</v>
      </c>
      <c r="S94" t="str">
        <f>IF(OR(Loans[[#This Row],[LoanStatus]]="Default",Loans[[#This Row],[LoanStatus]]="Watchlist",Loans[[#This Row],[CollateralRisk]]="Undersecured",Loans[[#This Row],[RiskCategory]]="High Risk"),"High Risk Exposure","Normal")</f>
        <v>High Risk Exposure</v>
      </c>
      <c r="T94" t="str" cm="1">
        <f t="array" ref="T94">_xlfn.IFS(
Loans[[#This Row],[LoanStatus]]="Default","Critical",
OR(Loans[[#This Row],[LoanStatus]]="Watchlist",Loans[[#This Row],[CollateralRisk]]="Undersecured",Loans[[#This Row],[RiskCategory]]="High Risk"),"High",
TRUE,"Normal"
)</f>
        <v>High</v>
      </c>
    </row>
    <row r="95" spans="1:20" x14ac:dyDescent="0.35">
      <c r="A95" t="s">
        <v>364</v>
      </c>
      <c r="B95" t="s">
        <v>365</v>
      </c>
      <c r="C95" t="s">
        <v>190</v>
      </c>
      <c r="D95" t="s">
        <v>156</v>
      </c>
      <c r="E95" s="34">
        <v>3000000</v>
      </c>
      <c r="F95" s="29">
        <v>0.14799999999999999</v>
      </c>
      <c r="G95" s="30">
        <v>44476</v>
      </c>
      <c r="H95">
        <v>60</v>
      </c>
      <c r="I95">
        <v>0</v>
      </c>
      <c r="J95" s="34">
        <v>3210000</v>
      </c>
      <c r="K95" t="s">
        <v>171</v>
      </c>
      <c r="L95" s="34">
        <f>PMT(Loans[[#This Row],[InterestRate]]/12,Loans[[#This Row],[LoanTenureMonths]],-Loans[[#This Row],[LoanAmount]])</f>
        <v>71055.229986035789</v>
      </c>
      <c r="M95" s="30">
        <f>EDATE(Loans[[#This Row],[LoanStartDate]],Loans[[#This Row],[LoanTenureMonths]])</f>
        <v>46302</v>
      </c>
      <c r="N95" s="33">
        <f>IF(Loans[[#This Row],[LoanAmount]]=0,0,Loans[[#This Row],[CollateralValue]]/Loans[[#This Row],[LoanAmount]])</f>
        <v>1.07</v>
      </c>
      <c r="O95" t="str">
        <f>IF(Loans[[#This Row],[CollateralCoverageRatio]]&lt;1,"Undersecured","Secured")</f>
        <v>Secured</v>
      </c>
      <c r="P95" t="str">
        <f>_xlfn.XLOOKUP(Loans[[#This Row],[BranchCode]],BranchesTbl[BranchCode],BranchesTbl[BranchName])</f>
        <v>Nyeri</v>
      </c>
      <c r="Q95">
        <f>_xlfn.XLOOKUP(Loans[[#This Row],[CustomerID]],CustomerTbl[CustomerID],CustomerTbl[RiskScore])</f>
        <v>347</v>
      </c>
      <c r="R95" t="str">
        <f>IFERROR(INDEX(RiskTbl[Risk_Category],MATCH(Loans[[#This Row],[RiskScore]],RiskTbl[Score_Min],1)),"Unknown")</f>
        <v>High Risk</v>
      </c>
      <c r="S95" t="str">
        <f>IF(OR(Loans[[#This Row],[LoanStatus]]="Default",Loans[[#This Row],[LoanStatus]]="Watchlist",Loans[[#This Row],[CollateralRisk]]="Undersecured",Loans[[#This Row],[RiskCategory]]="High Risk"),"High Risk Exposure","Normal")</f>
        <v>High Risk Exposure</v>
      </c>
      <c r="T95" t="str" cm="1">
        <f t="array" ref="T95">_xlfn.IFS(
Loans[[#This Row],[LoanStatus]]="Default","Critical",
OR(Loans[[#This Row],[LoanStatus]]="Watchlist",Loans[[#This Row],[CollateralRisk]]="Undersecured",Loans[[#This Row],[RiskCategory]]="High Risk"),"High",
TRUE,"Normal"
)</f>
        <v>High</v>
      </c>
    </row>
    <row r="96" spans="1:20" x14ac:dyDescent="0.35">
      <c r="A96" t="s">
        <v>366</v>
      </c>
      <c r="B96" t="s">
        <v>367</v>
      </c>
      <c r="C96" t="s">
        <v>206</v>
      </c>
      <c r="D96" t="s">
        <v>156</v>
      </c>
      <c r="E96" s="34">
        <v>6000000</v>
      </c>
      <c r="F96" s="29">
        <v>0.18840000000000001</v>
      </c>
      <c r="G96" s="30">
        <v>44280</v>
      </c>
      <c r="H96">
        <v>60</v>
      </c>
      <c r="I96">
        <v>45</v>
      </c>
      <c r="J96" s="34">
        <v>7740000</v>
      </c>
      <c r="K96" t="s">
        <v>199</v>
      </c>
      <c r="L96" s="34">
        <f>PMT(Loans[[#This Row],[InterestRate]]/12,Loans[[#This Row],[LoanTenureMonths]],-Loans[[#This Row],[LoanAmount]])</f>
        <v>155115.5546658572</v>
      </c>
      <c r="M96" s="30">
        <f>EDATE(Loans[[#This Row],[LoanStartDate]],Loans[[#This Row],[LoanTenureMonths]])</f>
        <v>46106</v>
      </c>
      <c r="N96" s="33">
        <f>IF(Loans[[#This Row],[LoanAmount]]=0,0,Loans[[#This Row],[CollateralValue]]/Loans[[#This Row],[LoanAmount]])</f>
        <v>1.29</v>
      </c>
      <c r="O96" t="str">
        <f>IF(Loans[[#This Row],[CollateralCoverageRatio]]&lt;1,"Undersecured","Secured")</f>
        <v>Secured</v>
      </c>
      <c r="P96" t="str">
        <f>_xlfn.XLOOKUP(Loans[[#This Row],[BranchCode]],BranchesTbl[BranchCode],BranchesTbl[BranchName])</f>
        <v>Nyahururu</v>
      </c>
      <c r="Q96">
        <f>_xlfn.XLOOKUP(Loans[[#This Row],[CustomerID]],CustomerTbl[CustomerID],CustomerTbl[RiskScore])</f>
        <v>313</v>
      </c>
      <c r="R96" t="str">
        <f>IFERROR(INDEX(RiskTbl[Risk_Category],MATCH(Loans[[#This Row],[RiskScore]],RiskTbl[Score_Min],1)),"Unknown")</f>
        <v>High Risk</v>
      </c>
      <c r="S96" t="str">
        <f>IF(OR(Loans[[#This Row],[LoanStatus]]="Default",Loans[[#This Row],[LoanStatus]]="Watchlist",Loans[[#This Row],[CollateralRisk]]="Undersecured",Loans[[#This Row],[RiskCategory]]="High Risk"),"High Risk Exposure","Normal")</f>
        <v>High Risk Exposure</v>
      </c>
      <c r="T96" t="str" cm="1">
        <f t="array" ref="T96">_xlfn.IFS(
Loans[[#This Row],[LoanStatus]]="Default","Critical",
OR(Loans[[#This Row],[LoanStatus]]="Watchlist",Loans[[#This Row],[CollateralRisk]]="Undersecured",Loans[[#This Row],[RiskCategory]]="High Risk"),"High",
TRUE,"Normal"
)</f>
        <v>High</v>
      </c>
    </row>
    <row r="97" spans="1:20" x14ac:dyDescent="0.35">
      <c r="A97" t="s">
        <v>368</v>
      </c>
      <c r="B97" t="s">
        <v>369</v>
      </c>
      <c r="C97" t="s">
        <v>219</v>
      </c>
      <c r="D97" t="s">
        <v>156</v>
      </c>
      <c r="E97" s="34">
        <v>25000000</v>
      </c>
      <c r="F97" s="29">
        <v>0.1444</v>
      </c>
      <c r="G97" s="30">
        <v>43940</v>
      </c>
      <c r="H97">
        <v>24</v>
      </c>
      <c r="I97">
        <v>45</v>
      </c>
      <c r="J97" s="34">
        <v>31500000</v>
      </c>
      <c r="K97" t="s">
        <v>199</v>
      </c>
      <c r="L97" s="34">
        <f>PMT(Loans[[#This Row],[InterestRate]]/12,Loans[[#This Row],[LoanTenureMonths]],-Loans[[#This Row],[LoanAmount]])</f>
        <v>1205525.1750123345</v>
      </c>
      <c r="M97" s="30">
        <f>EDATE(Loans[[#This Row],[LoanStartDate]],Loans[[#This Row],[LoanTenureMonths]])</f>
        <v>44670</v>
      </c>
      <c r="N97" s="33">
        <f>IF(Loans[[#This Row],[LoanAmount]]=0,0,Loans[[#This Row],[CollateralValue]]/Loans[[#This Row],[LoanAmount]])</f>
        <v>1.26</v>
      </c>
      <c r="O97" t="str">
        <f>IF(Loans[[#This Row],[CollateralCoverageRatio]]&lt;1,"Undersecured","Secured")</f>
        <v>Secured</v>
      </c>
      <c r="P97" t="str">
        <f>_xlfn.XLOOKUP(Loans[[#This Row],[BranchCode]],BranchesTbl[BranchCode],BranchesTbl[BranchName])</f>
        <v>Meru</v>
      </c>
      <c r="Q97">
        <f>_xlfn.XLOOKUP(Loans[[#This Row],[CustomerID]],CustomerTbl[CustomerID],CustomerTbl[RiskScore])</f>
        <v>787</v>
      </c>
      <c r="R97" t="str">
        <f>IFERROR(INDEX(RiskTbl[Risk_Category],MATCH(Loans[[#This Row],[RiskScore]],RiskTbl[Score_Min],1)),"Unknown")</f>
        <v>Very Low Risk</v>
      </c>
      <c r="S97" t="str">
        <f>IF(OR(Loans[[#This Row],[LoanStatus]]="Default",Loans[[#This Row],[LoanStatus]]="Watchlist",Loans[[#This Row],[CollateralRisk]]="Undersecured",Loans[[#This Row],[RiskCategory]]="High Risk"),"High Risk Exposure","Normal")</f>
        <v>High Risk Exposure</v>
      </c>
      <c r="T97" t="str" cm="1">
        <f t="array" ref="T97">_xlfn.IFS(
Loans[[#This Row],[LoanStatus]]="Default","Critical",
OR(Loans[[#This Row],[LoanStatus]]="Watchlist",Loans[[#This Row],[CollateralRisk]]="Undersecured",Loans[[#This Row],[RiskCategory]]="High Risk"),"High",
TRUE,"Normal"
)</f>
        <v>High</v>
      </c>
    </row>
    <row r="98" spans="1:20" x14ac:dyDescent="0.35">
      <c r="A98" t="s">
        <v>370</v>
      </c>
      <c r="B98" t="s">
        <v>371</v>
      </c>
      <c r="C98" t="s">
        <v>174</v>
      </c>
      <c r="D98" t="s">
        <v>158</v>
      </c>
      <c r="E98" s="34">
        <v>1000000</v>
      </c>
      <c r="F98" s="29">
        <v>0.13639999999999999</v>
      </c>
      <c r="G98" s="30">
        <v>44397</v>
      </c>
      <c r="H98">
        <v>60</v>
      </c>
      <c r="I98">
        <v>90</v>
      </c>
      <c r="J98" s="34">
        <v>870000</v>
      </c>
      <c r="K98" t="s">
        <v>199</v>
      </c>
      <c r="L98" s="34">
        <f>PMT(Loans[[#This Row],[InterestRate]]/12,Loans[[#This Row],[LoanTenureMonths]],-Loans[[#This Row],[LoanAmount]])</f>
        <v>23082.035153322187</v>
      </c>
      <c r="M98" s="30">
        <f>EDATE(Loans[[#This Row],[LoanStartDate]],Loans[[#This Row],[LoanTenureMonths]])</f>
        <v>46223</v>
      </c>
      <c r="N98" s="33">
        <f>IF(Loans[[#This Row],[LoanAmount]]=0,0,Loans[[#This Row],[CollateralValue]]/Loans[[#This Row],[LoanAmount]])</f>
        <v>0.87</v>
      </c>
      <c r="O98" t="str">
        <f>IF(Loans[[#This Row],[CollateralCoverageRatio]]&lt;1,"Undersecured","Secured")</f>
        <v>Undersecured</v>
      </c>
      <c r="P98" t="str">
        <f>_xlfn.XLOOKUP(Loans[[#This Row],[BranchCode]],BranchesTbl[BranchCode],BranchesTbl[BranchName])</f>
        <v>Westlands</v>
      </c>
      <c r="Q98">
        <f>_xlfn.XLOOKUP(Loans[[#This Row],[CustomerID]],CustomerTbl[CustomerID],CustomerTbl[RiskScore])</f>
        <v>426</v>
      </c>
      <c r="R98" t="str">
        <f>IFERROR(INDEX(RiskTbl[Risk_Category],MATCH(Loans[[#This Row],[RiskScore]],RiskTbl[Score_Min],1)),"Unknown")</f>
        <v>High Risk</v>
      </c>
      <c r="S98" t="str">
        <f>IF(OR(Loans[[#This Row],[LoanStatus]]="Default",Loans[[#This Row],[LoanStatus]]="Watchlist",Loans[[#This Row],[CollateralRisk]]="Undersecured",Loans[[#This Row],[RiskCategory]]="High Risk"),"High Risk Exposure","Normal")</f>
        <v>High Risk Exposure</v>
      </c>
      <c r="T98" t="str" cm="1">
        <f t="array" ref="T98">_xlfn.IFS(
Loans[[#This Row],[LoanStatus]]="Default","Critical",
OR(Loans[[#This Row],[LoanStatus]]="Watchlist",Loans[[#This Row],[CollateralRisk]]="Undersecured",Loans[[#This Row],[RiskCategory]]="High Risk"),"High",
TRUE,"Normal"
)</f>
        <v>High</v>
      </c>
    </row>
    <row r="99" spans="1:20" x14ac:dyDescent="0.35">
      <c r="A99" t="s">
        <v>372</v>
      </c>
      <c r="B99" t="s">
        <v>373</v>
      </c>
      <c r="C99" t="s">
        <v>187</v>
      </c>
      <c r="D99" t="s">
        <v>157</v>
      </c>
      <c r="E99" s="34">
        <v>80000000</v>
      </c>
      <c r="F99" s="29">
        <v>0.12180000000000001</v>
      </c>
      <c r="G99" s="30">
        <v>45175</v>
      </c>
      <c r="H99">
        <v>48</v>
      </c>
      <c r="I99">
        <v>0</v>
      </c>
      <c r="J99" s="34">
        <v>64800000</v>
      </c>
      <c r="K99" t="s">
        <v>171</v>
      </c>
      <c r="L99" s="34">
        <f>PMT(Loans[[#This Row],[InterestRate]]/12,Loans[[#This Row],[LoanTenureMonths]],-Loans[[#This Row],[LoanAmount]])</f>
        <v>2113784.0350262299</v>
      </c>
      <c r="M99" s="30">
        <f>EDATE(Loans[[#This Row],[LoanStartDate]],Loans[[#This Row],[LoanTenureMonths]])</f>
        <v>46636</v>
      </c>
      <c r="N99" s="33">
        <f>IF(Loans[[#This Row],[LoanAmount]]=0,0,Loans[[#This Row],[CollateralValue]]/Loans[[#This Row],[LoanAmount]])</f>
        <v>0.81</v>
      </c>
      <c r="O99" t="str">
        <f>IF(Loans[[#This Row],[CollateralCoverageRatio]]&lt;1,"Undersecured","Secured")</f>
        <v>Undersecured</v>
      </c>
      <c r="P99" t="str">
        <f>_xlfn.XLOOKUP(Loans[[#This Row],[BranchCode]],BranchesTbl[BranchCode],BranchesTbl[BranchName])</f>
        <v>Eldoret</v>
      </c>
      <c r="Q99">
        <f>_xlfn.XLOOKUP(Loans[[#This Row],[CustomerID]],CustomerTbl[CustomerID],CustomerTbl[RiskScore])</f>
        <v>547</v>
      </c>
      <c r="R99" t="str">
        <f>IFERROR(INDEX(RiskTbl[Risk_Category],MATCH(Loans[[#This Row],[RiskScore]],RiskTbl[Score_Min],1)),"Unknown")</f>
        <v>High Risk</v>
      </c>
      <c r="S99" t="str">
        <f>IF(OR(Loans[[#This Row],[LoanStatus]]="Default",Loans[[#This Row],[LoanStatus]]="Watchlist",Loans[[#This Row],[CollateralRisk]]="Undersecured",Loans[[#This Row],[RiskCategory]]="High Risk"),"High Risk Exposure","Normal")</f>
        <v>High Risk Exposure</v>
      </c>
      <c r="T99" t="str" cm="1">
        <f t="array" ref="T99">_xlfn.IFS(
Loans[[#This Row],[LoanStatus]]="Default","Critical",
OR(Loans[[#This Row],[LoanStatus]]="Watchlist",Loans[[#This Row],[CollateralRisk]]="Undersecured",Loans[[#This Row],[RiskCategory]]="High Risk"),"High",
TRUE,"Normal"
)</f>
        <v>High</v>
      </c>
    </row>
    <row r="100" spans="1:20" x14ac:dyDescent="0.35">
      <c r="A100" t="s">
        <v>374</v>
      </c>
      <c r="B100" t="s">
        <v>375</v>
      </c>
      <c r="C100" t="s">
        <v>232</v>
      </c>
      <c r="D100" t="s">
        <v>157</v>
      </c>
      <c r="E100" s="34">
        <v>6000000</v>
      </c>
      <c r="F100" s="29">
        <v>0.11169999999999999</v>
      </c>
      <c r="G100" s="30">
        <v>45849</v>
      </c>
      <c r="H100">
        <v>36</v>
      </c>
      <c r="I100">
        <v>45</v>
      </c>
      <c r="J100" s="34">
        <v>3480000</v>
      </c>
      <c r="K100" t="s">
        <v>199</v>
      </c>
      <c r="L100" s="34">
        <f>PMT(Loans[[#This Row],[InterestRate]]/12,Loans[[#This Row],[LoanTenureMonths]],-Loans[[#This Row],[LoanAmount]])</f>
        <v>196915.68962247914</v>
      </c>
      <c r="M100" s="30">
        <f>EDATE(Loans[[#This Row],[LoanStartDate]],Loans[[#This Row],[LoanTenureMonths]])</f>
        <v>46945</v>
      </c>
      <c r="N100" s="33">
        <f>IF(Loans[[#This Row],[LoanAmount]]=0,0,Loans[[#This Row],[CollateralValue]]/Loans[[#This Row],[LoanAmount]])</f>
        <v>0.57999999999999996</v>
      </c>
      <c r="O100" t="str">
        <f>IF(Loans[[#This Row],[CollateralCoverageRatio]]&lt;1,"Undersecured","Secured")</f>
        <v>Undersecured</v>
      </c>
      <c r="P100" t="str">
        <f>_xlfn.XLOOKUP(Loans[[#This Row],[BranchCode]],BranchesTbl[BranchCode],BranchesTbl[BranchName])</f>
        <v>Upper Hill</v>
      </c>
      <c r="Q100">
        <f>_xlfn.XLOOKUP(Loans[[#This Row],[CustomerID]],CustomerTbl[CustomerID],CustomerTbl[RiskScore])</f>
        <v>358</v>
      </c>
      <c r="R100" t="str">
        <f>IFERROR(INDEX(RiskTbl[Risk_Category],MATCH(Loans[[#This Row],[RiskScore]],RiskTbl[Score_Min],1)),"Unknown")</f>
        <v>High Risk</v>
      </c>
      <c r="S100" t="str">
        <f>IF(OR(Loans[[#This Row],[LoanStatus]]="Default",Loans[[#This Row],[LoanStatus]]="Watchlist",Loans[[#This Row],[CollateralRisk]]="Undersecured",Loans[[#This Row],[RiskCategory]]="High Risk"),"High Risk Exposure","Normal")</f>
        <v>High Risk Exposure</v>
      </c>
      <c r="T100" t="str" cm="1">
        <f t="array" ref="T100">_xlfn.IFS(
Loans[[#This Row],[LoanStatus]]="Default","Critical",
OR(Loans[[#This Row],[LoanStatus]]="Watchlist",Loans[[#This Row],[CollateralRisk]]="Undersecured",Loans[[#This Row],[RiskCategory]]="High Risk"),"High",
TRUE,"Normal"
)</f>
        <v>High</v>
      </c>
    </row>
    <row r="101" spans="1:20" x14ac:dyDescent="0.35">
      <c r="A101" t="s">
        <v>376</v>
      </c>
      <c r="B101" t="s">
        <v>377</v>
      </c>
      <c r="C101" t="s">
        <v>190</v>
      </c>
      <c r="D101" t="s">
        <v>157</v>
      </c>
      <c r="E101" s="34">
        <v>6000000</v>
      </c>
      <c r="F101" s="29">
        <v>0.1197</v>
      </c>
      <c r="G101" s="30">
        <v>44049</v>
      </c>
      <c r="H101">
        <v>36</v>
      </c>
      <c r="I101">
        <v>0</v>
      </c>
      <c r="J101" s="34">
        <v>4560000</v>
      </c>
      <c r="K101" t="s">
        <v>171</v>
      </c>
      <c r="L101" s="34">
        <f>PMT(Loans[[#This Row],[InterestRate]]/12,Loans[[#This Row],[LoanTenureMonths]],-Loans[[#This Row],[LoanAmount]])</f>
        <v>199199.89826330772</v>
      </c>
      <c r="M101" s="30">
        <f>EDATE(Loans[[#This Row],[LoanStartDate]],Loans[[#This Row],[LoanTenureMonths]])</f>
        <v>45144</v>
      </c>
      <c r="N101" s="33">
        <f>IF(Loans[[#This Row],[LoanAmount]]=0,0,Loans[[#This Row],[CollateralValue]]/Loans[[#This Row],[LoanAmount]])</f>
        <v>0.76</v>
      </c>
      <c r="O101" t="str">
        <f>IF(Loans[[#This Row],[CollateralCoverageRatio]]&lt;1,"Undersecured","Secured")</f>
        <v>Undersecured</v>
      </c>
      <c r="P101" t="str">
        <f>_xlfn.XLOOKUP(Loans[[#This Row],[BranchCode]],BranchesTbl[BranchCode],BranchesTbl[BranchName])</f>
        <v>Nyeri</v>
      </c>
      <c r="Q101">
        <f>_xlfn.XLOOKUP(Loans[[#This Row],[CustomerID]],CustomerTbl[CustomerID],CustomerTbl[RiskScore])</f>
        <v>850</v>
      </c>
      <c r="R101" t="str">
        <f>IFERROR(INDEX(RiskTbl[Risk_Category],MATCH(Loans[[#This Row],[RiskScore]],RiskTbl[Score_Min],1)),"Unknown")</f>
        <v>Prime</v>
      </c>
      <c r="S101" t="str">
        <f>IF(OR(Loans[[#This Row],[LoanStatus]]="Default",Loans[[#This Row],[LoanStatus]]="Watchlist",Loans[[#This Row],[CollateralRisk]]="Undersecured",Loans[[#This Row],[RiskCategory]]="High Risk"),"High Risk Exposure","Normal")</f>
        <v>High Risk Exposure</v>
      </c>
      <c r="T101" t="str" cm="1">
        <f t="array" ref="T101">_xlfn.IFS(
Loans[[#This Row],[LoanStatus]]="Default","Critical",
OR(Loans[[#This Row],[LoanStatus]]="Watchlist",Loans[[#This Row],[CollateralRisk]]="Undersecured",Loans[[#This Row],[RiskCategory]]="High Risk"),"High",
TRUE,"Normal"
)</f>
        <v>High</v>
      </c>
    </row>
    <row r="102" spans="1:20" x14ac:dyDescent="0.35">
      <c r="A102" t="s">
        <v>378</v>
      </c>
      <c r="B102" t="s">
        <v>379</v>
      </c>
      <c r="C102" t="s">
        <v>190</v>
      </c>
      <c r="D102" t="s">
        <v>158</v>
      </c>
      <c r="E102" s="34">
        <v>500000</v>
      </c>
      <c r="F102" s="29">
        <v>0.1699</v>
      </c>
      <c r="G102" s="30">
        <v>45522</v>
      </c>
      <c r="H102">
        <v>60</v>
      </c>
      <c r="I102">
        <v>5</v>
      </c>
      <c r="J102" s="34">
        <v>460000</v>
      </c>
      <c r="K102" t="s">
        <v>171</v>
      </c>
      <c r="L102" s="34">
        <f>PMT(Loans[[#This Row],[InterestRate]]/12,Loans[[#This Row],[LoanTenureMonths]],-Loans[[#This Row],[LoanAmount]])</f>
        <v>12423.599566288252</v>
      </c>
      <c r="M102" s="30">
        <f>EDATE(Loans[[#This Row],[LoanStartDate]],Loans[[#This Row],[LoanTenureMonths]])</f>
        <v>47348</v>
      </c>
      <c r="N102" s="33">
        <f>IF(Loans[[#This Row],[LoanAmount]]=0,0,Loans[[#This Row],[CollateralValue]]/Loans[[#This Row],[LoanAmount]])</f>
        <v>0.92</v>
      </c>
      <c r="O102" t="str">
        <f>IF(Loans[[#This Row],[CollateralCoverageRatio]]&lt;1,"Undersecured","Secured")</f>
        <v>Undersecured</v>
      </c>
      <c r="P102" t="str">
        <f>_xlfn.XLOOKUP(Loans[[#This Row],[BranchCode]],BranchesTbl[BranchCode],BranchesTbl[BranchName])</f>
        <v>Nyeri</v>
      </c>
      <c r="Q102">
        <f>_xlfn.XLOOKUP(Loans[[#This Row],[CustomerID]],CustomerTbl[CustomerID],CustomerTbl[RiskScore])</f>
        <v>696</v>
      </c>
      <c r="R102" t="str">
        <f>IFERROR(INDEX(RiskTbl[Risk_Category],MATCH(Loans[[#This Row],[RiskScore]],RiskTbl[Score_Min],1)),"Unknown")</f>
        <v>Low Risk</v>
      </c>
      <c r="S102" t="str">
        <f>IF(OR(Loans[[#This Row],[LoanStatus]]="Default",Loans[[#This Row],[LoanStatus]]="Watchlist",Loans[[#This Row],[CollateralRisk]]="Undersecured",Loans[[#This Row],[RiskCategory]]="High Risk"),"High Risk Exposure","Normal")</f>
        <v>High Risk Exposure</v>
      </c>
      <c r="T102" t="str" cm="1">
        <f t="array" ref="T102">_xlfn.IFS(
Loans[[#This Row],[LoanStatus]]="Default","Critical",
OR(Loans[[#This Row],[LoanStatus]]="Watchlist",Loans[[#This Row],[CollateralRisk]]="Undersecured",Loans[[#This Row],[RiskCategory]]="High Risk"),"High",
TRUE,"Normal"
)</f>
        <v>High</v>
      </c>
    </row>
    <row r="103" spans="1:20" x14ac:dyDescent="0.35">
      <c r="A103" t="s">
        <v>380</v>
      </c>
      <c r="B103" t="s">
        <v>381</v>
      </c>
      <c r="C103" t="s">
        <v>193</v>
      </c>
      <c r="D103" t="s">
        <v>155</v>
      </c>
      <c r="E103" s="34">
        <v>250000</v>
      </c>
      <c r="F103" s="29">
        <v>0.2213</v>
      </c>
      <c r="G103" s="30">
        <v>45894</v>
      </c>
      <c r="H103">
        <v>48</v>
      </c>
      <c r="I103">
        <v>5</v>
      </c>
      <c r="J103" s="34">
        <v>0</v>
      </c>
      <c r="K103" t="s">
        <v>171</v>
      </c>
      <c r="L103" s="34">
        <f>PMT(Loans[[#This Row],[InterestRate]]/12,Loans[[#This Row],[LoanTenureMonths]],-Loans[[#This Row],[LoanAmount]])</f>
        <v>7894.1741269433478</v>
      </c>
      <c r="M103" s="30">
        <f>EDATE(Loans[[#This Row],[LoanStartDate]],Loans[[#This Row],[LoanTenureMonths]])</f>
        <v>47355</v>
      </c>
      <c r="N103" s="33">
        <f>IF(Loans[[#This Row],[LoanAmount]]=0,0,Loans[[#This Row],[CollateralValue]]/Loans[[#This Row],[LoanAmount]])</f>
        <v>0</v>
      </c>
      <c r="O103" t="str">
        <f>IF(Loans[[#This Row],[CollateralCoverageRatio]]&lt;1,"Undersecured","Secured")</f>
        <v>Undersecured</v>
      </c>
      <c r="P103" t="str">
        <f>_xlfn.XLOOKUP(Loans[[#This Row],[BranchCode]],BranchesTbl[BranchCode],BranchesTbl[BranchName])</f>
        <v>Mombasa</v>
      </c>
      <c r="Q103">
        <f>_xlfn.XLOOKUP(Loans[[#This Row],[CustomerID]],CustomerTbl[CustomerID],CustomerTbl[RiskScore])</f>
        <v>628</v>
      </c>
      <c r="R103" t="str">
        <f>IFERROR(INDEX(RiskTbl[Risk_Category],MATCH(Loans[[#This Row],[RiskScore]],RiskTbl[Score_Min],1)),"Unknown")</f>
        <v>Medium Risk</v>
      </c>
      <c r="S103" t="str">
        <f>IF(OR(Loans[[#This Row],[LoanStatus]]="Default",Loans[[#This Row],[LoanStatus]]="Watchlist",Loans[[#This Row],[CollateralRisk]]="Undersecured",Loans[[#This Row],[RiskCategory]]="High Risk"),"High Risk Exposure","Normal")</f>
        <v>High Risk Exposure</v>
      </c>
      <c r="T103" t="str" cm="1">
        <f t="array" ref="T103">_xlfn.IFS(
Loans[[#This Row],[LoanStatus]]="Default","Critical",
OR(Loans[[#This Row],[LoanStatus]]="Watchlist",Loans[[#This Row],[CollateralRisk]]="Undersecured",Loans[[#This Row],[RiskCategory]]="High Risk"),"High",
TRUE,"Normal"
)</f>
        <v>High</v>
      </c>
    </row>
    <row r="104" spans="1:20" x14ac:dyDescent="0.35">
      <c r="A104" t="s">
        <v>382</v>
      </c>
      <c r="B104" t="s">
        <v>383</v>
      </c>
      <c r="C104" t="s">
        <v>232</v>
      </c>
      <c r="D104" t="s">
        <v>155</v>
      </c>
      <c r="E104" s="34">
        <v>1000000</v>
      </c>
      <c r="F104" s="29">
        <v>0.18740000000000001</v>
      </c>
      <c r="G104" s="30">
        <v>44393</v>
      </c>
      <c r="H104">
        <v>48</v>
      </c>
      <c r="I104">
        <v>0</v>
      </c>
      <c r="J104" s="34">
        <v>0</v>
      </c>
      <c r="K104" t="s">
        <v>171</v>
      </c>
      <c r="L104" s="34">
        <f>PMT(Loans[[#This Row],[InterestRate]]/12,Loans[[#This Row],[LoanTenureMonths]],-Loans[[#This Row],[LoanAmount]])</f>
        <v>29763.092833269195</v>
      </c>
      <c r="M104" s="30">
        <f>EDATE(Loans[[#This Row],[LoanStartDate]],Loans[[#This Row],[LoanTenureMonths]])</f>
        <v>45854</v>
      </c>
      <c r="N104" s="33">
        <f>IF(Loans[[#This Row],[LoanAmount]]=0,0,Loans[[#This Row],[CollateralValue]]/Loans[[#This Row],[LoanAmount]])</f>
        <v>0</v>
      </c>
      <c r="O104" t="str">
        <f>IF(Loans[[#This Row],[CollateralCoverageRatio]]&lt;1,"Undersecured","Secured")</f>
        <v>Undersecured</v>
      </c>
      <c r="P104" t="str">
        <f>_xlfn.XLOOKUP(Loans[[#This Row],[BranchCode]],BranchesTbl[BranchCode],BranchesTbl[BranchName])</f>
        <v>Upper Hill</v>
      </c>
      <c r="Q104">
        <f>_xlfn.XLOOKUP(Loans[[#This Row],[CustomerID]],CustomerTbl[CustomerID],CustomerTbl[RiskScore])</f>
        <v>762</v>
      </c>
      <c r="R104" t="str">
        <f>IFERROR(INDEX(RiskTbl[Risk_Category],MATCH(Loans[[#This Row],[RiskScore]],RiskTbl[Score_Min],1)),"Unknown")</f>
        <v>Very Low Risk</v>
      </c>
      <c r="S104" t="str">
        <f>IF(OR(Loans[[#This Row],[LoanStatus]]="Default",Loans[[#This Row],[LoanStatus]]="Watchlist",Loans[[#This Row],[CollateralRisk]]="Undersecured",Loans[[#This Row],[RiskCategory]]="High Risk"),"High Risk Exposure","Normal")</f>
        <v>High Risk Exposure</v>
      </c>
      <c r="T104" t="str" cm="1">
        <f t="array" ref="T104">_xlfn.IFS(
Loans[[#This Row],[LoanStatus]]="Default","Critical",
OR(Loans[[#This Row],[LoanStatus]]="Watchlist",Loans[[#This Row],[CollateralRisk]]="Undersecured",Loans[[#This Row],[RiskCategory]]="High Risk"),"High",
TRUE,"Normal"
)</f>
        <v>High</v>
      </c>
    </row>
    <row r="105" spans="1:20" x14ac:dyDescent="0.35">
      <c r="A105" t="s">
        <v>384</v>
      </c>
      <c r="B105" t="s">
        <v>385</v>
      </c>
      <c r="C105" t="s">
        <v>190</v>
      </c>
      <c r="D105" t="s">
        <v>157</v>
      </c>
      <c r="E105" s="34">
        <v>25000000</v>
      </c>
      <c r="F105" s="29">
        <v>0.128</v>
      </c>
      <c r="G105" s="30">
        <v>45663</v>
      </c>
      <c r="H105">
        <v>48</v>
      </c>
      <c r="I105">
        <v>0</v>
      </c>
      <c r="J105" s="34">
        <v>28000000</v>
      </c>
      <c r="K105" t="s">
        <v>171</v>
      </c>
      <c r="L105" s="34">
        <f>PMT(Loans[[#This Row],[InterestRate]]/12,Loans[[#This Row],[LoanTenureMonths]],-Loans[[#This Row],[LoanAmount]])</f>
        <v>668208.43222106935</v>
      </c>
      <c r="M105" s="30">
        <f>EDATE(Loans[[#This Row],[LoanStartDate]],Loans[[#This Row],[LoanTenureMonths]])</f>
        <v>47124</v>
      </c>
      <c r="N105" s="33">
        <f>IF(Loans[[#This Row],[LoanAmount]]=0,0,Loans[[#This Row],[CollateralValue]]/Loans[[#This Row],[LoanAmount]])</f>
        <v>1.1200000000000001</v>
      </c>
      <c r="O105" t="str">
        <f>IF(Loans[[#This Row],[CollateralCoverageRatio]]&lt;1,"Undersecured","Secured")</f>
        <v>Secured</v>
      </c>
      <c r="P105" t="str">
        <f>_xlfn.XLOOKUP(Loans[[#This Row],[BranchCode]],BranchesTbl[BranchCode],BranchesTbl[BranchName])</f>
        <v>Nyeri</v>
      </c>
      <c r="Q105">
        <f>_xlfn.XLOOKUP(Loans[[#This Row],[CustomerID]],CustomerTbl[CustomerID],CustomerTbl[RiskScore])</f>
        <v>753</v>
      </c>
      <c r="R105" t="str">
        <f>IFERROR(INDEX(RiskTbl[Risk_Category],MATCH(Loans[[#This Row],[RiskScore]],RiskTbl[Score_Min],1)),"Unknown")</f>
        <v>Very Low Risk</v>
      </c>
      <c r="S105" t="str">
        <f>IF(OR(Loans[[#This Row],[LoanStatus]]="Default",Loans[[#This Row],[LoanStatus]]="Watchlist",Loans[[#This Row],[CollateralRisk]]="Undersecured",Loans[[#This Row],[RiskCategory]]="High Risk"),"High Risk Exposure","Normal")</f>
        <v>Normal</v>
      </c>
      <c r="T105" t="str" cm="1">
        <f t="array" ref="T105">_xlfn.IFS(
Loans[[#This Row],[LoanStatus]]="Default","Critical",
OR(Loans[[#This Row],[LoanStatus]]="Watchlist",Loans[[#This Row],[CollateralRisk]]="Undersecured",Loans[[#This Row],[RiskCategory]]="High Risk"),"High",
TRUE,"Normal"
)</f>
        <v>Normal</v>
      </c>
    </row>
    <row r="106" spans="1:20" x14ac:dyDescent="0.35">
      <c r="A106" t="s">
        <v>386</v>
      </c>
      <c r="B106" t="s">
        <v>306</v>
      </c>
      <c r="C106" t="s">
        <v>267</v>
      </c>
      <c r="D106" t="s">
        <v>158</v>
      </c>
      <c r="E106" s="34">
        <v>3000000</v>
      </c>
      <c r="F106" s="29">
        <v>0.1532</v>
      </c>
      <c r="G106" s="30">
        <v>44842</v>
      </c>
      <c r="H106">
        <v>12</v>
      </c>
      <c r="I106">
        <v>0</v>
      </c>
      <c r="J106" s="34">
        <v>2160000</v>
      </c>
      <c r="K106" t="s">
        <v>171</v>
      </c>
      <c r="L106" s="34">
        <f>PMT(Loans[[#This Row],[InterestRate]]/12,Loans[[#This Row],[LoanTenureMonths]],-Loans[[#This Row],[LoanAmount]])</f>
        <v>271228.14013101079</v>
      </c>
      <c r="M106" s="30">
        <f>EDATE(Loans[[#This Row],[LoanStartDate]],Loans[[#This Row],[LoanTenureMonths]])</f>
        <v>45207</v>
      </c>
      <c r="N106" s="33">
        <f>IF(Loans[[#This Row],[LoanAmount]]=0,0,Loans[[#This Row],[CollateralValue]]/Loans[[#This Row],[LoanAmount]])</f>
        <v>0.72</v>
      </c>
      <c r="O106" t="str">
        <f>IF(Loans[[#This Row],[CollateralCoverageRatio]]&lt;1,"Undersecured","Secured")</f>
        <v>Undersecured</v>
      </c>
      <c r="P106" t="str">
        <f>_xlfn.XLOOKUP(Loans[[#This Row],[BranchCode]],BranchesTbl[BranchCode],BranchesTbl[BranchName])</f>
        <v>Malindi</v>
      </c>
      <c r="Q106">
        <f>_xlfn.XLOOKUP(Loans[[#This Row],[CustomerID]],CustomerTbl[CustomerID],CustomerTbl[RiskScore])</f>
        <v>400</v>
      </c>
      <c r="R106" t="str">
        <f>IFERROR(INDEX(RiskTbl[Risk_Category],MATCH(Loans[[#This Row],[RiskScore]],RiskTbl[Score_Min],1)),"Unknown")</f>
        <v>High Risk</v>
      </c>
      <c r="S106" t="str">
        <f>IF(OR(Loans[[#This Row],[LoanStatus]]="Default",Loans[[#This Row],[LoanStatus]]="Watchlist",Loans[[#This Row],[CollateralRisk]]="Undersecured",Loans[[#This Row],[RiskCategory]]="High Risk"),"High Risk Exposure","Normal")</f>
        <v>High Risk Exposure</v>
      </c>
      <c r="T106" t="str" cm="1">
        <f t="array" ref="T106">_xlfn.IFS(
Loans[[#This Row],[LoanStatus]]="Default","Critical",
OR(Loans[[#This Row],[LoanStatus]]="Watchlist",Loans[[#This Row],[CollateralRisk]]="Undersecured",Loans[[#This Row],[RiskCategory]]="High Risk"),"High",
TRUE,"Normal"
)</f>
        <v>High</v>
      </c>
    </row>
    <row r="107" spans="1:20" x14ac:dyDescent="0.35">
      <c r="A107" t="s">
        <v>387</v>
      </c>
      <c r="B107" t="s">
        <v>186</v>
      </c>
      <c r="C107" t="s">
        <v>170</v>
      </c>
      <c r="D107" t="s">
        <v>155</v>
      </c>
      <c r="E107" s="34">
        <v>500000</v>
      </c>
      <c r="F107" s="29">
        <v>0.20030000000000001</v>
      </c>
      <c r="G107" s="30">
        <v>45555</v>
      </c>
      <c r="H107">
        <v>36</v>
      </c>
      <c r="I107">
        <v>45</v>
      </c>
      <c r="J107" s="34">
        <v>0</v>
      </c>
      <c r="K107" t="s">
        <v>199</v>
      </c>
      <c r="L107" s="34">
        <f>PMT(Loans[[#This Row],[InterestRate]]/12,Loans[[#This Row],[LoanTenureMonths]],-Loans[[#This Row],[LoanAmount]])</f>
        <v>18589.43546306264</v>
      </c>
      <c r="M107" s="30">
        <f>EDATE(Loans[[#This Row],[LoanStartDate]],Loans[[#This Row],[LoanTenureMonths]])</f>
        <v>46650</v>
      </c>
      <c r="N107" s="33">
        <f>IF(Loans[[#This Row],[LoanAmount]]=0,0,Loans[[#This Row],[CollateralValue]]/Loans[[#This Row],[LoanAmount]])</f>
        <v>0</v>
      </c>
      <c r="O107" t="str">
        <f>IF(Loans[[#This Row],[CollateralCoverageRatio]]&lt;1,"Undersecured","Secured")</f>
        <v>Undersecured</v>
      </c>
      <c r="P107" t="str">
        <f>_xlfn.XLOOKUP(Loans[[#This Row],[BranchCode]],BranchesTbl[BranchCode],BranchesTbl[BranchName])</f>
        <v>Thika</v>
      </c>
      <c r="Q107">
        <f>_xlfn.XLOOKUP(Loans[[#This Row],[CustomerID]],CustomerTbl[CustomerID],CustomerTbl[RiskScore])</f>
        <v>587</v>
      </c>
      <c r="R107" t="str">
        <f>IFERROR(INDEX(RiskTbl[Risk_Category],MATCH(Loans[[#This Row],[RiskScore]],RiskTbl[Score_Min],1)),"Unknown")</f>
        <v>Medium Risk</v>
      </c>
      <c r="S107" t="str">
        <f>IF(OR(Loans[[#This Row],[LoanStatus]]="Default",Loans[[#This Row],[LoanStatus]]="Watchlist",Loans[[#This Row],[CollateralRisk]]="Undersecured",Loans[[#This Row],[RiskCategory]]="High Risk"),"High Risk Exposure","Normal")</f>
        <v>High Risk Exposure</v>
      </c>
      <c r="T107" t="str" cm="1">
        <f t="array" ref="T107">_xlfn.IFS(
Loans[[#This Row],[LoanStatus]]="Default","Critical",
OR(Loans[[#This Row],[LoanStatus]]="Watchlist",Loans[[#This Row],[CollateralRisk]]="Undersecured",Loans[[#This Row],[RiskCategory]]="High Risk"),"High",
TRUE,"Normal"
)</f>
        <v>High</v>
      </c>
    </row>
    <row r="108" spans="1:20" x14ac:dyDescent="0.35">
      <c r="A108" t="s">
        <v>388</v>
      </c>
      <c r="B108" t="s">
        <v>389</v>
      </c>
      <c r="C108" t="s">
        <v>170</v>
      </c>
      <c r="D108" t="s">
        <v>157</v>
      </c>
      <c r="E108" s="34">
        <v>25000000</v>
      </c>
      <c r="F108" s="29">
        <v>0.1222</v>
      </c>
      <c r="G108" s="30">
        <v>43960</v>
      </c>
      <c r="H108">
        <v>60</v>
      </c>
      <c r="I108">
        <v>10</v>
      </c>
      <c r="J108" s="34">
        <v>12500000</v>
      </c>
      <c r="K108" t="s">
        <v>171</v>
      </c>
      <c r="L108" s="34">
        <f>PMT(Loans[[#This Row],[InterestRate]]/12,Loans[[#This Row],[LoanTenureMonths]],-Loans[[#This Row],[LoanAmount]])</f>
        <v>558894.51405793324</v>
      </c>
      <c r="M108" s="30">
        <f>EDATE(Loans[[#This Row],[LoanStartDate]],Loans[[#This Row],[LoanTenureMonths]])</f>
        <v>45786</v>
      </c>
      <c r="N108" s="33">
        <f>IF(Loans[[#This Row],[LoanAmount]]=0,0,Loans[[#This Row],[CollateralValue]]/Loans[[#This Row],[LoanAmount]])</f>
        <v>0.5</v>
      </c>
      <c r="O108" t="str">
        <f>IF(Loans[[#This Row],[CollateralCoverageRatio]]&lt;1,"Undersecured","Secured")</f>
        <v>Undersecured</v>
      </c>
      <c r="P108" t="str">
        <f>_xlfn.XLOOKUP(Loans[[#This Row],[BranchCode]],BranchesTbl[BranchCode],BranchesTbl[BranchName])</f>
        <v>Thika</v>
      </c>
      <c r="Q108">
        <f>_xlfn.XLOOKUP(Loans[[#This Row],[CustomerID]],CustomerTbl[CustomerID],CustomerTbl[RiskScore])</f>
        <v>488</v>
      </c>
      <c r="R108" t="str">
        <f>IFERROR(INDEX(RiskTbl[Risk_Category],MATCH(Loans[[#This Row],[RiskScore]],RiskTbl[Score_Min],1)),"Unknown")</f>
        <v>High Risk</v>
      </c>
      <c r="S108" t="str">
        <f>IF(OR(Loans[[#This Row],[LoanStatus]]="Default",Loans[[#This Row],[LoanStatus]]="Watchlist",Loans[[#This Row],[CollateralRisk]]="Undersecured",Loans[[#This Row],[RiskCategory]]="High Risk"),"High Risk Exposure","Normal")</f>
        <v>High Risk Exposure</v>
      </c>
      <c r="T108" t="str" cm="1">
        <f t="array" ref="T108">_xlfn.IFS(
Loans[[#This Row],[LoanStatus]]="Default","Critical",
OR(Loans[[#This Row],[LoanStatus]]="Watchlist",Loans[[#This Row],[CollateralRisk]]="Undersecured",Loans[[#This Row],[RiskCategory]]="High Risk"),"High",
TRUE,"Normal"
)</f>
        <v>High</v>
      </c>
    </row>
    <row r="109" spans="1:20" x14ac:dyDescent="0.35">
      <c r="A109" t="s">
        <v>390</v>
      </c>
      <c r="B109" t="s">
        <v>391</v>
      </c>
      <c r="C109" t="s">
        <v>219</v>
      </c>
      <c r="D109" t="s">
        <v>156</v>
      </c>
      <c r="E109" s="34">
        <v>1000000</v>
      </c>
      <c r="F109" s="29">
        <v>0.21149999999999999</v>
      </c>
      <c r="G109" s="30">
        <v>45919</v>
      </c>
      <c r="H109">
        <v>72</v>
      </c>
      <c r="I109">
        <v>10</v>
      </c>
      <c r="J109" s="34">
        <v>690000</v>
      </c>
      <c r="K109" t="s">
        <v>171</v>
      </c>
      <c r="L109" s="34">
        <f>PMT(Loans[[#This Row],[InterestRate]]/12,Loans[[#This Row],[LoanTenureMonths]],-Loans[[#This Row],[LoanAmount]])</f>
        <v>24624.074997750711</v>
      </c>
      <c r="M109" s="30">
        <f>EDATE(Loans[[#This Row],[LoanStartDate]],Loans[[#This Row],[LoanTenureMonths]])</f>
        <v>48110</v>
      </c>
      <c r="N109" s="33">
        <f>IF(Loans[[#This Row],[LoanAmount]]=0,0,Loans[[#This Row],[CollateralValue]]/Loans[[#This Row],[LoanAmount]])</f>
        <v>0.69</v>
      </c>
      <c r="O109" t="str">
        <f>IF(Loans[[#This Row],[CollateralCoverageRatio]]&lt;1,"Undersecured","Secured")</f>
        <v>Undersecured</v>
      </c>
      <c r="P109" t="str">
        <f>_xlfn.XLOOKUP(Loans[[#This Row],[BranchCode]],BranchesTbl[BranchCode],BranchesTbl[BranchName])</f>
        <v>Meru</v>
      </c>
      <c r="Q109">
        <f>_xlfn.XLOOKUP(Loans[[#This Row],[CustomerID]],CustomerTbl[CustomerID],CustomerTbl[RiskScore])</f>
        <v>411</v>
      </c>
      <c r="R109" t="str">
        <f>IFERROR(INDEX(RiskTbl[Risk_Category],MATCH(Loans[[#This Row],[RiskScore]],RiskTbl[Score_Min],1)),"Unknown")</f>
        <v>High Risk</v>
      </c>
      <c r="S109" t="str">
        <f>IF(OR(Loans[[#This Row],[LoanStatus]]="Default",Loans[[#This Row],[LoanStatus]]="Watchlist",Loans[[#This Row],[CollateralRisk]]="Undersecured",Loans[[#This Row],[RiskCategory]]="High Risk"),"High Risk Exposure","Normal")</f>
        <v>High Risk Exposure</v>
      </c>
      <c r="T109" t="str" cm="1">
        <f t="array" ref="T109">_xlfn.IFS(
Loans[[#This Row],[LoanStatus]]="Default","Critical",
OR(Loans[[#This Row],[LoanStatus]]="Watchlist",Loans[[#This Row],[CollateralRisk]]="Undersecured",Loans[[#This Row],[RiskCategory]]="High Risk"),"High",
TRUE,"Normal"
)</f>
        <v>High</v>
      </c>
    </row>
    <row r="110" spans="1:20" x14ac:dyDescent="0.35">
      <c r="A110" t="s">
        <v>392</v>
      </c>
      <c r="B110" t="s">
        <v>393</v>
      </c>
      <c r="C110" t="s">
        <v>219</v>
      </c>
      <c r="D110" t="s">
        <v>157</v>
      </c>
      <c r="E110" s="34">
        <v>25000000</v>
      </c>
      <c r="F110" s="29">
        <v>0.1173</v>
      </c>
      <c r="G110" s="30">
        <v>44998</v>
      </c>
      <c r="H110">
        <v>48</v>
      </c>
      <c r="I110">
        <v>0</v>
      </c>
      <c r="J110" s="34">
        <v>18750000</v>
      </c>
      <c r="K110" t="s">
        <v>171</v>
      </c>
      <c r="L110" s="34">
        <f>PMT(Loans[[#This Row],[InterestRate]]/12,Loans[[#This Row],[LoanTenureMonths]],-Loans[[#This Row],[LoanAmount]])</f>
        <v>655036.57120554778</v>
      </c>
      <c r="M110" s="30">
        <f>EDATE(Loans[[#This Row],[LoanStartDate]],Loans[[#This Row],[LoanTenureMonths]])</f>
        <v>46459</v>
      </c>
      <c r="N110" s="33">
        <f>IF(Loans[[#This Row],[LoanAmount]]=0,0,Loans[[#This Row],[CollateralValue]]/Loans[[#This Row],[LoanAmount]])</f>
        <v>0.75</v>
      </c>
      <c r="O110" t="str">
        <f>IF(Loans[[#This Row],[CollateralCoverageRatio]]&lt;1,"Undersecured","Secured")</f>
        <v>Undersecured</v>
      </c>
      <c r="P110" t="str">
        <f>_xlfn.XLOOKUP(Loans[[#This Row],[BranchCode]],BranchesTbl[BranchCode],BranchesTbl[BranchName])</f>
        <v>Meru</v>
      </c>
      <c r="Q110">
        <f>_xlfn.XLOOKUP(Loans[[#This Row],[CustomerID]],CustomerTbl[CustomerID],CustomerTbl[RiskScore])</f>
        <v>445</v>
      </c>
      <c r="R110" t="str">
        <f>IFERROR(INDEX(RiskTbl[Risk_Category],MATCH(Loans[[#This Row],[RiskScore]],RiskTbl[Score_Min],1)),"Unknown")</f>
        <v>High Risk</v>
      </c>
      <c r="S110" t="str">
        <f>IF(OR(Loans[[#This Row],[LoanStatus]]="Default",Loans[[#This Row],[LoanStatus]]="Watchlist",Loans[[#This Row],[CollateralRisk]]="Undersecured",Loans[[#This Row],[RiskCategory]]="High Risk"),"High Risk Exposure","Normal")</f>
        <v>High Risk Exposure</v>
      </c>
      <c r="T110" t="str" cm="1">
        <f t="array" ref="T110">_xlfn.IFS(
Loans[[#This Row],[LoanStatus]]="Default","Critical",
OR(Loans[[#This Row],[LoanStatus]]="Watchlist",Loans[[#This Row],[CollateralRisk]]="Undersecured",Loans[[#This Row],[RiskCategory]]="High Risk"),"High",
TRUE,"Normal"
)</f>
        <v>High</v>
      </c>
    </row>
    <row r="111" spans="1:20" x14ac:dyDescent="0.35">
      <c r="A111" t="s">
        <v>394</v>
      </c>
      <c r="B111" t="s">
        <v>337</v>
      </c>
      <c r="C111" t="s">
        <v>206</v>
      </c>
      <c r="D111" t="s">
        <v>155</v>
      </c>
      <c r="E111" s="34">
        <v>500000</v>
      </c>
      <c r="F111" s="29">
        <v>0.17599999999999999</v>
      </c>
      <c r="G111" s="30">
        <v>43988</v>
      </c>
      <c r="H111">
        <v>36</v>
      </c>
      <c r="I111">
        <v>0</v>
      </c>
      <c r="J111" s="34">
        <v>0</v>
      </c>
      <c r="K111" t="s">
        <v>171</v>
      </c>
      <c r="L111" s="34">
        <f>PMT(Loans[[#This Row],[InterestRate]]/12,Loans[[#This Row],[LoanTenureMonths]],-Loans[[#This Row],[LoanAmount]])</f>
        <v>17976.026293621755</v>
      </c>
      <c r="M111" s="30">
        <f>EDATE(Loans[[#This Row],[LoanStartDate]],Loans[[#This Row],[LoanTenureMonths]])</f>
        <v>45083</v>
      </c>
      <c r="N111" s="33">
        <f>IF(Loans[[#This Row],[LoanAmount]]=0,0,Loans[[#This Row],[CollateralValue]]/Loans[[#This Row],[LoanAmount]])</f>
        <v>0</v>
      </c>
      <c r="O111" t="str">
        <f>IF(Loans[[#This Row],[CollateralCoverageRatio]]&lt;1,"Undersecured","Secured")</f>
        <v>Undersecured</v>
      </c>
      <c r="P111" t="str">
        <f>_xlfn.XLOOKUP(Loans[[#This Row],[BranchCode]],BranchesTbl[BranchCode],BranchesTbl[BranchName])</f>
        <v>Nyahururu</v>
      </c>
      <c r="Q111">
        <f>_xlfn.XLOOKUP(Loans[[#This Row],[CustomerID]],CustomerTbl[CustomerID],CustomerTbl[RiskScore])</f>
        <v>402</v>
      </c>
      <c r="R111" t="str">
        <f>IFERROR(INDEX(RiskTbl[Risk_Category],MATCH(Loans[[#This Row],[RiskScore]],RiskTbl[Score_Min],1)),"Unknown")</f>
        <v>High Risk</v>
      </c>
      <c r="S111" t="str">
        <f>IF(OR(Loans[[#This Row],[LoanStatus]]="Default",Loans[[#This Row],[LoanStatus]]="Watchlist",Loans[[#This Row],[CollateralRisk]]="Undersecured",Loans[[#This Row],[RiskCategory]]="High Risk"),"High Risk Exposure","Normal")</f>
        <v>High Risk Exposure</v>
      </c>
      <c r="T111" t="str" cm="1">
        <f t="array" ref="T111">_xlfn.IFS(
Loans[[#This Row],[LoanStatus]]="Default","Critical",
OR(Loans[[#This Row],[LoanStatus]]="Watchlist",Loans[[#This Row],[CollateralRisk]]="Undersecured",Loans[[#This Row],[RiskCategory]]="High Risk"),"High",
TRUE,"Normal"
)</f>
        <v>High</v>
      </c>
    </row>
    <row r="112" spans="1:20" x14ac:dyDescent="0.35">
      <c r="A112" t="s">
        <v>395</v>
      </c>
      <c r="B112" t="s">
        <v>396</v>
      </c>
      <c r="C112" t="s">
        <v>187</v>
      </c>
      <c r="D112" t="s">
        <v>156</v>
      </c>
      <c r="E112" s="34">
        <v>6000000</v>
      </c>
      <c r="F112" s="29">
        <v>0.22170000000000001</v>
      </c>
      <c r="G112" s="30">
        <v>45864</v>
      </c>
      <c r="H112">
        <v>72</v>
      </c>
      <c r="I112">
        <v>90</v>
      </c>
      <c r="J112" s="34">
        <v>5040000</v>
      </c>
      <c r="K112" t="s">
        <v>199</v>
      </c>
      <c r="L112" s="34">
        <f>PMT(Loans[[#This Row],[InterestRate]]/12,Loans[[#This Row],[LoanTenureMonths]],-Loans[[#This Row],[LoanAmount]])</f>
        <v>151362.80419118353</v>
      </c>
      <c r="M112" s="30">
        <f>EDATE(Loans[[#This Row],[LoanStartDate]],Loans[[#This Row],[LoanTenureMonths]])</f>
        <v>48055</v>
      </c>
      <c r="N112" s="33">
        <f>IF(Loans[[#This Row],[LoanAmount]]=0,0,Loans[[#This Row],[CollateralValue]]/Loans[[#This Row],[LoanAmount]])</f>
        <v>0.84</v>
      </c>
      <c r="O112" t="str">
        <f>IF(Loans[[#This Row],[CollateralCoverageRatio]]&lt;1,"Undersecured","Secured")</f>
        <v>Undersecured</v>
      </c>
      <c r="P112" t="str">
        <f>_xlfn.XLOOKUP(Loans[[#This Row],[BranchCode]],BranchesTbl[BranchCode],BranchesTbl[BranchName])</f>
        <v>Eldoret</v>
      </c>
      <c r="Q112">
        <f>_xlfn.XLOOKUP(Loans[[#This Row],[CustomerID]],CustomerTbl[CustomerID],CustomerTbl[RiskScore])</f>
        <v>329</v>
      </c>
      <c r="R112" t="str">
        <f>IFERROR(INDEX(RiskTbl[Risk_Category],MATCH(Loans[[#This Row],[RiskScore]],RiskTbl[Score_Min],1)),"Unknown")</f>
        <v>High Risk</v>
      </c>
      <c r="S112" t="str">
        <f>IF(OR(Loans[[#This Row],[LoanStatus]]="Default",Loans[[#This Row],[LoanStatus]]="Watchlist",Loans[[#This Row],[CollateralRisk]]="Undersecured",Loans[[#This Row],[RiskCategory]]="High Risk"),"High Risk Exposure","Normal")</f>
        <v>High Risk Exposure</v>
      </c>
      <c r="T112" t="str" cm="1">
        <f t="array" ref="T112">_xlfn.IFS(
Loans[[#This Row],[LoanStatus]]="Default","Critical",
OR(Loans[[#This Row],[LoanStatus]]="Watchlist",Loans[[#This Row],[CollateralRisk]]="Undersecured",Loans[[#This Row],[RiskCategory]]="High Risk"),"High",
TRUE,"Normal"
)</f>
        <v>High</v>
      </c>
    </row>
    <row r="113" spans="1:20" x14ac:dyDescent="0.35">
      <c r="A113" t="s">
        <v>397</v>
      </c>
      <c r="B113" t="s">
        <v>398</v>
      </c>
      <c r="C113" t="s">
        <v>190</v>
      </c>
      <c r="D113" t="s">
        <v>157</v>
      </c>
      <c r="E113" s="34">
        <v>25000000</v>
      </c>
      <c r="F113" s="29">
        <v>0.1197</v>
      </c>
      <c r="G113" s="30">
        <v>45913</v>
      </c>
      <c r="H113">
        <v>60</v>
      </c>
      <c r="I113">
        <v>20</v>
      </c>
      <c r="J113" s="34">
        <v>30250000</v>
      </c>
      <c r="K113" t="s">
        <v>171</v>
      </c>
      <c r="L113" s="34">
        <f>PMT(Loans[[#This Row],[InterestRate]]/12,Loans[[#This Row],[LoanTenureMonths]],-Loans[[#This Row],[LoanAmount]])</f>
        <v>555732.26678462117</v>
      </c>
      <c r="M113" s="30">
        <f>EDATE(Loans[[#This Row],[LoanStartDate]],Loans[[#This Row],[LoanTenureMonths]])</f>
        <v>47739</v>
      </c>
      <c r="N113" s="33">
        <f>IF(Loans[[#This Row],[LoanAmount]]=0,0,Loans[[#This Row],[CollateralValue]]/Loans[[#This Row],[LoanAmount]])</f>
        <v>1.21</v>
      </c>
      <c r="O113" t="str">
        <f>IF(Loans[[#This Row],[CollateralCoverageRatio]]&lt;1,"Undersecured","Secured")</f>
        <v>Secured</v>
      </c>
      <c r="P113" t="str">
        <f>_xlfn.XLOOKUP(Loans[[#This Row],[BranchCode]],BranchesTbl[BranchCode],BranchesTbl[BranchName])</f>
        <v>Nyeri</v>
      </c>
      <c r="Q113">
        <f>_xlfn.XLOOKUP(Loans[[#This Row],[CustomerID]],CustomerTbl[CustomerID],CustomerTbl[RiskScore])</f>
        <v>590</v>
      </c>
      <c r="R113" t="str">
        <f>IFERROR(INDEX(RiskTbl[Risk_Category],MATCH(Loans[[#This Row],[RiskScore]],RiskTbl[Score_Min],1)),"Unknown")</f>
        <v>Medium Risk</v>
      </c>
      <c r="S113" t="str">
        <f>IF(OR(Loans[[#This Row],[LoanStatus]]="Default",Loans[[#This Row],[LoanStatus]]="Watchlist",Loans[[#This Row],[CollateralRisk]]="Undersecured",Loans[[#This Row],[RiskCategory]]="High Risk"),"High Risk Exposure","Normal")</f>
        <v>Normal</v>
      </c>
      <c r="T113" t="str" cm="1">
        <f t="array" ref="T113">_xlfn.IFS(
Loans[[#This Row],[LoanStatus]]="Default","Critical",
OR(Loans[[#This Row],[LoanStatus]]="Watchlist",Loans[[#This Row],[CollateralRisk]]="Undersecured",Loans[[#This Row],[RiskCategory]]="High Risk"),"High",
TRUE,"Normal"
)</f>
        <v>Normal</v>
      </c>
    </row>
    <row r="114" spans="1:20" x14ac:dyDescent="0.35">
      <c r="A114" t="s">
        <v>399</v>
      </c>
      <c r="B114" t="s">
        <v>400</v>
      </c>
      <c r="C114" t="s">
        <v>170</v>
      </c>
      <c r="D114" t="s">
        <v>158</v>
      </c>
      <c r="E114" s="34">
        <v>6000000</v>
      </c>
      <c r="F114" s="29">
        <v>0.13880000000000001</v>
      </c>
      <c r="G114" s="30">
        <v>45554</v>
      </c>
      <c r="H114">
        <v>48</v>
      </c>
      <c r="I114">
        <v>20</v>
      </c>
      <c r="J114" s="34">
        <v>4020000</v>
      </c>
      <c r="K114" t="s">
        <v>171</v>
      </c>
      <c r="L114" s="34">
        <f>PMT(Loans[[#This Row],[InterestRate]]/12,Loans[[#This Row],[LoanTenureMonths]],-Loans[[#This Row],[LoanAmount]])</f>
        <v>163597.91318788627</v>
      </c>
      <c r="M114" s="30">
        <f>EDATE(Loans[[#This Row],[LoanStartDate]],Loans[[#This Row],[LoanTenureMonths]])</f>
        <v>47015</v>
      </c>
      <c r="N114" s="33">
        <f>IF(Loans[[#This Row],[LoanAmount]]=0,0,Loans[[#This Row],[CollateralValue]]/Loans[[#This Row],[LoanAmount]])</f>
        <v>0.67</v>
      </c>
      <c r="O114" t="str">
        <f>IF(Loans[[#This Row],[CollateralCoverageRatio]]&lt;1,"Undersecured","Secured")</f>
        <v>Undersecured</v>
      </c>
      <c r="P114" t="str">
        <f>_xlfn.XLOOKUP(Loans[[#This Row],[BranchCode]],BranchesTbl[BranchCode],BranchesTbl[BranchName])</f>
        <v>Thika</v>
      </c>
      <c r="Q114">
        <f>_xlfn.XLOOKUP(Loans[[#This Row],[CustomerID]],CustomerTbl[CustomerID],CustomerTbl[RiskScore])</f>
        <v>724</v>
      </c>
      <c r="R114" t="str">
        <f>IFERROR(INDEX(RiskTbl[Risk_Category],MATCH(Loans[[#This Row],[RiskScore]],RiskTbl[Score_Min],1)),"Unknown")</f>
        <v>Low Risk</v>
      </c>
      <c r="S114" t="str">
        <f>IF(OR(Loans[[#This Row],[LoanStatus]]="Default",Loans[[#This Row],[LoanStatus]]="Watchlist",Loans[[#This Row],[CollateralRisk]]="Undersecured",Loans[[#This Row],[RiskCategory]]="High Risk"),"High Risk Exposure","Normal")</f>
        <v>High Risk Exposure</v>
      </c>
      <c r="T114" t="str" cm="1">
        <f t="array" ref="T114">_xlfn.IFS(
Loans[[#This Row],[LoanStatus]]="Default","Critical",
OR(Loans[[#This Row],[LoanStatus]]="Watchlist",Loans[[#This Row],[CollateralRisk]]="Undersecured",Loans[[#This Row],[RiskCategory]]="High Risk"),"High",
TRUE,"Normal"
)</f>
        <v>High</v>
      </c>
    </row>
    <row r="115" spans="1:20" x14ac:dyDescent="0.35">
      <c r="A115" t="s">
        <v>401</v>
      </c>
      <c r="B115" t="s">
        <v>402</v>
      </c>
      <c r="C115" t="s">
        <v>177</v>
      </c>
      <c r="D115" t="s">
        <v>156</v>
      </c>
      <c r="E115" s="34">
        <v>6000000</v>
      </c>
      <c r="F115" s="29">
        <v>0.1812</v>
      </c>
      <c r="G115" s="30">
        <v>45378</v>
      </c>
      <c r="H115">
        <v>12</v>
      </c>
      <c r="I115">
        <v>90</v>
      </c>
      <c r="J115" s="34">
        <v>8880000</v>
      </c>
      <c r="K115" t="s">
        <v>199</v>
      </c>
      <c r="L115" s="34">
        <f>PMT(Loans[[#This Row],[InterestRate]]/12,Loans[[#This Row],[LoanTenureMonths]],-Loans[[#This Row],[LoanAmount]])</f>
        <v>550422.6731840265</v>
      </c>
      <c r="M115" s="30">
        <f>EDATE(Loans[[#This Row],[LoanStartDate]],Loans[[#This Row],[LoanTenureMonths]])</f>
        <v>45743</v>
      </c>
      <c r="N115" s="33">
        <f>IF(Loans[[#This Row],[LoanAmount]]=0,0,Loans[[#This Row],[CollateralValue]]/Loans[[#This Row],[LoanAmount]])</f>
        <v>1.48</v>
      </c>
      <c r="O115" t="str">
        <f>IF(Loans[[#This Row],[CollateralCoverageRatio]]&lt;1,"Undersecured","Secured")</f>
        <v>Secured</v>
      </c>
      <c r="P115" t="str">
        <f>_xlfn.XLOOKUP(Loans[[#This Row],[BranchCode]],BranchesTbl[BranchCode],BranchesTbl[BranchName])</f>
        <v>Naivasha</v>
      </c>
      <c r="Q115">
        <f>_xlfn.XLOOKUP(Loans[[#This Row],[CustomerID]],CustomerTbl[CustomerID],CustomerTbl[RiskScore])</f>
        <v>376</v>
      </c>
      <c r="R115" t="str">
        <f>IFERROR(INDEX(RiskTbl[Risk_Category],MATCH(Loans[[#This Row],[RiskScore]],RiskTbl[Score_Min],1)),"Unknown")</f>
        <v>High Risk</v>
      </c>
      <c r="S115" t="str">
        <f>IF(OR(Loans[[#This Row],[LoanStatus]]="Default",Loans[[#This Row],[LoanStatus]]="Watchlist",Loans[[#This Row],[CollateralRisk]]="Undersecured",Loans[[#This Row],[RiskCategory]]="High Risk"),"High Risk Exposure","Normal")</f>
        <v>High Risk Exposure</v>
      </c>
      <c r="T115" t="str" cm="1">
        <f t="array" ref="T115">_xlfn.IFS(
Loans[[#This Row],[LoanStatus]]="Default","Critical",
OR(Loans[[#This Row],[LoanStatus]]="Watchlist",Loans[[#This Row],[CollateralRisk]]="Undersecured",Loans[[#This Row],[RiskCategory]]="High Risk"),"High",
TRUE,"Normal"
)</f>
        <v>High</v>
      </c>
    </row>
    <row r="116" spans="1:20" x14ac:dyDescent="0.35">
      <c r="A116" t="s">
        <v>403</v>
      </c>
      <c r="B116" t="s">
        <v>404</v>
      </c>
      <c r="C116" t="s">
        <v>193</v>
      </c>
      <c r="D116" t="s">
        <v>158</v>
      </c>
      <c r="E116" s="34">
        <v>3000000</v>
      </c>
      <c r="F116" s="29">
        <v>0.1477</v>
      </c>
      <c r="G116" s="30">
        <v>43872</v>
      </c>
      <c r="H116">
        <v>48</v>
      </c>
      <c r="I116">
        <v>0</v>
      </c>
      <c r="J116" s="34">
        <v>2430000</v>
      </c>
      <c r="K116" t="s">
        <v>171</v>
      </c>
      <c r="L116" s="34">
        <f>PMT(Loans[[#This Row],[InterestRate]]/12,Loans[[#This Row],[LoanTenureMonths]],-Loans[[#This Row],[LoanAmount]])</f>
        <v>83142.896374804739</v>
      </c>
      <c r="M116" s="30">
        <f>EDATE(Loans[[#This Row],[LoanStartDate]],Loans[[#This Row],[LoanTenureMonths]])</f>
        <v>45333</v>
      </c>
      <c r="N116" s="33">
        <f>IF(Loans[[#This Row],[LoanAmount]]=0,0,Loans[[#This Row],[CollateralValue]]/Loans[[#This Row],[LoanAmount]])</f>
        <v>0.81</v>
      </c>
      <c r="O116" t="str">
        <f>IF(Loans[[#This Row],[CollateralCoverageRatio]]&lt;1,"Undersecured","Secured")</f>
        <v>Undersecured</v>
      </c>
      <c r="P116" t="str">
        <f>_xlfn.XLOOKUP(Loans[[#This Row],[BranchCode]],BranchesTbl[BranchCode],BranchesTbl[BranchName])</f>
        <v>Mombasa</v>
      </c>
      <c r="Q116">
        <f>_xlfn.XLOOKUP(Loans[[#This Row],[CustomerID]],CustomerTbl[CustomerID],CustomerTbl[RiskScore])</f>
        <v>764</v>
      </c>
      <c r="R116" t="str">
        <f>IFERROR(INDEX(RiskTbl[Risk_Category],MATCH(Loans[[#This Row],[RiskScore]],RiskTbl[Score_Min],1)),"Unknown")</f>
        <v>Very Low Risk</v>
      </c>
      <c r="S116" t="str">
        <f>IF(OR(Loans[[#This Row],[LoanStatus]]="Default",Loans[[#This Row],[LoanStatus]]="Watchlist",Loans[[#This Row],[CollateralRisk]]="Undersecured",Loans[[#This Row],[RiskCategory]]="High Risk"),"High Risk Exposure","Normal")</f>
        <v>High Risk Exposure</v>
      </c>
      <c r="T116" t="str" cm="1">
        <f t="array" ref="T116">_xlfn.IFS(
Loans[[#This Row],[LoanStatus]]="Default","Critical",
OR(Loans[[#This Row],[LoanStatus]]="Watchlist",Loans[[#This Row],[CollateralRisk]]="Undersecured",Loans[[#This Row],[RiskCategory]]="High Risk"),"High",
TRUE,"Normal"
)</f>
        <v>High</v>
      </c>
    </row>
    <row r="117" spans="1:20" x14ac:dyDescent="0.35">
      <c r="A117" t="s">
        <v>405</v>
      </c>
      <c r="B117" t="s">
        <v>406</v>
      </c>
      <c r="C117" t="s">
        <v>196</v>
      </c>
      <c r="D117" t="s">
        <v>156</v>
      </c>
      <c r="E117" s="34">
        <v>1000000</v>
      </c>
      <c r="F117" s="29">
        <v>0.187</v>
      </c>
      <c r="G117" s="30">
        <v>44629</v>
      </c>
      <c r="H117">
        <v>48</v>
      </c>
      <c r="I117">
        <v>0</v>
      </c>
      <c r="J117" s="34">
        <v>1060000</v>
      </c>
      <c r="K117" t="s">
        <v>171</v>
      </c>
      <c r="L117" s="34">
        <f>PMT(Loans[[#This Row],[InterestRate]]/12,Loans[[#This Row],[LoanTenureMonths]],-Loans[[#This Row],[LoanAmount]])</f>
        <v>29742.042799836174</v>
      </c>
      <c r="M117" s="30">
        <f>EDATE(Loans[[#This Row],[LoanStartDate]],Loans[[#This Row],[LoanTenureMonths]])</f>
        <v>46090</v>
      </c>
      <c r="N117" s="33">
        <f>IF(Loans[[#This Row],[LoanAmount]]=0,0,Loans[[#This Row],[CollateralValue]]/Loans[[#This Row],[LoanAmount]])</f>
        <v>1.06</v>
      </c>
      <c r="O117" t="str">
        <f>IF(Loans[[#This Row],[CollateralCoverageRatio]]&lt;1,"Undersecured","Secured")</f>
        <v>Secured</v>
      </c>
      <c r="P117" t="str">
        <f>_xlfn.XLOOKUP(Loans[[#This Row],[BranchCode]],BranchesTbl[BranchCode],BranchesTbl[BranchName])</f>
        <v>Karen</v>
      </c>
      <c r="Q117">
        <f>_xlfn.XLOOKUP(Loans[[#This Row],[CustomerID]],CustomerTbl[CustomerID],CustomerTbl[RiskScore])</f>
        <v>824</v>
      </c>
      <c r="R117" t="str">
        <f>IFERROR(INDEX(RiskTbl[Risk_Category],MATCH(Loans[[#This Row],[RiskScore]],RiskTbl[Score_Min],1)),"Unknown")</f>
        <v>Prime</v>
      </c>
      <c r="S117" t="str">
        <f>IF(OR(Loans[[#This Row],[LoanStatus]]="Default",Loans[[#This Row],[LoanStatus]]="Watchlist",Loans[[#This Row],[CollateralRisk]]="Undersecured",Loans[[#This Row],[RiskCategory]]="High Risk"),"High Risk Exposure","Normal")</f>
        <v>Normal</v>
      </c>
      <c r="T117" t="str" cm="1">
        <f t="array" ref="T117">_xlfn.IFS(
Loans[[#This Row],[LoanStatus]]="Default","Critical",
OR(Loans[[#This Row],[LoanStatus]]="Watchlist",Loans[[#This Row],[CollateralRisk]]="Undersecured",Loans[[#This Row],[RiskCategory]]="High Risk"),"High",
TRUE,"Normal"
)</f>
        <v>Normal</v>
      </c>
    </row>
    <row r="118" spans="1:20" x14ac:dyDescent="0.35">
      <c r="A118" t="s">
        <v>407</v>
      </c>
      <c r="B118" t="s">
        <v>408</v>
      </c>
      <c r="C118" t="s">
        <v>270</v>
      </c>
      <c r="D118" t="s">
        <v>157</v>
      </c>
      <c r="E118" s="34">
        <v>6000000</v>
      </c>
      <c r="F118" s="29">
        <v>0.104</v>
      </c>
      <c r="G118" s="30">
        <v>45915</v>
      </c>
      <c r="H118">
        <v>72</v>
      </c>
      <c r="I118">
        <v>5</v>
      </c>
      <c r="J118" s="34">
        <v>7140000</v>
      </c>
      <c r="K118" t="s">
        <v>171</v>
      </c>
      <c r="L118" s="34">
        <f>PMT(Loans[[#This Row],[InterestRate]]/12,Loans[[#This Row],[LoanTenureMonths]],-Loans[[#This Row],[LoanAmount]])</f>
        <v>112369.11066364389</v>
      </c>
      <c r="M118" s="30">
        <f>EDATE(Loans[[#This Row],[LoanStartDate]],Loans[[#This Row],[LoanTenureMonths]])</f>
        <v>48106</v>
      </c>
      <c r="N118" s="33">
        <f>IF(Loans[[#This Row],[LoanAmount]]=0,0,Loans[[#This Row],[CollateralValue]]/Loans[[#This Row],[LoanAmount]])</f>
        <v>1.19</v>
      </c>
      <c r="O118" t="str">
        <f>IF(Loans[[#This Row],[CollateralCoverageRatio]]&lt;1,"Undersecured","Secured")</f>
        <v>Secured</v>
      </c>
      <c r="P118" t="str">
        <f>_xlfn.XLOOKUP(Loans[[#This Row],[BranchCode]],BranchesTbl[BranchCode],BranchesTbl[BranchName])</f>
        <v>Nakuru</v>
      </c>
      <c r="Q118">
        <f>_xlfn.XLOOKUP(Loans[[#This Row],[CustomerID]],CustomerTbl[CustomerID],CustomerTbl[RiskScore])</f>
        <v>744</v>
      </c>
      <c r="R118" t="str">
        <f>IFERROR(INDEX(RiskTbl[Risk_Category],MATCH(Loans[[#This Row],[RiskScore]],RiskTbl[Score_Min],1)),"Unknown")</f>
        <v>Very Low Risk</v>
      </c>
      <c r="S118" t="str">
        <f>IF(OR(Loans[[#This Row],[LoanStatus]]="Default",Loans[[#This Row],[LoanStatus]]="Watchlist",Loans[[#This Row],[CollateralRisk]]="Undersecured",Loans[[#This Row],[RiskCategory]]="High Risk"),"High Risk Exposure","Normal")</f>
        <v>Normal</v>
      </c>
      <c r="T118" t="str" cm="1">
        <f t="array" ref="T118">_xlfn.IFS(
Loans[[#This Row],[LoanStatus]]="Default","Critical",
OR(Loans[[#This Row],[LoanStatus]]="Watchlist",Loans[[#This Row],[CollateralRisk]]="Undersecured",Loans[[#This Row],[RiskCategory]]="High Risk"),"High",
TRUE,"Normal"
)</f>
        <v>Normal</v>
      </c>
    </row>
    <row r="119" spans="1:20" x14ac:dyDescent="0.35">
      <c r="A119" t="s">
        <v>409</v>
      </c>
      <c r="B119" t="s">
        <v>410</v>
      </c>
      <c r="C119" t="s">
        <v>267</v>
      </c>
      <c r="D119" t="s">
        <v>158</v>
      </c>
      <c r="E119" s="34">
        <v>500000</v>
      </c>
      <c r="F119" s="29">
        <v>0.1542</v>
      </c>
      <c r="G119" s="30">
        <v>45754</v>
      </c>
      <c r="H119">
        <v>36</v>
      </c>
      <c r="I119">
        <v>120</v>
      </c>
      <c r="J119" s="34">
        <v>735000</v>
      </c>
      <c r="K119" t="s">
        <v>178</v>
      </c>
      <c r="L119" s="34">
        <f>PMT(Loans[[#This Row],[InterestRate]]/12,Loans[[#This Row],[LoanTenureMonths]],-Loans[[#This Row],[LoanAmount]])</f>
        <v>17435.678700705826</v>
      </c>
      <c r="M119" s="30">
        <f>EDATE(Loans[[#This Row],[LoanStartDate]],Loans[[#This Row],[LoanTenureMonths]])</f>
        <v>46850</v>
      </c>
      <c r="N119" s="33">
        <f>IF(Loans[[#This Row],[LoanAmount]]=0,0,Loans[[#This Row],[CollateralValue]]/Loans[[#This Row],[LoanAmount]])</f>
        <v>1.47</v>
      </c>
      <c r="O119" t="str">
        <f>IF(Loans[[#This Row],[CollateralCoverageRatio]]&lt;1,"Undersecured","Secured")</f>
        <v>Secured</v>
      </c>
      <c r="P119" t="str">
        <f>_xlfn.XLOOKUP(Loans[[#This Row],[BranchCode]],BranchesTbl[BranchCode],BranchesTbl[BranchName])</f>
        <v>Malindi</v>
      </c>
      <c r="Q119">
        <f>_xlfn.XLOOKUP(Loans[[#This Row],[CustomerID]],CustomerTbl[CustomerID],CustomerTbl[RiskScore])</f>
        <v>389</v>
      </c>
      <c r="R119" t="str">
        <f>IFERROR(INDEX(RiskTbl[Risk_Category],MATCH(Loans[[#This Row],[RiskScore]],RiskTbl[Score_Min],1)),"Unknown")</f>
        <v>High Risk</v>
      </c>
      <c r="S119" t="str">
        <f>IF(OR(Loans[[#This Row],[LoanStatus]]="Default",Loans[[#This Row],[LoanStatus]]="Watchlist",Loans[[#This Row],[CollateralRisk]]="Undersecured",Loans[[#This Row],[RiskCategory]]="High Risk"),"High Risk Exposure","Normal")</f>
        <v>High Risk Exposure</v>
      </c>
      <c r="T119" t="str" cm="1">
        <f t="array" ref="T119">_xlfn.IFS(
Loans[[#This Row],[LoanStatus]]="Default","Critical",
OR(Loans[[#This Row],[LoanStatus]]="Watchlist",Loans[[#This Row],[CollateralRisk]]="Undersecured",Loans[[#This Row],[RiskCategory]]="High Risk"),"High",
TRUE,"Normal"
)</f>
        <v>Critical</v>
      </c>
    </row>
    <row r="120" spans="1:20" x14ac:dyDescent="0.35">
      <c r="A120" t="s">
        <v>411</v>
      </c>
      <c r="B120" t="s">
        <v>284</v>
      </c>
      <c r="C120" t="s">
        <v>193</v>
      </c>
      <c r="D120" t="s">
        <v>156</v>
      </c>
      <c r="E120" s="34">
        <v>1000000</v>
      </c>
      <c r="F120" s="29">
        <v>0.17460000000000001</v>
      </c>
      <c r="G120" s="30">
        <v>45237</v>
      </c>
      <c r="H120">
        <v>36</v>
      </c>
      <c r="I120">
        <v>10</v>
      </c>
      <c r="J120" s="34">
        <v>1180000</v>
      </c>
      <c r="K120" t="s">
        <v>171</v>
      </c>
      <c r="L120" s="34">
        <f>PMT(Loans[[#This Row],[InterestRate]]/12,Loans[[#This Row],[LoanTenureMonths]],-Loans[[#This Row],[LoanAmount]])</f>
        <v>35882.082316059699</v>
      </c>
      <c r="M120" s="30">
        <f>EDATE(Loans[[#This Row],[LoanStartDate]],Loans[[#This Row],[LoanTenureMonths]])</f>
        <v>46333</v>
      </c>
      <c r="N120" s="33">
        <f>IF(Loans[[#This Row],[LoanAmount]]=0,0,Loans[[#This Row],[CollateralValue]]/Loans[[#This Row],[LoanAmount]])</f>
        <v>1.18</v>
      </c>
      <c r="O120" t="str">
        <f>IF(Loans[[#This Row],[CollateralCoverageRatio]]&lt;1,"Undersecured","Secured")</f>
        <v>Secured</v>
      </c>
      <c r="P120" t="str">
        <f>_xlfn.XLOOKUP(Loans[[#This Row],[BranchCode]],BranchesTbl[BranchCode],BranchesTbl[BranchName])</f>
        <v>Mombasa</v>
      </c>
      <c r="Q120">
        <f>_xlfn.XLOOKUP(Loans[[#This Row],[CustomerID]],CustomerTbl[CustomerID],CustomerTbl[RiskScore])</f>
        <v>822</v>
      </c>
      <c r="R120" t="str">
        <f>IFERROR(INDEX(RiskTbl[Risk_Category],MATCH(Loans[[#This Row],[RiskScore]],RiskTbl[Score_Min],1)),"Unknown")</f>
        <v>Prime</v>
      </c>
      <c r="S120" t="str">
        <f>IF(OR(Loans[[#This Row],[LoanStatus]]="Default",Loans[[#This Row],[LoanStatus]]="Watchlist",Loans[[#This Row],[CollateralRisk]]="Undersecured",Loans[[#This Row],[RiskCategory]]="High Risk"),"High Risk Exposure","Normal")</f>
        <v>Normal</v>
      </c>
      <c r="T120" t="str" cm="1">
        <f t="array" ref="T120">_xlfn.IFS(
Loans[[#This Row],[LoanStatus]]="Default","Critical",
OR(Loans[[#This Row],[LoanStatus]]="Watchlist",Loans[[#This Row],[CollateralRisk]]="Undersecured",Loans[[#This Row],[RiskCategory]]="High Risk"),"High",
TRUE,"Normal"
)</f>
        <v>Normal</v>
      </c>
    </row>
    <row r="121" spans="1:20" x14ac:dyDescent="0.35">
      <c r="A121" t="s">
        <v>412</v>
      </c>
      <c r="B121" t="s">
        <v>413</v>
      </c>
      <c r="C121" t="s">
        <v>196</v>
      </c>
      <c r="D121" t="s">
        <v>157</v>
      </c>
      <c r="E121" s="34">
        <v>25000000</v>
      </c>
      <c r="F121" s="29">
        <v>0.1159</v>
      </c>
      <c r="G121" s="30">
        <v>44484</v>
      </c>
      <c r="H121">
        <v>72</v>
      </c>
      <c r="I121">
        <v>0</v>
      </c>
      <c r="J121" s="34">
        <v>28500000</v>
      </c>
      <c r="K121" t="s">
        <v>171</v>
      </c>
      <c r="L121" s="34">
        <f>PMT(Loans[[#This Row],[InterestRate]]/12,Loans[[#This Row],[LoanTenureMonths]],-Loans[[#This Row],[LoanAmount]])</f>
        <v>483440.95986090874</v>
      </c>
      <c r="M121" s="30">
        <f>EDATE(Loans[[#This Row],[LoanStartDate]],Loans[[#This Row],[LoanTenureMonths]])</f>
        <v>46675</v>
      </c>
      <c r="N121" s="33">
        <f>IF(Loans[[#This Row],[LoanAmount]]=0,0,Loans[[#This Row],[CollateralValue]]/Loans[[#This Row],[LoanAmount]])</f>
        <v>1.1399999999999999</v>
      </c>
      <c r="O121" t="str">
        <f>IF(Loans[[#This Row],[CollateralCoverageRatio]]&lt;1,"Undersecured","Secured")</f>
        <v>Secured</v>
      </c>
      <c r="P121" t="str">
        <f>_xlfn.XLOOKUP(Loans[[#This Row],[BranchCode]],BranchesTbl[BranchCode],BranchesTbl[BranchName])</f>
        <v>Karen</v>
      </c>
      <c r="Q121">
        <f>_xlfn.XLOOKUP(Loans[[#This Row],[CustomerID]],CustomerTbl[CustomerID],CustomerTbl[RiskScore])</f>
        <v>382</v>
      </c>
      <c r="R121" t="str">
        <f>IFERROR(INDEX(RiskTbl[Risk_Category],MATCH(Loans[[#This Row],[RiskScore]],RiskTbl[Score_Min],1)),"Unknown")</f>
        <v>High Risk</v>
      </c>
      <c r="S121" t="str">
        <f>IF(OR(Loans[[#This Row],[LoanStatus]]="Default",Loans[[#This Row],[LoanStatus]]="Watchlist",Loans[[#This Row],[CollateralRisk]]="Undersecured",Loans[[#This Row],[RiskCategory]]="High Risk"),"High Risk Exposure","Normal")</f>
        <v>High Risk Exposure</v>
      </c>
      <c r="T121" t="str" cm="1">
        <f t="array" ref="T121">_xlfn.IFS(
Loans[[#This Row],[LoanStatus]]="Default","Critical",
OR(Loans[[#This Row],[LoanStatus]]="Watchlist",Loans[[#This Row],[CollateralRisk]]="Undersecured",Loans[[#This Row],[RiskCategory]]="High Risk"),"High",
TRUE,"Normal"
)</f>
        <v>High</v>
      </c>
    </row>
    <row r="122" spans="1:20" x14ac:dyDescent="0.35">
      <c r="A122" t="s">
        <v>414</v>
      </c>
      <c r="B122" t="s">
        <v>415</v>
      </c>
      <c r="C122" t="s">
        <v>206</v>
      </c>
      <c r="D122" t="s">
        <v>156</v>
      </c>
      <c r="E122" s="34">
        <v>6000000</v>
      </c>
      <c r="F122" s="29">
        <v>0.1522</v>
      </c>
      <c r="G122" s="30">
        <v>45864</v>
      </c>
      <c r="H122">
        <v>12</v>
      </c>
      <c r="I122">
        <v>90</v>
      </c>
      <c r="J122" s="34">
        <v>5160000</v>
      </c>
      <c r="K122" t="s">
        <v>199</v>
      </c>
      <c r="L122" s="34">
        <f>PMT(Loans[[#This Row],[InterestRate]]/12,Loans[[#This Row],[LoanTenureMonths]],-Loans[[#This Row],[LoanAmount]])</f>
        <v>542172.93920024356</v>
      </c>
      <c r="M122" s="30">
        <f>EDATE(Loans[[#This Row],[LoanStartDate]],Loans[[#This Row],[LoanTenureMonths]])</f>
        <v>46229</v>
      </c>
      <c r="N122" s="33">
        <f>IF(Loans[[#This Row],[LoanAmount]]=0,0,Loans[[#This Row],[CollateralValue]]/Loans[[#This Row],[LoanAmount]])</f>
        <v>0.86</v>
      </c>
      <c r="O122" t="str">
        <f>IF(Loans[[#This Row],[CollateralCoverageRatio]]&lt;1,"Undersecured","Secured")</f>
        <v>Undersecured</v>
      </c>
      <c r="P122" t="str">
        <f>_xlfn.XLOOKUP(Loans[[#This Row],[BranchCode]],BranchesTbl[BranchCode],BranchesTbl[BranchName])</f>
        <v>Nyahururu</v>
      </c>
      <c r="Q122">
        <f>_xlfn.XLOOKUP(Loans[[#This Row],[CustomerID]],CustomerTbl[CustomerID],CustomerTbl[RiskScore])</f>
        <v>790</v>
      </c>
      <c r="R122" t="str">
        <f>IFERROR(INDEX(RiskTbl[Risk_Category],MATCH(Loans[[#This Row],[RiskScore]],RiskTbl[Score_Min],1)),"Unknown")</f>
        <v>Very Low Risk</v>
      </c>
      <c r="S122" t="str">
        <f>IF(OR(Loans[[#This Row],[LoanStatus]]="Default",Loans[[#This Row],[LoanStatus]]="Watchlist",Loans[[#This Row],[CollateralRisk]]="Undersecured",Loans[[#This Row],[RiskCategory]]="High Risk"),"High Risk Exposure","Normal")</f>
        <v>High Risk Exposure</v>
      </c>
      <c r="T122" t="str" cm="1">
        <f t="array" ref="T122">_xlfn.IFS(
Loans[[#This Row],[LoanStatus]]="Default","Critical",
OR(Loans[[#This Row],[LoanStatus]]="Watchlist",Loans[[#This Row],[CollateralRisk]]="Undersecured",Loans[[#This Row],[RiskCategory]]="High Risk"),"High",
TRUE,"Normal"
)</f>
        <v>High</v>
      </c>
    </row>
    <row r="123" spans="1:20" x14ac:dyDescent="0.35">
      <c r="A123" t="s">
        <v>416</v>
      </c>
      <c r="B123" t="s">
        <v>238</v>
      </c>
      <c r="C123" t="s">
        <v>174</v>
      </c>
      <c r="D123" t="s">
        <v>155</v>
      </c>
      <c r="E123" s="34">
        <v>250000</v>
      </c>
      <c r="F123" s="29">
        <v>0.18609999999999999</v>
      </c>
      <c r="G123" s="30">
        <v>45801</v>
      </c>
      <c r="H123">
        <v>36</v>
      </c>
      <c r="I123">
        <v>120</v>
      </c>
      <c r="J123" s="34">
        <v>0</v>
      </c>
      <c r="K123" t="s">
        <v>178</v>
      </c>
      <c r="L123" s="34">
        <f>PMT(Loans[[#This Row],[InterestRate]]/12,Loans[[#This Row],[LoanTenureMonths]],-Loans[[#This Row],[LoanAmount]])</f>
        <v>9114.7842406892414</v>
      </c>
      <c r="M123" s="30">
        <f>EDATE(Loans[[#This Row],[LoanStartDate]],Loans[[#This Row],[LoanTenureMonths]])</f>
        <v>46897</v>
      </c>
      <c r="N123" s="33">
        <f>IF(Loans[[#This Row],[LoanAmount]]=0,0,Loans[[#This Row],[CollateralValue]]/Loans[[#This Row],[LoanAmount]])</f>
        <v>0</v>
      </c>
      <c r="O123" t="str">
        <f>IF(Loans[[#This Row],[CollateralCoverageRatio]]&lt;1,"Undersecured","Secured")</f>
        <v>Undersecured</v>
      </c>
      <c r="P123" t="str">
        <f>_xlfn.XLOOKUP(Loans[[#This Row],[BranchCode]],BranchesTbl[BranchCode],BranchesTbl[BranchName])</f>
        <v>Westlands</v>
      </c>
      <c r="Q123">
        <f>_xlfn.XLOOKUP(Loans[[#This Row],[CustomerID]],CustomerTbl[CustomerID],CustomerTbl[RiskScore])</f>
        <v>748</v>
      </c>
      <c r="R123" t="str">
        <f>IFERROR(INDEX(RiskTbl[Risk_Category],MATCH(Loans[[#This Row],[RiskScore]],RiskTbl[Score_Min],1)),"Unknown")</f>
        <v>Very Low Risk</v>
      </c>
      <c r="S123" t="str">
        <f>IF(OR(Loans[[#This Row],[LoanStatus]]="Default",Loans[[#This Row],[LoanStatus]]="Watchlist",Loans[[#This Row],[CollateralRisk]]="Undersecured",Loans[[#This Row],[RiskCategory]]="High Risk"),"High Risk Exposure","Normal")</f>
        <v>High Risk Exposure</v>
      </c>
      <c r="T123" t="str" cm="1">
        <f t="array" ref="T123">_xlfn.IFS(
Loans[[#This Row],[LoanStatus]]="Default","Critical",
OR(Loans[[#This Row],[LoanStatus]]="Watchlist",Loans[[#This Row],[CollateralRisk]]="Undersecured",Loans[[#This Row],[RiskCategory]]="High Risk"),"High",
TRUE,"Normal"
)</f>
        <v>Critical</v>
      </c>
    </row>
    <row r="124" spans="1:20" x14ac:dyDescent="0.35">
      <c r="A124" t="s">
        <v>417</v>
      </c>
      <c r="B124" t="s">
        <v>418</v>
      </c>
      <c r="C124" t="s">
        <v>239</v>
      </c>
      <c r="D124" t="s">
        <v>157</v>
      </c>
      <c r="E124" s="34">
        <v>25000000</v>
      </c>
      <c r="F124" s="29">
        <v>0.1197</v>
      </c>
      <c r="G124" s="30">
        <v>45429</v>
      </c>
      <c r="H124">
        <v>12</v>
      </c>
      <c r="I124">
        <v>0</v>
      </c>
      <c r="J124" s="34">
        <v>20000000</v>
      </c>
      <c r="K124" t="s">
        <v>171</v>
      </c>
      <c r="L124" s="34">
        <f>PMT(Loans[[#This Row],[InterestRate]]/12,Loans[[#This Row],[LoanTenureMonths]],-Loans[[#This Row],[LoanAmount]])</f>
        <v>2220868.8755274112</v>
      </c>
      <c r="M124" s="30">
        <f>EDATE(Loans[[#This Row],[LoanStartDate]],Loans[[#This Row],[LoanTenureMonths]])</f>
        <v>45794</v>
      </c>
      <c r="N124" s="33">
        <f>IF(Loans[[#This Row],[LoanAmount]]=0,0,Loans[[#This Row],[CollateralValue]]/Loans[[#This Row],[LoanAmount]])</f>
        <v>0.8</v>
      </c>
      <c r="O124" t="str">
        <f>IF(Loans[[#This Row],[CollateralCoverageRatio]]&lt;1,"Undersecured","Secured")</f>
        <v>Undersecured</v>
      </c>
      <c r="P124" t="str">
        <f>_xlfn.XLOOKUP(Loans[[#This Row],[BranchCode]],BranchesTbl[BranchCode],BranchesTbl[BranchName])</f>
        <v>Machakos</v>
      </c>
      <c r="Q124">
        <f>_xlfn.XLOOKUP(Loans[[#This Row],[CustomerID]],CustomerTbl[CustomerID],CustomerTbl[RiskScore])</f>
        <v>485</v>
      </c>
      <c r="R124" t="str">
        <f>IFERROR(INDEX(RiskTbl[Risk_Category],MATCH(Loans[[#This Row],[RiskScore]],RiskTbl[Score_Min],1)),"Unknown")</f>
        <v>High Risk</v>
      </c>
      <c r="S124" t="str">
        <f>IF(OR(Loans[[#This Row],[LoanStatus]]="Default",Loans[[#This Row],[LoanStatus]]="Watchlist",Loans[[#This Row],[CollateralRisk]]="Undersecured",Loans[[#This Row],[RiskCategory]]="High Risk"),"High Risk Exposure","Normal")</f>
        <v>High Risk Exposure</v>
      </c>
      <c r="T124" t="str" cm="1">
        <f t="array" ref="T124">_xlfn.IFS(
Loans[[#This Row],[LoanStatus]]="Default","Critical",
OR(Loans[[#This Row],[LoanStatus]]="Watchlist",Loans[[#This Row],[CollateralRisk]]="Undersecured",Loans[[#This Row],[RiskCategory]]="High Risk"),"High",
TRUE,"Normal"
)</f>
        <v>High</v>
      </c>
    </row>
    <row r="125" spans="1:20" x14ac:dyDescent="0.35">
      <c r="A125" t="s">
        <v>419</v>
      </c>
      <c r="B125" t="s">
        <v>375</v>
      </c>
      <c r="C125" t="s">
        <v>196</v>
      </c>
      <c r="D125" t="s">
        <v>158</v>
      </c>
      <c r="E125" s="34">
        <v>6000000</v>
      </c>
      <c r="F125" s="29">
        <v>0.12670000000000001</v>
      </c>
      <c r="G125" s="30">
        <v>45890</v>
      </c>
      <c r="H125">
        <v>12</v>
      </c>
      <c r="I125">
        <v>90</v>
      </c>
      <c r="J125" s="34">
        <v>6600000</v>
      </c>
      <c r="K125" t="s">
        <v>199</v>
      </c>
      <c r="L125" s="34">
        <f>PMT(Loans[[#This Row],[InterestRate]]/12,Loans[[#This Row],[LoanTenureMonths]],-Loans[[#This Row],[LoanAmount]])</f>
        <v>534975.15066768893</v>
      </c>
      <c r="M125" s="30">
        <f>EDATE(Loans[[#This Row],[LoanStartDate]],Loans[[#This Row],[LoanTenureMonths]])</f>
        <v>46255</v>
      </c>
      <c r="N125" s="33">
        <f>IF(Loans[[#This Row],[LoanAmount]]=0,0,Loans[[#This Row],[CollateralValue]]/Loans[[#This Row],[LoanAmount]])</f>
        <v>1.1000000000000001</v>
      </c>
      <c r="O125" t="str">
        <f>IF(Loans[[#This Row],[CollateralCoverageRatio]]&lt;1,"Undersecured","Secured")</f>
        <v>Secured</v>
      </c>
      <c r="P125" t="str">
        <f>_xlfn.XLOOKUP(Loans[[#This Row],[BranchCode]],BranchesTbl[BranchCode],BranchesTbl[BranchName])</f>
        <v>Karen</v>
      </c>
      <c r="Q125">
        <f>_xlfn.XLOOKUP(Loans[[#This Row],[CustomerID]],CustomerTbl[CustomerID],CustomerTbl[RiskScore])</f>
        <v>358</v>
      </c>
      <c r="R125" t="str">
        <f>IFERROR(INDEX(RiskTbl[Risk_Category],MATCH(Loans[[#This Row],[RiskScore]],RiskTbl[Score_Min],1)),"Unknown")</f>
        <v>High Risk</v>
      </c>
      <c r="S125" t="str">
        <f>IF(OR(Loans[[#This Row],[LoanStatus]]="Default",Loans[[#This Row],[LoanStatus]]="Watchlist",Loans[[#This Row],[CollateralRisk]]="Undersecured",Loans[[#This Row],[RiskCategory]]="High Risk"),"High Risk Exposure","Normal")</f>
        <v>High Risk Exposure</v>
      </c>
      <c r="T125" t="str" cm="1">
        <f t="array" ref="T125">_xlfn.IFS(
Loans[[#This Row],[LoanStatus]]="Default","Critical",
OR(Loans[[#This Row],[LoanStatus]]="Watchlist",Loans[[#This Row],[CollateralRisk]]="Undersecured",Loans[[#This Row],[RiskCategory]]="High Risk"),"High",
TRUE,"Normal"
)</f>
        <v>High</v>
      </c>
    </row>
    <row r="126" spans="1:20" x14ac:dyDescent="0.35">
      <c r="A126" t="s">
        <v>420</v>
      </c>
      <c r="B126" t="s">
        <v>421</v>
      </c>
      <c r="C126" t="s">
        <v>219</v>
      </c>
      <c r="D126" t="s">
        <v>157</v>
      </c>
      <c r="E126" s="34">
        <v>6000000</v>
      </c>
      <c r="F126" s="29">
        <v>0.1074</v>
      </c>
      <c r="G126" s="30">
        <v>44411</v>
      </c>
      <c r="H126">
        <v>60</v>
      </c>
      <c r="I126">
        <v>10</v>
      </c>
      <c r="J126" s="34">
        <v>4380000</v>
      </c>
      <c r="K126" t="s">
        <v>171</v>
      </c>
      <c r="L126" s="34">
        <f>PMT(Loans[[#This Row],[InterestRate]]/12,Loans[[#This Row],[LoanTenureMonths]],-Loans[[#This Row],[LoanAmount]])</f>
        <v>129677.90133536661</v>
      </c>
      <c r="M126" s="30">
        <f>EDATE(Loans[[#This Row],[LoanStartDate]],Loans[[#This Row],[LoanTenureMonths]])</f>
        <v>46237</v>
      </c>
      <c r="N126" s="33">
        <f>IF(Loans[[#This Row],[LoanAmount]]=0,0,Loans[[#This Row],[CollateralValue]]/Loans[[#This Row],[LoanAmount]])</f>
        <v>0.73</v>
      </c>
      <c r="O126" t="str">
        <f>IF(Loans[[#This Row],[CollateralCoverageRatio]]&lt;1,"Undersecured","Secured")</f>
        <v>Undersecured</v>
      </c>
      <c r="P126" t="str">
        <f>_xlfn.XLOOKUP(Loans[[#This Row],[BranchCode]],BranchesTbl[BranchCode],BranchesTbl[BranchName])</f>
        <v>Meru</v>
      </c>
      <c r="Q126">
        <f>_xlfn.XLOOKUP(Loans[[#This Row],[CustomerID]],CustomerTbl[CustomerID],CustomerTbl[RiskScore])</f>
        <v>803</v>
      </c>
      <c r="R126" t="str">
        <f>IFERROR(INDEX(RiskTbl[Risk_Category],MATCH(Loans[[#This Row],[RiskScore]],RiskTbl[Score_Min],1)),"Unknown")</f>
        <v>Prime</v>
      </c>
      <c r="S126" t="str">
        <f>IF(OR(Loans[[#This Row],[LoanStatus]]="Default",Loans[[#This Row],[LoanStatus]]="Watchlist",Loans[[#This Row],[CollateralRisk]]="Undersecured",Loans[[#This Row],[RiskCategory]]="High Risk"),"High Risk Exposure","Normal")</f>
        <v>High Risk Exposure</v>
      </c>
      <c r="T126" t="str" cm="1">
        <f t="array" ref="T126">_xlfn.IFS(
Loans[[#This Row],[LoanStatus]]="Default","Critical",
OR(Loans[[#This Row],[LoanStatus]]="Watchlist",Loans[[#This Row],[CollateralRisk]]="Undersecured",Loans[[#This Row],[RiskCategory]]="High Risk"),"High",
TRUE,"Normal"
)</f>
        <v>High</v>
      </c>
    </row>
    <row r="127" spans="1:20" x14ac:dyDescent="0.35">
      <c r="A127" t="s">
        <v>422</v>
      </c>
      <c r="B127" t="s">
        <v>423</v>
      </c>
      <c r="C127" t="s">
        <v>170</v>
      </c>
      <c r="D127" t="s">
        <v>156</v>
      </c>
      <c r="E127" s="34">
        <v>1000000</v>
      </c>
      <c r="F127" s="29">
        <v>0.23080000000000001</v>
      </c>
      <c r="G127" s="30">
        <v>44094</v>
      </c>
      <c r="H127">
        <v>36</v>
      </c>
      <c r="I127">
        <v>0</v>
      </c>
      <c r="J127" s="34">
        <v>890000</v>
      </c>
      <c r="K127" t="s">
        <v>171</v>
      </c>
      <c r="L127" s="34">
        <f>PMT(Loans[[#This Row],[InterestRate]]/12,Loans[[#This Row],[LoanTenureMonths]],-Loans[[#This Row],[LoanAmount]])</f>
        <v>38751.430160257638</v>
      </c>
      <c r="M127" s="30">
        <f>EDATE(Loans[[#This Row],[LoanStartDate]],Loans[[#This Row],[LoanTenureMonths]])</f>
        <v>45189</v>
      </c>
      <c r="N127" s="33">
        <f>IF(Loans[[#This Row],[LoanAmount]]=0,0,Loans[[#This Row],[CollateralValue]]/Loans[[#This Row],[LoanAmount]])</f>
        <v>0.89</v>
      </c>
      <c r="O127" t="str">
        <f>IF(Loans[[#This Row],[CollateralCoverageRatio]]&lt;1,"Undersecured","Secured")</f>
        <v>Undersecured</v>
      </c>
      <c r="P127" t="str">
        <f>_xlfn.XLOOKUP(Loans[[#This Row],[BranchCode]],BranchesTbl[BranchCode],BranchesTbl[BranchName])</f>
        <v>Thika</v>
      </c>
      <c r="Q127">
        <f>_xlfn.XLOOKUP(Loans[[#This Row],[CustomerID]],CustomerTbl[CustomerID],CustomerTbl[RiskScore])</f>
        <v>353</v>
      </c>
      <c r="R127" t="str">
        <f>IFERROR(INDEX(RiskTbl[Risk_Category],MATCH(Loans[[#This Row],[RiskScore]],RiskTbl[Score_Min],1)),"Unknown")</f>
        <v>High Risk</v>
      </c>
      <c r="S127" t="str">
        <f>IF(OR(Loans[[#This Row],[LoanStatus]]="Default",Loans[[#This Row],[LoanStatus]]="Watchlist",Loans[[#This Row],[CollateralRisk]]="Undersecured",Loans[[#This Row],[RiskCategory]]="High Risk"),"High Risk Exposure","Normal")</f>
        <v>High Risk Exposure</v>
      </c>
      <c r="T127" t="str" cm="1">
        <f t="array" ref="T127">_xlfn.IFS(
Loans[[#This Row],[LoanStatus]]="Default","Critical",
OR(Loans[[#This Row],[LoanStatus]]="Watchlist",Loans[[#This Row],[CollateralRisk]]="Undersecured",Loans[[#This Row],[RiskCategory]]="High Risk"),"High",
TRUE,"Normal"
)</f>
        <v>High</v>
      </c>
    </row>
    <row r="128" spans="1:20" x14ac:dyDescent="0.35">
      <c r="A128" t="s">
        <v>424</v>
      </c>
      <c r="B128" t="s">
        <v>425</v>
      </c>
      <c r="C128" t="s">
        <v>206</v>
      </c>
      <c r="D128" t="s">
        <v>157</v>
      </c>
      <c r="E128" s="34">
        <v>80000000</v>
      </c>
      <c r="F128" s="29">
        <v>0.13109999999999999</v>
      </c>
      <c r="G128" s="30">
        <v>44660</v>
      </c>
      <c r="H128">
        <v>36</v>
      </c>
      <c r="I128">
        <v>120</v>
      </c>
      <c r="J128" s="34">
        <v>52000000</v>
      </c>
      <c r="K128" t="s">
        <v>178</v>
      </c>
      <c r="L128" s="34">
        <f>PMT(Loans[[#This Row],[InterestRate]]/12,Loans[[#This Row],[LoanTenureMonths]],-Loans[[#This Row],[LoanAmount]])</f>
        <v>2699756.741913063</v>
      </c>
      <c r="M128" s="30">
        <f>EDATE(Loans[[#This Row],[LoanStartDate]],Loans[[#This Row],[LoanTenureMonths]])</f>
        <v>45756</v>
      </c>
      <c r="N128" s="33">
        <f>IF(Loans[[#This Row],[LoanAmount]]=0,0,Loans[[#This Row],[CollateralValue]]/Loans[[#This Row],[LoanAmount]])</f>
        <v>0.65</v>
      </c>
      <c r="O128" t="str">
        <f>IF(Loans[[#This Row],[CollateralCoverageRatio]]&lt;1,"Undersecured","Secured")</f>
        <v>Undersecured</v>
      </c>
      <c r="P128" t="str">
        <f>_xlfn.XLOOKUP(Loans[[#This Row],[BranchCode]],BranchesTbl[BranchCode],BranchesTbl[BranchName])</f>
        <v>Nyahururu</v>
      </c>
      <c r="Q128">
        <f>_xlfn.XLOOKUP(Loans[[#This Row],[CustomerID]],CustomerTbl[CustomerID],CustomerTbl[RiskScore])</f>
        <v>426</v>
      </c>
      <c r="R128" t="str">
        <f>IFERROR(INDEX(RiskTbl[Risk_Category],MATCH(Loans[[#This Row],[RiskScore]],RiskTbl[Score_Min],1)),"Unknown")</f>
        <v>High Risk</v>
      </c>
      <c r="S128" t="str">
        <f>IF(OR(Loans[[#This Row],[LoanStatus]]="Default",Loans[[#This Row],[LoanStatus]]="Watchlist",Loans[[#This Row],[CollateralRisk]]="Undersecured",Loans[[#This Row],[RiskCategory]]="High Risk"),"High Risk Exposure","Normal")</f>
        <v>High Risk Exposure</v>
      </c>
      <c r="T128" t="str" cm="1">
        <f t="array" ref="T128">_xlfn.IFS(
Loans[[#This Row],[LoanStatus]]="Default","Critical",
OR(Loans[[#This Row],[LoanStatus]]="Watchlist",Loans[[#This Row],[CollateralRisk]]="Undersecured",Loans[[#This Row],[RiskCategory]]="High Risk"),"High",
TRUE,"Normal"
)</f>
        <v>Critical</v>
      </c>
    </row>
    <row r="129" spans="1:20" x14ac:dyDescent="0.35">
      <c r="A129" t="s">
        <v>426</v>
      </c>
      <c r="B129" t="s">
        <v>298</v>
      </c>
      <c r="C129" t="s">
        <v>184</v>
      </c>
      <c r="D129" t="s">
        <v>157</v>
      </c>
      <c r="E129" s="34">
        <v>6000000</v>
      </c>
      <c r="F129" s="29">
        <v>9.0700000000000003E-2</v>
      </c>
      <c r="G129" s="30">
        <v>46001</v>
      </c>
      <c r="H129">
        <v>60</v>
      </c>
      <c r="I129">
        <v>0</v>
      </c>
      <c r="J129" s="34">
        <v>5520000</v>
      </c>
      <c r="K129" t="s">
        <v>171</v>
      </c>
      <c r="L129" s="34">
        <f>PMT(Loans[[#This Row],[InterestRate]]/12,Loans[[#This Row],[LoanTenureMonths]],-Loans[[#This Row],[LoanAmount]])</f>
        <v>124754.06951911595</v>
      </c>
      <c r="M129" s="30">
        <f>EDATE(Loans[[#This Row],[LoanStartDate]],Loans[[#This Row],[LoanTenureMonths]])</f>
        <v>47827</v>
      </c>
      <c r="N129" s="33">
        <f>IF(Loans[[#This Row],[LoanAmount]]=0,0,Loans[[#This Row],[CollateralValue]]/Loans[[#This Row],[LoanAmount]])</f>
        <v>0.92</v>
      </c>
      <c r="O129" t="str">
        <f>IF(Loans[[#This Row],[CollateralCoverageRatio]]&lt;1,"Undersecured","Secured")</f>
        <v>Undersecured</v>
      </c>
      <c r="P129" t="str">
        <f>_xlfn.XLOOKUP(Loans[[#This Row],[BranchCode]],BranchesTbl[BranchCode],BranchesTbl[BranchName])</f>
        <v>Kisumu</v>
      </c>
      <c r="Q129">
        <f>_xlfn.XLOOKUP(Loans[[#This Row],[CustomerID]],CustomerTbl[CustomerID],CustomerTbl[RiskScore])</f>
        <v>324</v>
      </c>
      <c r="R129" t="str">
        <f>IFERROR(INDEX(RiskTbl[Risk_Category],MATCH(Loans[[#This Row],[RiskScore]],RiskTbl[Score_Min],1)),"Unknown")</f>
        <v>High Risk</v>
      </c>
      <c r="S129" t="str">
        <f>IF(OR(Loans[[#This Row],[LoanStatus]]="Default",Loans[[#This Row],[LoanStatus]]="Watchlist",Loans[[#This Row],[CollateralRisk]]="Undersecured",Loans[[#This Row],[RiskCategory]]="High Risk"),"High Risk Exposure","Normal")</f>
        <v>High Risk Exposure</v>
      </c>
      <c r="T129" t="str" cm="1">
        <f t="array" ref="T129">_xlfn.IFS(
Loans[[#This Row],[LoanStatus]]="Default","Critical",
OR(Loans[[#This Row],[LoanStatus]]="Watchlist",Loans[[#This Row],[CollateralRisk]]="Undersecured",Loans[[#This Row],[RiskCategory]]="High Risk"),"High",
TRUE,"Normal"
)</f>
        <v>High</v>
      </c>
    </row>
    <row r="130" spans="1:20" x14ac:dyDescent="0.35">
      <c r="A130" t="s">
        <v>427</v>
      </c>
      <c r="B130" t="s">
        <v>428</v>
      </c>
      <c r="C130" t="s">
        <v>184</v>
      </c>
      <c r="D130" t="s">
        <v>156</v>
      </c>
      <c r="E130" s="34">
        <v>3000000</v>
      </c>
      <c r="F130" s="29">
        <v>0.2379</v>
      </c>
      <c r="G130" s="30">
        <v>44282</v>
      </c>
      <c r="H130">
        <v>60</v>
      </c>
      <c r="I130">
        <v>5</v>
      </c>
      <c r="J130" s="34">
        <v>2370000</v>
      </c>
      <c r="K130" t="s">
        <v>171</v>
      </c>
      <c r="L130" s="34">
        <f>PMT(Loans[[#This Row],[InterestRate]]/12,Loans[[#This Row],[LoanTenureMonths]],-Loans[[#This Row],[LoanAmount]])</f>
        <v>85938.609444037895</v>
      </c>
      <c r="M130" s="30">
        <f>EDATE(Loans[[#This Row],[LoanStartDate]],Loans[[#This Row],[LoanTenureMonths]])</f>
        <v>46108</v>
      </c>
      <c r="N130" s="33">
        <f>IF(Loans[[#This Row],[LoanAmount]]=0,0,Loans[[#This Row],[CollateralValue]]/Loans[[#This Row],[LoanAmount]])</f>
        <v>0.79</v>
      </c>
      <c r="O130" t="str">
        <f>IF(Loans[[#This Row],[CollateralCoverageRatio]]&lt;1,"Undersecured","Secured")</f>
        <v>Undersecured</v>
      </c>
      <c r="P130" t="str">
        <f>_xlfn.XLOOKUP(Loans[[#This Row],[BranchCode]],BranchesTbl[BranchCode],BranchesTbl[BranchName])</f>
        <v>Kisumu</v>
      </c>
      <c r="Q130">
        <f>_xlfn.XLOOKUP(Loans[[#This Row],[CustomerID]],CustomerTbl[CustomerID],CustomerTbl[RiskScore])</f>
        <v>502</v>
      </c>
      <c r="R130" t="str">
        <f>IFERROR(INDEX(RiskTbl[Risk_Category],MATCH(Loans[[#This Row],[RiskScore]],RiskTbl[Score_Min],1)),"Unknown")</f>
        <v>High Risk</v>
      </c>
      <c r="S130" t="str">
        <f>IF(OR(Loans[[#This Row],[LoanStatus]]="Default",Loans[[#This Row],[LoanStatus]]="Watchlist",Loans[[#This Row],[CollateralRisk]]="Undersecured",Loans[[#This Row],[RiskCategory]]="High Risk"),"High Risk Exposure","Normal")</f>
        <v>High Risk Exposure</v>
      </c>
      <c r="T130" t="str" cm="1">
        <f t="array" ref="T130">_xlfn.IFS(
Loans[[#This Row],[LoanStatus]]="Default","Critical",
OR(Loans[[#This Row],[LoanStatus]]="Watchlist",Loans[[#This Row],[CollateralRisk]]="Undersecured",Loans[[#This Row],[RiskCategory]]="High Risk"),"High",
TRUE,"Normal"
)</f>
        <v>High</v>
      </c>
    </row>
    <row r="131" spans="1:20" x14ac:dyDescent="0.35">
      <c r="A131" t="s">
        <v>429</v>
      </c>
      <c r="B131" t="s">
        <v>430</v>
      </c>
      <c r="C131" t="s">
        <v>187</v>
      </c>
      <c r="D131" t="s">
        <v>155</v>
      </c>
      <c r="E131" s="34">
        <v>500000</v>
      </c>
      <c r="F131" s="29">
        <v>0.20449999999999999</v>
      </c>
      <c r="G131" s="30">
        <v>45403</v>
      </c>
      <c r="H131">
        <v>12</v>
      </c>
      <c r="I131">
        <v>20</v>
      </c>
      <c r="J131" s="34">
        <v>0</v>
      </c>
      <c r="K131" t="s">
        <v>171</v>
      </c>
      <c r="L131" s="34">
        <f>PMT(Loans[[#This Row],[InterestRate]]/12,Loans[[#This Row],[LoanTenureMonths]],-Loans[[#This Row],[LoanAmount]])</f>
        <v>46425.005358740229</v>
      </c>
      <c r="M131" s="30">
        <f>EDATE(Loans[[#This Row],[LoanStartDate]],Loans[[#This Row],[LoanTenureMonths]])</f>
        <v>45768</v>
      </c>
      <c r="N131" s="33">
        <f>IF(Loans[[#This Row],[LoanAmount]]=0,0,Loans[[#This Row],[CollateralValue]]/Loans[[#This Row],[LoanAmount]])</f>
        <v>0</v>
      </c>
      <c r="O131" t="str">
        <f>IF(Loans[[#This Row],[CollateralCoverageRatio]]&lt;1,"Undersecured","Secured")</f>
        <v>Undersecured</v>
      </c>
      <c r="P131" t="str">
        <f>_xlfn.XLOOKUP(Loans[[#This Row],[BranchCode]],BranchesTbl[BranchCode],BranchesTbl[BranchName])</f>
        <v>Eldoret</v>
      </c>
      <c r="Q131">
        <f>_xlfn.XLOOKUP(Loans[[#This Row],[CustomerID]],CustomerTbl[CustomerID],CustomerTbl[RiskScore])</f>
        <v>519</v>
      </c>
      <c r="R131" t="str">
        <f>IFERROR(INDEX(RiskTbl[Risk_Category],MATCH(Loans[[#This Row],[RiskScore]],RiskTbl[Score_Min],1)),"Unknown")</f>
        <v>High Risk</v>
      </c>
      <c r="S131" t="str">
        <f>IF(OR(Loans[[#This Row],[LoanStatus]]="Default",Loans[[#This Row],[LoanStatus]]="Watchlist",Loans[[#This Row],[CollateralRisk]]="Undersecured",Loans[[#This Row],[RiskCategory]]="High Risk"),"High Risk Exposure","Normal")</f>
        <v>High Risk Exposure</v>
      </c>
      <c r="T131" t="str" cm="1">
        <f t="array" ref="T131">_xlfn.IFS(
Loans[[#This Row],[LoanStatus]]="Default","Critical",
OR(Loans[[#This Row],[LoanStatus]]="Watchlist",Loans[[#This Row],[CollateralRisk]]="Undersecured",Loans[[#This Row],[RiskCategory]]="High Risk"),"High",
TRUE,"Normal"
)</f>
        <v>High</v>
      </c>
    </row>
    <row r="132" spans="1:20" x14ac:dyDescent="0.35">
      <c r="A132" t="s">
        <v>431</v>
      </c>
      <c r="B132" t="s">
        <v>432</v>
      </c>
      <c r="C132" t="s">
        <v>184</v>
      </c>
      <c r="D132" t="s">
        <v>158</v>
      </c>
      <c r="E132" s="34">
        <v>3000000</v>
      </c>
      <c r="F132" s="29">
        <v>0.153</v>
      </c>
      <c r="G132" s="30">
        <v>44405</v>
      </c>
      <c r="H132">
        <v>60</v>
      </c>
      <c r="I132">
        <v>20</v>
      </c>
      <c r="J132" s="34">
        <v>3090000</v>
      </c>
      <c r="K132" t="s">
        <v>171</v>
      </c>
      <c r="L132" s="34">
        <f>PMT(Loans[[#This Row],[InterestRate]]/12,Loans[[#This Row],[LoanTenureMonths]],-Loans[[#This Row],[LoanAmount]])</f>
        <v>71843.081054291804</v>
      </c>
      <c r="M132" s="30">
        <f>EDATE(Loans[[#This Row],[LoanStartDate]],Loans[[#This Row],[LoanTenureMonths]])</f>
        <v>46231</v>
      </c>
      <c r="N132" s="33">
        <f>IF(Loans[[#This Row],[LoanAmount]]=0,0,Loans[[#This Row],[CollateralValue]]/Loans[[#This Row],[LoanAmount]])</f>
        <v>1.03</v>
      </c>
      <c r="O132" t="str">
        <f>IF(Loans[[#This Row],[CollateralCoverageRatio]]&lt;1,"Undersecured","Secured")</f>
        <v>Secured</v>
      </c>
      <c r="P132" t="str">
        <f>_xlfn.XLOOKUP(Loans[[#This Row],[BranchCode]],BranchesTbl[BranchCode],BranchesTbl[BranchName])</f>
        <v>Kisumu</v>
      </c>
      <c r="Q132">
        <f>_xlfn.XLOOKUP(Loans[[#This Row],[CustomerID]],CustomerTbl[CustomerID],CustomerTbl[RiskScore])</f>
        <v>517</v>
      </c>
      <c r="R132" t="str">
        <f>IFERROR(INDEX(RiskTbl[Risk_Category],MATCH(Loans[[#This Row],[RiskScore]],RiskTbl[Score_Min],1)),"Unknown")</f>
        <v>High Risk</v>
      </c>
      <c r="S132" t="str">
        <f>IF(OR(Loans[[#This Row],[LoanStatus]]="Default",Loans[[#This Row],[LoanStatus]]="Watchlist",Loans[[#This Row],[CollateralRisk]]="Undersecured",Loans[[#This Row],[RiskCategory]]="High Risk"),"High Risk Exposure","Normal")</f>
        <v>High Risk Exposure</v>
      </c>
      <c r="T132" t="str" cm="1">
        <f t="array" ref="T132">_xlfn.IFS(
Loans[[#This Row],[LoanStatus]]="Default","Critical",
OR(Loans[[#This Row],[LoanStatus]]="Watchlist",Loans[[#This Row],[CollateralRisk]]="Undersecured",Loans[[#This Row],[RiskCategory]]="High Risk"),"High",
TRUE,"Normal"
)</f>
        <v>High</v>
      </c>
    </row>
    <row r="133" spans="1:20" x14ac:dyDescent="0.35">
      <c r="A133" t="s">
        <v>433</v>
      </c>
      <c r="B133" t="s">
        <v>434</v>
      </c>
      <c r="C133" t="s">
        <v>177</v>
      </c>
      <c r="D133" t="s">
        <v>158</v>
      </c>
      <c r="E133" s="34">
        <v>3000000</v>
      </c>
      <c r="F133" s="29">
        <v>0.16930000000000001</v>
      </c>
      <c r="G133" s="30">
        <v>44080</v>
      </c>
      <c r="H133">
        <v>72</v>
      </c>
      <c r="I133">
        <v>20</v>
      </c>
      <c r="J133" s="34">
        <v>2400000</v>
      </c>
      <c r="K133" t="s">
        <v>171</v>
      </c>
      <c r="L133" s="34">
        <f>PMT(Loans[[#This Row],[InterestRate]]/12,Loans[[#This Row],[LoanTenureMonths]],-Loans[[#This Row],[LoanAmount]])</f>
        <v>66621.269477251641</v>
      </c>
      <c r="M133" s="30">
        <f>EDATE(Loans[[#This Row],[LoanStartDate]],Loans[[#This Row],[LoanTenureMonths]])</f>
        <v>46271</v>
      </c>
      <c r="N133" s="33">
        <f>IF(Loans[[#This Row],[LoanAmount]]=0,0,Loans[[#This Row],[CollateralValue]]/Loans[[#This Row],[LoanAmount]])</f>
        <v>0.8</v>
      </c>
      <c r="O133" t="str">
        <f>IF(Loans[[#This Row],[CollateralCoverageRatio]]&lt;1,"Undersecured","Secured")</f>
        <v>Undersecured</v>
      </c>
      <c r="P133" t="str">
        <f>_xlfn.XLOOKUP(Loans[[#This Row],[BranchCode]],BranchesTbl[BranchCode],BranchesTbl[BranchName])</f>
        <v>Naivasha</v>
      </c>
      <c r="Q133">
        <f>_xlfn.XLOOKUP(Loans[[#This Row],[CustomerID]],CustomerTbl[CustomerID],CustomerTbl[RiskScore])</f>
        <v>642</v>
      </c>
      <c r="R133" t="str">
        <f>IFERROR(INDEX(RiskTbl[Risk_Category],MATCH(Loans[[#This Row],[RiskScore]],RiskTbl[Score_Min],1)),"Unknown")</f>
        <v>Medium Risk</v>
      </c>
      <c r="S133" t="str">
        <f>IF(OR(Loans[[#This Row],[LoanStatus]]="Default",Loans[[#This Row],[LoanStatus]]="Watchlist",Loans[[#This Row],[CollateralRisk]]="Undersecured",Loans[[#This Row],[RiskCategory]]="High Risk"),"High Risk Exposure","Normal")</f>
        <v>High Risk Exposure</v>
      </c>
      <c r="T133" t="str" cm="1">
        <f t="array" ref="T133">_xlfn.IFS(
Loans[[#This Row],[LoanStatus]]="Default","Critical",
OR(Loans[[#This Row],[LoanStatus]]="Watchlist",Loans[[#This Row],[CollateralRisk]]="Undersecured",Loans[[#This Row],[RiskCategory]]="High Risk"),"High",
TRUE,"Normal"
)</f>
        <v>High</v>
      </c>
    </row>
    <row r="134" spans="1:20" x14ac:dyDescent="0.35">
      <c r="A134" t="s">
        <v>435</v>
      </c>
      <c r="B134" t="s">
        <v>436</v>
      </c>
      <c r="C134" t="s">
        <v>239</v>
      </c>
      <c r="D134" t="s">
        <v>158</v>
      </c>
      <c r="E134" s="34">
        <v>3000000</v>
      </c>
      <c r="F134" s="29">
        <v>0.1439</v>
      </c>
      <c r="G134" s="30">
        <v>45995</v>
      </c>
      <c r="H134">
        <v>24</v>
      </c>
      <c r="I134">
        <v>45</v>
      </c>
      <c r="J134" s="34">
        <v>1740000</v>
      </c>
      <c r="K134" t="s">
        <v>199</v>
      </c>
      <c r="L134" s="34">
        <f>PMT(Loans[[#This Row],[InterestRate]]/12,Loans[[#This Row],[LoanTenureMonths]],-Loans[[#This Row],[LoanAmount]])</f>
        <v>144591.99068514095</v>
      </c>
      <c r="M134" s="30">
        <f>EDATE(Loans[[#This Row],[LoanStartDate]],Loans[[#This Row],[LoanTenureMonths]])</f>
        <v>46725</v>
      </c>
      <c r="N134" s="33">
        <f>IF(Loans[[#This Row],[LoanAmount]]=0,0,Loans[[#This Row],[CollateralValue]]/Loans[[#This Row],[LoanAmount]])</f>
        <v>0.57999999999999996</v>
      </c>
      <c r="O134" t="str">
        <f>IF(Loans[[#This Row],[CollateralCoverageRatio]]&lt;1,"Undersecured","Secured")</f>
        <v>Undersecured</v>
      </c>
      <c r="P134" t="str">
        <f>_xlfn.XLOOKUP(Loans[[#This Row],[BranchCode]],BranchesTbl[BranchCode],BranchesTbl[BranchName])</f>
        <v>Machakos</v>
      </c>
      <c r="Q134">
        <f>_xlfn.XLOOKUP(Loans[[#This Row],[CustomerID]],CustomerTbl[CustomerID],CustomerTbl[RiskScore])</f>
        <v>487</v>
      </c>
      <c r="R134" t="str">
        <f>IFERROR(INDEX(RiskTbl[Risk_Category],MATCH(Loans[[#This Row],[RiskScore]],RiskTbl[Score_Min],1)),"Unknown")</f>
        <v>High Risk</v>
      </c>
      <c r="S134" t="str">
        <f>IF(OR(Loans[[#This Row],[LoanStatus]]="Default",Loans[[#This Row],[LoanStatus]]="Watchlist",Loans[[#This Row],[CollateralRisk]]="Undersecured",Loans[[#This Row],[RiskCategory]]="High Risk"),"High Risk Exposure","Normal")</f>
        <v>High Risk Exposure</v>
      </c>
      <c r="T134" t="str" cm="1">
        <f t="array" ref="T134">_xlfn.IFS(
Loans[[#This Row],[LoanStatus]]="Default","Critical",
OR(Loans[[#This Row],[LoanStatus]]="Watchlist",Loans[[#This Row],[CollateralRisk]]="Undersecured",Loans[[#This Row],[RiskCategory]]="High Risk"),"High",
TRUE,"Normal"
)</f>
        <v>High</v>
      </c>
    </row>
    <row r="135" spans="1:20" x14ac:dyDescent="0.35">
      <c r="A135" t="s">
        <v>437</v>
      </c>
      <c r="B135" t="s">
        <v>438</v>
      </c>
      <c r="C135" t="s">
        <v>196</v>
      </c>
      <c r="D135" t="s">
        <v>158</v>
      </c>
      <c r="E135" s="34">
        <v>3000000</v>
      </c>
      <c r="F135" s="29">
        <v>0.19900000000000001</v>
      </c>
      <c r="G135" s="30">
        <v>45761</v>
      </c>
      <c r="H135">
        <v>36</v>
      </c>
      <c r="I135">
        <v>10</v>
      </c>
      <c r="J135" s="34">
        <v>1560000</v>
      </c>
      <c r="K135" t="s">
        <v>171</v>
      </c>
      <c r="L135" s="34">
        <f>PMT(Loans[[#This Row],[InterestRate]]/12,Loans[[#This Row],[LoanTenureMonths]],-Loans[[#This Row],[LoanAmount]])</f>
        <v>111337.95087718708</v>
      </c>
      <c r="M135" s="30">
        <f>EDATE(Loans[[#This Row],[LoanStartDate]],Loans[[#This Row],[LoanTenureMonths]])</f>
        <v>46857</v>
      </c>
      <c r="N135" s="33">
        <f>IF(Loans[[#This Row],[LoanAmount]]=0,0,Loans[[#This Row],[CollateralValue]]/Loans[[#This Row],[LoanAmount]])</f>
        <v>0.52</v>
      </c>
      <c r="O135" t="str">
        <f>IF(Loans[[#This Row],[CollateralCoverageRatio]]&lt;1,"Undersecured","Secured")</f>
        <v>Undersecured</v>
      </c>
      <c r="P135" t="str">
        <f>_xlfn.XLOOKUP(Loans[[#This Row],[BranchCode]],BranchesTbl[BranchCode],BranchesTbl[BranchName])</f>
        <v>Karen</v>
      </c>
      <c r="Q135">
        <f>_xlfn.XLOOKUP(Loans[[#This Row],[CustomerID]],CustomerTbl[CustomerID],CustomerTbl[RiskScore])</f>
        <v>654</v>
      </c>
      <c r="R135" t="str">
        <f>IFERROR(INDEX(RiskTbl[Risk_Category],MATCH(Loans[[#This Row],[RiskScore]],RiskTbl[Score_Min],1)),"Unknown")</f>
        <v>Medium Risk</v>
      </c>
      <c r="S135" t="str">
        <f>IF(OR(Loans[[#This Row],[LoanStatus]]="Default",Loans[[#This Row],[LoanStatus]]="Watchlist",Loans[[#This Row],[CollateralRisk]]="Undersecured",Loans[[#This Row],[RiskCategory]]="High Risk"),"High Risk Exposure","Normal")</f>
        <v>High Risk Exposure</v>
      </c>
      <c r="T135" t="str" cm="1">
        <f t="array" ref="T135">_xlfn.IFS(
Loans[[#This Row],[LoanStatus]]="Default","Critical",
OR(Loans[[#This Row],[LoanStatus]]="Watchlist",Loans[[#This Row],[CollateralRisk]]="Undersecured",Loans[[#This Row],[RiskCategory]]="High Risk"),"High",
TRUE,"Normal"
)</f>
        <v>High</v>
      </c>
    </row>
    <row r="136" spans="1:20" x14ac:dyDescent="0.35">
      <c r="A136" t="s">
        <v>439</v>
      </c>
      <c r="B136" t="s">
        <v>440</v>
      </c>
      <c r="C136" t="s">
        <v>187</v>
      </c>
      <c r="D136" t="s">
        <v>157</v>
      </c>
      <c r="E136" s="34">
        <v>6000000</v>
      </c>
      <c r="F136" s="29">
        <v>9.1700000000000004E-2</v>
      </c>
      <c r="G136" s="30">
        <v>45203</v>
      </c>
      <c r="H136">
        <v>12</v>
      </c>
      <c r="I136">
        <v>0</v>
      </c>
      <c r="J136" s="34">
        <v>4140000</v>
      </c>
      <c r="K136" t="s">
        <v>171</v>
      </c>
      <c r="L136" s="34">
        <f>PMT(Loans[[#This Row],[InterestRate]]/12,Loans[[#This Row],[LoanTenureMonths]],-Loans[[#This Row],[LoanAmount]])</f>
        <v>525181.98274516477</v>
      </c>
      <c r="M136" s="30">
        <f>EDATE(Loans[[#This Row],[LoanStartDate]],Loans[[#This Row],[LoanTenureMonths]])</f>
        <v>45569</v>
      </c>
      <c r="N136" s="33">
        <f>IF(Loans[[#This Row],[LoanAmount]]=0,0,Loans[[#This Row],[CollateralValue]]/Loans[[#This Row],[LoanAmount]])</f>
        <v>0.69</v>
      </c>
      <c r="O136" t="str">
        <f>IF(Loans[[#This Row],[CollateralCoverageRatio]]&lt;1,"Undersecured","Secured")</f>
        <v>Undersecured</v>
      </c>
      <c r="P136" t="str">
        <f>_xlfn.XLOOKUP(Loans[[#This Row],[BranchCode]],BranchesTbl[BranchCode],BranchesTbl[BranchName])</f>
        <v>Eldoret</v>
      </c>
      <c r="Q136">
        <f>_xlfn.XLOOKUP(Loans[[#This Row],[CustomerID]],CustomerTbl[CustomerID],CustomerTbl[RiskScore])</f>
        <v>611</v>
      </c>
      <c r="R136" t="str">
        <f>IFERROR(INDEX(RiskTbl[Risk_Category],MATCH(Loans[[#This Row],[RiskScore]],RiskTbl[Score_Min],1)),"Unknown")</f>
        <v>Medium Risk</v>
      </c>
      <c r="S136" t="str">
        <f>IF(OR(Loans[[#This Row],[LoanStatus]]="Default",Loans[[#This Row],[LoanStatus]]="Watchlist",Loans[[#This Row],[CollateralRisk]]="Undersecured",Loans[[#This Row],[RiskCategory]]="High Risk"),"High Risk Exposure","Normal")</f>
        <v>High Risk Exposure</v>
      </c>
      <c r="T136" t="str" cm="1">
        <f t="array" ref="T136">_xlfn.IFS(
Loans[[#This Row],[LoanStatus]]="Default","Critical",
OR(Loans[[#This Row],[LoanStatus]]="Watchlist",Loans[[#This Row],[CollateralRisk]]="Undersecured",Loans[[#This Row],[RiskCategory]]="High Risk"),"High",
TRUE,"Normal"
)</f>
        <v>High</v>
      </c>
    </row>
    <row r="137" spans="1:20" x14ac:dyDescent="0.35">
      <c r="A137" t="s">
        <v>441</v>
      </c>
      <c r="B137" t="s">
        <v>442</v>
      </c>
      <c r="C137" t="s">
        <v>177</v>
      </c>
      <c r="D137" t="s">
        <v>158</v>
      </c>
      <c r="E137" s="34">
        <v>500000</v>
      </c>
      <c r="F137" s="29">
        <v>0.15459999999999999</v>
      </c>
      <c r="G137" s="30">
        <v>45104</v>
      </c>
      <c r="H137">
        <v>72</v>
      </c>
      <c r="I137">
        <v>45</v>
      </c>
      <c r="J137" s="34">
        <v>355000</v>
      </c>
      <c r="K137" t="s">
        <v>199</v>
      </c>
      <c r="L137" s="34">
        <f>PMT(Loans[[#This Row],[InterestRate]]/12,Loans[[#This Row],[LoanTenureMonths]],-Loans[[#This Row],[LoanAmount]])</f>
        <v>10697.81055087771</v>
      </c>
      <c r="M137" s="30">
        <f>EDATE(Loans[[#This Row],[LoanStartDate]],Loans[[#This Row],[LoanTenureMonths]])</f>
        <v>47296</v>
      </c>
      <c r="N137" s="33">
        <f>IF(Loans[[#This Row],[LoanAmount]]=0,0,Loans[[#This Row],[CollateralValue]]/Loans[[#This Row],[LoanAmount]])</f>
        <v>0.71</v>
      </c>
      <c r="O137" t="str">
        <f>IF(Loans[[#This Row],[CollateralCoverageRatio]]&lt;1,"Undersecured","Secured")</f>
        <v>Undersecured</v>
      </c>
      <c r="P137" t="str">
        <f>_xlfn.XLOOKUP(Loans[[#This Row],[BranchCode]],BranchesTbl[BranchCode],BranchesTbl[BranchName])</f>
        <v>Naivasha</v>
      </c>
      <c r="Q137">
        <f>_xlfn.XLOOKUP(Loans[[#This Row],[CustomerID]],CustomerTbl[CustomerID],CustomerTbl[RiskScore])</f>
        <v>407</v>
      </c>
      <c r="R137" t="str">
        <f>IFERROR(INDEX(RiskTbl[Risk_Category],MATCH(Loans[[#This Row],[RiskScore]],RiskTbl[Score_Min],1)),"Unknown")</f>
        <v>High Risk</v>
      </c>
      <c r="S137" t="str">
        <f>IF(OR(Loans[[#This Row],[LoanStatus]]="Default",Loans[[#This Row],[LoanStatus]]="Watchlist",Loans[[#This Row],[CollateralRisk]]="Undersecured",Loans[[#This Row],[RiskCategory]]="High Risk"),"High Risk Exposure","Normal")</f>
        <v>High Risk Exposure</v>
      </c>
      <c r="T137" t="str" cm="1">
        <f t="array" ref="T137">_xlfn.IFS(
Loans[[#This Row],[LoanStatus]]="Default","Critical",
OR(Loans[[#This Row],[LoanStatus]]="Watchlist",Loans[[#This Row],[CollateralRisk]]="Undersecured",Loans[[#This Row],[RiskCategory]]="High Risk"),"High",
TRUE,"Normal"
)</f>
        <v>High</v>
      </c>
    </row>
    <row r="138" spans="1:20" x14ac:dyDescent="0.35">
      <c r="A138" t="s">
        <v>443</v>
      </c>
      <c r="B138" t="s">
        <v>444</v>
      </c>
      <c r="C138" t="s">
        <v>239</v>
      </c>
      <c r="D138" t="s">
        <v>156</v>
      </c>
      <c r="E138" s="34">
        <v>3000000</v>
      </c>
      <c r="F138" s="29">
        <v>0.1779</v>
      </c>
      <c r="G138" s="30">
        <v>45316</v>
      </c>
      <c r="H138">
        <v>72</v>
      </c>
      <c r="I138">
        <v>0</v>
      </c>
      <c r="J138" s="34">
        <v>1860000</v>
      </c>
      <c r="K138" t="s">
        <v>171</v>
      </c>
      <c r="L138" s="34">
        <f>PMT(Loans[[#This Row],[InterestRate]]/12,Loans[[#This Row],[LoanTenureMonths]],-Loans[[#This Row],[LoanAmount]])</f>
        <v>68067.707937444837</v>
      </c>
      <c r="M138" s="30">
        <f>EDATE(Loans[[#This Row],[LoanStartDate]],Loans[[#This Row],[LoanTenureMonths]])</f>
        <v>47508</v>
      </c>
      <c r="N138" s="33">
        <f>IF(Loans[[#This Row],[LoanAmount]]=0,0,Loans[[#This Row],[CollateralValue]]/Loans[[#This Row],[LoanAmount]])</f>
        <v>0.62</v>
      </c>
      <c r="O138" t="str">
        <f>IF(Loans[[#This Row],[CollateralCoverageRatio]]&lt;1,"Undersecured","Secured")</f>
        <v>Undersecured</v>
      </c>
      <c r="P138" t="str">
        <f>_xlfn.XLOOKUP(Loans[[#This Row],[BranchCode]],BranchesTbl[BranchCode],BranchesTbl[BranchName])</f>
        <v>Machakos</v>
      </c>
      <c r="Q138">
        <f>_xlfn.XLOOKUP(Loans[[#This Row],[CustomerID]],CustomerTbl[CustomerID],CustomerTbl[RiskScore])</f>
        <v>472</v>
      </c>
      <c r="R138" t="str">
        <f>IFERROR(INDEX(RiskTbl[Risk_Category],MATCH(Loans[[#This Row],[RiskScore]],RiskTbl[Score_Min],1)),"Unknown")</f>
        <v>High Risk</v>
      </c>
      <c r="S138" t="str">
        <f>IF(OR(Loans[[#This Row],[LoanStatus]]="Default",Loans[[#This Row],[LoanStatus]]="Watchlist",Loans[[#This Row],[CollateralRisk]]="Undersecured",Loans[[#This Row],[RiskCategory]]="High Risk"),"High Risk Exposure","Normal")</f>
        <v>High Risk Exposure</v>
      </c>
      <c r="T138" t="str" cm="1">
        <f t="array" ref="T138">_xlfn.IFS(
Loans[[#This Row],[LoanStatus]]="Default","Critical",
OR(Loans[[#This Row],[LoanStatus]]="Watchlist",Loans[[#This Row],[CollateralRisk]]="Undersecured",Loans[[#This Row],[RiskCategory]]="High Risk"),"High",
TRUE,"Normal"
)</f>
        <v>High</v>
      </c>
    </row>
    <row r="139" spans="1:20" x14ac:dyDescent="0.35">
      <c r="A139" t="s">
        <v>445</v>
      </c>
      <c r="B139" t="s">
        <v>446</v>
      </c>
      <c r="C139" t="s">
        <v>232</v>
      </c>
      <c r="D139" t="s">
        <v>155</v>
      </c>
      <c r="E139" s="34">
        <v>500000</v>
      </c>
      <c r="F139" s="29">
        <v>0.24310000000000001</v>
      </c>
      <c r="G139" s="30">
        <v>45711</v>
      </c>
      <c r="H139">
        <v>24</v>
      </c>
      <c r="I139">
        <v>10</v>
      </c>
      <c r="J139" s="34">
        <v>0</v>
      </c>
      <c r="K139" t="s">
        <v>171</v>
      </c>
      <c r="L139" s="34">
        <f>PMT(Loans[[#This Row],[InterestRate]]/12,Loans[[#This Row],[LoanTenureMonths]],-Loans[[#This Row],[LoanAmount]])</f>
        <v>26512.973651246484</v>
      </c>
      <c r="M139" s="30">
        <f>EDATE(Loans[[#This Row],[LoanStartDate]],Loans[[#This Row],[LoanTenureMonths]])</f>
        <v>46441</v>
      </c>
      <c r="N139" s="33">
        <f>IF(Loans[[#This Row],[LoanAmount]]=0,0,Loans[[#This Row],[CollateralValue]]/Loans[[#This Row],[LoanAmount]])</f>
        <v>0</v>
      </c>
      <c r="O139" t="str">
        <f>IF(Loans[[#This Row],[CollateralCoverageRatio]]&lt;1,"Undersecured","Secured")</f>
        <v>Undersecured</v>
      </c>
      <c r="P139" t="str">
        <f>_xlfn.XLOOKUP(Loans[[#This Row],[BranchCode]],BranchesTbl[BranchCode],BranchesTbl[BranchName])</f>
        <v>Upper Hill</v>
      </c>
      <c r="Q139">
        <f>_xlfn.XLOOKUP(Loans[[#This Row],[CustomerID]],CustomerTbl[CustomerID],CustomerTbl[RiskScore])</f>
        <v>345</v>
      </c>
      <c r="R139" t="str">
        <f>IFERROR(INDEX(RiskTbl[Risk_Category],MATCH(Loans[[#This Row],[RiskScore]],RiskTbl[Score_Min],1)),"Unknown")</f>
        <v>High Risk</v>
      </c>
      <c r="S139" t="str">
        <f>IF(OR(Loans[[#This Row],[LoanStatus]]="Default",Loans[[#This Row],[LoanStatus]]="Watchlist",Loans[[#This Row],[CollateralRisk]]="Undersecured",Loans[[#This Row],[RiskCategory]]="High Risk"),"High Risk Exposure","Normal")</f>
        <v>High Risk Exposure</v>
      </c>
      <c r="T139" t="str" cm="1">
        <f t="array" ref="T139">_xlfn.IFS(
Loans[[#This Row],[LoanStatus]]="Default","Critical",
OR(Loans[[#This Row],[LoanStatus]]="Watchlist",Loans[[#This Row],[CollateralRisk]]="Undersecured",Loans[[#This Row],[RiskCategory]]="High Risk"),"High",
TRUE,"Normal"
)</f>
        <v>High</v>
      </c>
    </row>
    <row r="140" spans="1:20" x14ac:dyDescent="0.35">
      <c r="A140" t="s">
        <v>447</v>
      </c>
      <c r="B140" t="s">
        <v>448</v>
      </c>
      <c r="C140" t="s">
        <v>187</v>
      </c>
      <c r="D140" t="s">
        <v>158</v>
      </c>
      <c r="E140" s="34">
        <v>6000000</v>
      </c>
      <c r="F140" s="29">
        <v>0.13239999999999999</v>
      </c>
      <c r="G140" s="30">
        <v>44549</v>
      </c>
      <c r="H140">
        <v>12</v>
      </c>
      <c r="I140">
        <v>0</v>
      </c>
      <c r="J140" s="34">
        <v>6900000</v>
      </c>
      <c r="K140" t="s">
        <v>171</v>
      </c>
      <c r="L140" s="34">
        <f>PMT(Loans[[#This Row],[InterestRate]]/12,Loans[[#This Row],[LoanTenureMonths]],-Loans[[#This Row],[LoanAmount]])</f>
        <v>536579.48568066629</v>
      </c>
      <c r="M140" s="30">
        <f>EDATE(Loans[[#This Row],[LoanStartDate]],Loans[[#This Row],[LoanTenureMonths]])</f>
        <v>44914</v>
      </c>
      <c r="N140" s="33">
        <f>IF(Loans[[#This Row],[LoanAmount]]=0,0,Loans[[#This Row],[CollateralValue]]/Loans[[#This Row],[LoanAmount]])</f>
        <v>1.1499999999999999</v>
      </c>
      <c r="O140" t="str">
        <f>IF(Loans[[#This Row],[CollateralCoverageRatio]]&lt;1,"Undersecured","Secured")</f>
        <v>Secured</v>
      </c>
      <c r="P140" t="str">
        <f>_xlfn.XLOOKUP(Loans[[#This Row],[BranchCode]],BranchesTbl[BranchCode],BranchesTbl[BranchName])</f>
        <v>Eldoret</v>
      </c>
      <c r="Q140">
        <f>_xlfn.XLOOKUP(Loans[[#This Row],[CustomerID]],CustomerTbl[CustomerID],CustomerTbl[RiskScore])</f>
        <v>567</v>
      </c>
      <c r="R140" t="str">
        <f>IFERROR(INDEX(RiskTbl[Risk_Category],MATCH(Loans[[#This Row],[RiskScore]],RiskTbl[Score_Min],1)),"Unknown")</f>
        <v>High Risk</v>
      </c>
      <c r="S140" t="str">
        <f>IF(OR(Loans[[#This Row],[LoanStatus]]="Default",Loans[[#This Row],[LoanStatus]]="Watchlist",Loans[[#This Row],[CollateralRisk]]="Undersecured",Loans[[#This Row],[RiskCategory]]="High Risk"),"High Risk Exposure","Normal")</f>
        <v>High Risk Exposure</v>
      </c>
      <c r="T140" t="str" cm="1">
        <f t="array" ref="T140">_xlfn.IFS(
Loans[[#This Row],[LoanStatus]]="Default","Critical",
OR(Loans[[#This Row],[LoanStatus]]="Watchlist",Loans[[#This Row],[CollateralRisk]]="Undersecured",Loans[[#This Row],[RiskCategory]]="High Risk"),"High",
TRUE,"Normal"
)</f>
        <v>High</v>
      </c>
    </row>
    <row r="141" spans="1:20" x14ac:dyDescent="0.35">
      <c r="A141" t="s">
        <v>449</v>
      </c>
      <c r="B141" t="s">
        <v>272</v>
      </c>
      <c r="C141" t="s">
        <v>170</v>
      </c>
      <c r="D141" t="s">
        <v>157</v>
      </c>
      <c r="E141" s="34">
        <v>25000000</v>
      </c>
      <c r="F141" s="29">
        <v>0.1181</v>
      </c>
      <c r="G141" s="30">
        <v>44819</v>
      </c>
      <c r="H141">
        <v>24</v>
      </c>
      <c r="I141">
        <v>45</v>
      </c>
      <c r="J141" s="34">
        <v>31250000</v>
      </c>
      <c r="K141" t="s">
        <v>199</v>
      </c>
      <c r="L141" s="34">
        <f>PMT(Loans[[#This Row],[InterestRate]]/12,Loans[[#This Row],[LoanTenureMonths]],-Loans[[#This Row],[LoanAmount]])</f>
        <v>1174619.8138828373</v>
      </c>
      <c r="M141" s="30">
        <f>EDATE(Loans[[#This Row],[LoanStartDate]],Loans[[#This Row],[LoanTenureMonths]])</f>
        <v>45550</v>
      </c>
      <c r="N141" s="33">
        <f>IF(Loans[[#This Row],[LoanAmount]]=0,0,Loans[[#This Row],[CollateralValue]]/Loans[[#This Row],[LoanAmount]])</f>
        <v>1.25</v>
      </c>
      <c r="O141" t="str">
        <f>IF(Loans[[#This Row],[CollateralCoverageRatio]]&lt;1,"Undersecured","Secured")</f>
        <v>Secured</v>
      </c>
      <c r="P141" t="str">
        <f>_xlfn.XLOOKUP(Loans[[#This Row],[BranchCode]],BranchesTbl[BranchCode],BranchesTbl[BranchName])</f>
        <v>Thika</v>
      </c>
      <c r="Q141">
        <f>_xlfn.XLOOKUP(Loans[[#This Row],[CustomerID]],CustomerTbl[CustomerID],CustomerTbl[RiskScore])</f>
        <v>661</v>
      </c>
      <c r="R141" t="str">
        <f>IFERROR(INDEX(RiskTbl[Risk_Category],MATCH(Loans[[#This Row],[RiskScore]],RiskTbl[Score_Min],1)),"Unknown")</f>
        <v>Medium Risk</v>
      </c>
      <c r="S141" t="str">
        <f>IF(OR(Loans[[#This Row],[LoanStatus]]="Default",Loans[[#This Row],[LoanStatus]]="Watchlist",Loans[[#This Row],[CollateralRisk]]="Undersecured",Loans[[#This Row],[RiskCategory]]="High Risk"),"High Risk Exposure","Normal")</f>
        <v>High Risk Exposure</v>
      </c>
      <c r="T141" t="str" cm="1">
        <f t="array" ref="T141">_xlfn.IFS(
Loans[[#This Row],[LoanStatus]]="Default","Critical",
OR(Loans[[#This Row],[LoanStatus]]="Watchlist",Loans[[#This Row],[CollateralRisk]]="Undersecured",Loans[[#This Row],[RiskCategory]]="High Risk"),"High",
TRUE,"Normal"
)</f>
        <v>High</v>
      </c>
    </row>
    <row r="142" spans="1:20" x14ac:dyDescent="0.35">
      <c r="A142" t="s">
        <v>450</v>
      </c>
      <c r="B142" t="s">
        <v>451</v>
      </c>
      <c r="C142" t="s">
        <v>232</v>
      </c>
      <c r="D142" t="s">
        <v>158</v>
      </c>
      <c r="E142" s="34">
        <v>6000000</v>
      </c>
      <c r="F142" s="29">
        <v>0.1593</v>
      </c>
      <c r="G142" s="30">
        <v>44038</v>
      </c>
      <c r="H142">
        <v>24</v>
      </c>
      <c r="I142">
        <v>20</v>
      </c>
      <c r="J142" s="34">
        <v>4320000</v>
      </c>
      <c r="K142" t="s">
        <v>171</v>
      </c>
      <c r="L142" s="34">
        <f>PMT(Loans[[#This Row],[InterestRate]]/12,Loans[[#This Row],[LoanTenureMonths]],-Loans[[#This Row],[LoanAmount]])</f>
        <v>293578.0228310274</v>
      </c>
      <c r="M142" s="30">
        <f>EDATE(Loans[[#This Row],[LoanStartDate]],Loans[[#This Row],[LoanTenureMonths]])</f>
        <v>44768</v>
      </c>
      <c r="N142" s="33">
        <f>IF(Loans[[#This Row],[LoanAmount]]=0,0,Loans[[#This Row],[CollateralValue]]/Loans[[#This Row],[LoanAmount]])</f>
        <v>0.72</v>
      </c>
      <c r="O142" t="str">
        <f>IF(Loans[[#This Row],[CollateralCoverageRatio]]&lt;1,"Undersecured","Secured")</f>
        <v>Undersecured</v>
      </c>
      <c r="P142" t="str">
        <f>_xlfn.XLOOKUP(Loans[[#This Row],[BranchCode]],BranchesTbl[BranchCode],BranchesTbl[BranchName])</f>
        <v>Upper Hill</v>
      </c>
      <c r="Q142">
        <f>_xlfn.XLOOKUP(Loans[[#This Row],[CustomerID]],CustomerTbl[CustomerID],CustomerTbl[RiskScore])</f>
        <v>603</v>
      </c>
      <c r="R142" t="str">
        <f>IFERROR(INDEX(RiskTbl[Risk_Category],MATCH(Loans[[#This Row],[RiskScore]],RiskTbl[Score_Min],1)),"Unknown")</f>
        <v>Medium Risk</v>
      </c>
      <c r="S142" t="str">
        <f>IF(OR(Loans[[#This Row],[LoanStatus]]="Default",Loans[[#This Row],[LoanStatus]]="Watchlist",Loans[[#This Row],[CollateralRisk]]="Undersecured",Loans[[#This Row],[RiskCategory]]="High Risk"),"High Risk Exposure","Normal")</f>
        <v>High Risk Exposure</v>
      </c>
      <c r="T142" t="str" cm="1">
        <f t="array" ref="T142">_xlfn.IFS(
Loans[[#This Row],[LoanStatus]]="Default","Critical",
OR(Loans[[#This Row],[LoanStatus]]="Watchlist",Loans[[#This Row],[CollateralRisk]]="Undersecured",Loans[[#This Row],[RiskCategory]]="High Risk"),"High",
TRUE,"Normal"
)</f>
        <v>High</v>
      </c>
    </row>
    <row r="143" spans="1:20" x14ac:dyDescent="0.35">
      <c r="A143" t="s">
        <v>452</v>
      </c>
      <c r="B143" t="s">
        <v>453</v>
      </c>
      <c r="C143" t="s">
        <v>181</v>
      </c>
      <c r="D143" t="s">
        <v>157</v>
      </c>
      <c r="E143" s="34">
        <v>6000000</v>
      </c>
      <c r="F143" s="29">
        <v>0.1174</v>
      </c>
      <c r="G143" s="30">
        <v>45680</v>
      </c>
      <c r="H143">
        <v>36</v>
      </c>
      <c r="I143">
        <v>5</v>
      </c>
      <c r="J143" s="34">
        <v>7920000</v>
      </c>
      <c r="K143" t="s">
        <v>171</v>
      </c>
      <c r="L143" s="34">
        <f>PMT(Loans[[#This Row],[InterestRate]]/12,Loans[[#This Row],[LoanTenureMonths]],-Loans[[#This Row],[LoanAmount]])</f>
        <v>198541.59361514697</v>
      </c>
      <c r="M143" s="30">
        <f>EDATE(Loans[[#This Row],[LoanStartDate]],Loans[[#This Row],[LoanTenureMonths]])</f>
        <v>46775</v>
      </c>
      <c r="N143" s="33">
        <f>IF(Loans[[#This Row],[LoanAmount]]=0,0,Loans[[#This Row],[CollateralValue]]/Loans[[#This Row],[LoanAmount]])</f>
        <v>1.32</v>
      </c>
      <c r="O143" t="str">
        <f>IF(Loans[[#This Row],[CollateralCoverageRatio]]&lt;1,"Undersecured","Secured")</f>
        <v>Secured</v>
      </c>
      <c r="P143" t="str">
        <f>_xlfn.XLOOKUP(Loans[[#This Row],[BranchCode]],BranchesTbl[BranchCode],BranchesTbl[BranchName])</f>
        <v>Kitale</v>
      </c>
      <c r="Q143">
        <f>_xlfn.XLOOKUP(Loans[[#This Row],[CustomerID]],CustomerTbl[CustomerID],CustomerTbl[RiskScore])</f>
        <v>811</v>
      </c>
      <c r="R143" t="str">
        <f>IFERROR(INDEX(RiskTbl[Risk_Category],MATCH(Loans[[#This Row],[RiskScore]],RiskTbl[Score_Min],1)),"Unknown")</f>
        <v>Prime</v>
      </c>
      <c r="S143" t="str">
        <f>IF(OR(Loans[[#This Row],[LoanStatus]]="Default",Loans[[#This Row],[LoanStatus]]="Watchlist",Loans[[#This Row],[CollateralRisk]]="Undersecured",Loans[[#This Row],[RiskCategory]]="High Risk"),"High Risk Exposure","Normal")</f>
        <v>Normal</v>
      </c>
      <c r="T143" t="str" cm="1">
        <f t="array" ref="T143">_xlfn.IFS(
Loans[[#This Row],[LoanStatus]]="Default","Critical",
OR(Loans[[#This Row],[LoanStatus]]="Watchlist",Loans[[#This Row],[CollateralRisk]]="Undersecured",Loans[[#This Row],[RiskCategory]]="High Risk"),"High",
TRUE,"Normal"
)</f>
        <v>Normal</v>
      </c>
    </row>
    <row r="144" spans="1:20" x14ac:dyDescent="0.35">
      <c r="A144" t="s">
        <v>454</v>
      </c>
      <c r="B144" t="s">
        <v>455</v>
      </c>
      <c r="C144" t="s">
        <v>193</v>
      </c>
      <c r="D144" t="s">
        <v>158</v>
      </c>
      <c r="E144" s="34">
        <v>500000</v>
      </c>
      <c r="F144" s="29">
        <v>0.16969999999999999</v>
      </c>
      <c r="G144" s="30">
        <v>45510</v>
      </c>
      <c r="H144">
        <v>36</v>
      </c>
      <c r="I144">
        <v>20</v>
      </c>
      <c r="J144" s="34">
        <v>385000</v>
      </c>
      <c r="K144" t="s">
        <v>171</v>
      </c>
      <c r="L144" s="34">
        <f>PMT(Loans[[#This Row],[InterestRate]]/12,Loans[[#This Row],[LoanTenureMonths]],-Loans[[#This Row],[LoanAmount]])</f>
        <v>17818.899396861034</v>
      </c>
      <c r="M144" s="30">
        <f>EDATE(Loans[[#This Row],[LoanStartDate]],Loans[[#This Row],[LoanTenureMonths]])</f>
        <v>46605</v>
      </c>
      <c r="N144" s="33">
        <f>IF(Loans[[#This Row],[LoanAmount]]=0,0,Loans[[#This Row],[CollateralValue]]/Loans[[#This Row],[LoanAmount]])</f>
        <v>0.77</v>
      </c>
      <c r="O144" t="str">
        <f>IF(Loans[[#This Row],[CollateralCoverageRatio]]&lt;1,"Undersecured","Secured")</f>
        <v>Undersecured</v>
      </c>
      <c r="P144" t="str">
        <f>_xlfn.XLOOKUP(Loans[[#This Row],[BranchCode]],BranchesTbl[BranchCode],BranchesTbl[BranchName])</f>
        <v>Mombasa</v>
      </c>
      <c r="Q144">
        <f>_xlfn.XLOOKUP(Loans[[#This Row],[CustomerID]],CustomerTbl[CustomerID],CustomerTbl[RiskScore])</f>
        <v>597</v>
      </c>
      <c r="R144" t="str">
        <f>IFERROR(INDEX(RiskTbl[Risk_Category],MATCH(Loans[[#This Row],[RiskScore]],RiskTbl[Score_Min],1)),"Unknown")</f>
        <v>Medium Risk</v>
      </c>
      <c r="S144" t="str">
        <f>IF(OR(Loans[[#This Row],[LoanStatus]]="Default",Loans[[#This Row],[LoanStatus]]="Watchlist",Loans[[#This Row],[CollateralRisk]]="Undersecured",Loans[[#This Row],[RiskCategory]]="High Risk"),"High Risk Exposure","Normal")</f>
        <v>High Risk Exposure</v>
      </c>
      <c r="T144" t="str" cm="1">
        <f t="array" ref="T144">_xlfn.IFS(
Loans[[#This Row],[LoanStatus]]="Default","Critical",
OR(Loans[[#This Row],[LoanStatus]]="Watchlist",Loans[[#This Row],[CollateralRisk]]="Undersecured",Loans[[#This Row],[RiskCategory]]="High Risk"),"High",
TRUE,"Normal"
)</f>
        <v>High</v>
      </c>
    </row>
    <row r="145" spans="1:20" x14ac:dyDescent="0.35">
      <c r="A145" t="s">
        <v>456</v>
      </c>
      <c r="B145" t="s">
        <v>457</v>
      </c>
      <c r="C145" t="s">
        <v>239</v>
      </c>
      <c r="D145" t="s">
        <v>155</v>
      </c>
      <c r="E145" s="34">
        <v>250000</v>
      </c>
      <c r="F145" s="29">
        <v>0.25750000000000001</v>
      </c>
      <c r="G145" s="30">
        <v>45605</v>
      </c>
      <c r="H145">
        <v>72</v>
      </c>
      <c r="I145">
        <v>10</v>
      </c>
      <c r="J145" s="34">
        <v>0</v>
      </c>
      <c r="K145" t="s">
        <v>171</v>
      </c>
      <c r="L145" s="34">
        <f>PMT(Loans[[#This Row],[InterestRate]]/12,Loans[[#This Row],[LoanTenureMonths]],-Loans[[#This Row],[LoanAmount]])</f>
        <v>6849.8037308057337</v>
      </c>
      <c r="M145" s="30">
        <f>EDATE(Loans[[#This Row],[LoanStartDate]],Loans[[#This Row],[LoanTenureMonths]])</f>
        <v>47796</v>
      </c>
      <c r="N145" s="33">
        <f>IF(Loans[[#This Row],[LoanAmount]]=0,0,Loans[[#This Row],[CollateralValue]]/Loans[[#This Row],[LoanAmount]])</f>
        <v>0</v>
      </c>
      <c r="O145" t="str">
        <f>IF(Loans[[#This Row],[CollateralCoverageRatio]]&lt;1,"Undersecured","Secured")</f>
        <v>Undersecured</v>
      </c>
      <c r="P145" t="str">
        <f>_xlfn.XLOOKUP(Loans[[#This Row],[BranchCode]],BranchesTbl[BranchCode],BranchesTbl[BranchName])</f>
        <v>Machakos</v>
      </c>
      <c r="Q145">
        <f>_xlfn.XLOOKUP(Loans[[#This Row],[CustomerID]],CustomerTbl[CustomerID],CustomerTbl[RiskScore])</f>
        <v>802</v>
      </c>
      <c r="R145" t="str">
        <f>IFERROR(INDEX(RiskTbl[Risk_Category],MATCH(Loans[[#This Row],[RiskScore]],RiskTbl[Score_Min],1)),"Unknown")</f>
        <v>Prime</v>
      </c>
      <c r="S145" t="str">
        <f>IF(OR(Loans[[#This Row],[LoanStatus]]="Default",Loans[[#This Row],[LoanStatus]]="Watchlist",Loans[[#This Row],[CollateralRisk]]="Undersecured",Loans[[#This Row],[RiskCategory]]="High Risk"),"High Risk Exposure","Normal")</f>
        <v>High Risk Exposure</v>
      </c>
      <c r="T145" t="str" cm="1">
        <f t="array" ref="T145">_xlfn.IFS(
Loans[[#This Row],[LoanStatus]]="Default","Critical",
OR(Loans[[#This Row],[LoanStatus]]="Watchlist",Loans[[#This Row],[CollateralRisk]]="Undersecured",Loans[[#This Row],[RiskCategory]]="High Risk"),"High",
TRUE,"Normal"
)</f>
        <v>High</v>
      </c>
    </row>
    <row r="146" spans="1:20" x14ac:dyDescent="0.35">
      <c r="A146" t="s">
        <v>458</v>
      </c>
      <c r="B146" t="s">
        <v>298</v>
      </c>
      <c r="C146" t="s">
        <v>239</v>
      </c>
      <c r="D146" t="s">
        <v>156</v>
      </c>
      <c r="E146" s="34">
        <v>6000000</v>
      </c>
      <c r="F146" s="29">
        <v>0.15390000000000001</v>
      </c>
      <c r="G146" s="30">
        <v>44333</v>
      </c>
      <c r="H146">
        <v>36</v>
      </c>
      <c r="I146">
        <v>45</v>
      </c>
      <c r="J146" s="34">
        <v>3660000</v>
      </c>
      <c r="K146" t="s">
        <v>199</v>
      </c>
      <c r="L146" s="34">
        <f>PMT(Loans[[#This Row],[InterestRate]]/12,Loans[[#This Row],[LoanTenureMonths]],-Loans[[#This Row],[LoanAmount]])</f>
        <v>209139.705852724</v>
      </c>
      <c r="M146" s="30">
        <f>EDATE(Loans[[#This Row],[LoanStartDate]],Loans[[#This Row],[LoanTenureMonths]])</f>
        <v>45429</v>
      </c>
      <c r="N146" s="33">
        <f>IF(Loans[[#This Row],[LoanAmount]]=0,0,Loans[[#This Row],[CollateralValue]]/Loans[[#This Row],[LoanAmount]])</f>
        <v>0.61</v>
      </c>
      <c r="O146" t="str">
        <f>IF(Loans[[#This Row],[CollateralCoverageRatio]]&lt;1,"Undersecured","Secured")</f>
        <v>Undersecured</v>
      </c>
      <c r="P146" t="str">
        <f>_xlfn.XLOOKUP(Loans[[#This Row],[BranchCode]],BranchesTbl[BranchCode],BranchesTbl[BranchName])</f>
        <v>Machakos</v>
      </c>
      <c r="Q146">
        <f>_xlfn.XLOOKUP(Loans[[#This Row],[CustomerID]],CustomerTbl[CustomerID],CustomerTbl[RiskScore])</f>
        <v>324</v>
      </c>
      <c r="R146" t="str">
        <f>IFERROR(INDEX(RiskTbl[Risk_Category],MATCH(Loans[[#This Row],[RiskScore]],RiskTbl[Score_Min],1)),"Unknown")</f>
        <v>High Risk</v>
      </c>
      <c r="S146" t="str">
        <f>IF(OR(Loans[[#This Row],[LoanStatus]]="Default",Loans[[#This Row],[LoanStatus]]="Watchlist",Loans[[#This Row],[CollateralRisk]]="Undersecured",Loans[[#This Row],[RiskCategory]]="High Risk"),"High Risk Exposure","Normal")</f>
        <v>High Risk Exposure</v>
      </c>
      <c r="T146" t="str" cm="1">
        <f t="array" ref="T146">_xlfn.IFS(
Loans[[#This Row],[LoanStatus]]="Default","Critical",
OR(Loans[[#This Row],[LoanStatus]]="Watchlist",Loans[[#This Row],[CollateralRisk]]="Undersecured",Loans[[#This Row],[RiskCategory]]="High Risk"),"High",
TRUE,"Normal"
)</f>
        <v>High</v>
      </c>
    </row>
    <row r="147" spans="1:20" x14ac:dyDescent="0.35">
      <c r="A147" t="s">
        <v>459</v>
      </c>
      <c r="B147" t="s">
        <v>460</v>
      </c>
      <c r="C147" t="s">
        <v>190</v>
      </c>
      <c r="D147" t="s">
        <v>158</v>
      </c>
      <c r="E147" s="34">
        <v>3000000</v>
      </c>
      <c r="F147" s="29">
        <v>0.13880000000000001</v>
      </c>
      <c r="G147" s="30">
        <v>44127</v>
      </c>
      <c r="H147">
        <v>36</v>
      </c>
      <c r="I147">
        <v>90</v>
      </c>
      <c r="J147" s="34">
        <v>3180000</v>
      </c>
      <c r="K147" t="s">
        <v>199</v>
      </c>
      <c r="L147" s="34">
        <f>PMT(Loans[[#This Row],[InterestRate]]/12,Loans[[#This Row],[LoanTenureMonths]],-Loans[[#This Row],[LoanAmount]])</f>
        <v>102358.1274778474</v>
      </c>
      <c r="M147" s="30">
        <f>EDATE(Loans[[#This Row],[LoanStartDate]],Loans[[#This Row],[LoanTenureMonths]])</f>
        <v>45222</v>
      </c>
      <c r="N147" s="33">
        <f>IF(Loans[[#This Row],[LoanAmount]]=0,0,Loans[[#This Row],[CollateralValue]]/Loans[[#This Row],[LoanAmount]])</f>
        <v>1.06</v>
      </c>
      <c r="O147" t="str">
        <f>IF(Loans[[#This Row],[CollateralCoverageRatio]]&lt;1,"Undersecured","Secured")</f>
        <v>Secured</v>
      </c>
      <c r="P147" t="str">
        <f>_xlfn.XLOOKUP(Loans[[#This Row],[BranchCode]],BranchesTbl[BranchCode],BranchesTbl[BranchName])</f>
        <v>Nyeri</v>
      </c>
      <c r="Q147">
        <f>_xlfn.XLOOKUP(Loans[[#This Row],[CustomerID]],CustomerTbl[CustomerID],CustomerTbl[RiskScore])</f>
        <v>508</v>
      </c>
      <c r="R147" t="str">
        <f>IFERROR(INDEX(RiskTbl[Risk_Category],MATCH(Loans[[#This Row],[RiskScore]],RiskTbl[Score_Min],1)),"Unknown")</f>
        <v>High Risk</v>
      </c>
      <c r="S147" t="str">
        <f>IF(OR(Loans[[#This Row],[LoanStatus]]="Default",Loans[[#This Row],[LoanStatus]]="Watchlist",Loans[[#This Row],[CollateralRisk]]="Undersecured",Loans[[#This Row],[RiskCategory]]="High Risk"),"High Risk Exposure","Normal")</f>
        <v>High Risk Exposure</v>
      </c>
      <c r="T147" t="str" cm="1">
        <f t="array" ref="T147">_xlfn.IFS(
Loans[[#This Row],[LoanStatus]]="Default","Critical",
OR(Loans[[#This Row],[LoanStatus]]="Watchlist",Loans[[#This Row],[CollateralRisk]]="Undersecured",Loans[[#This Row],[RiskCategory]]="High Risk"),"High",
TRUE,"Normal"
)</f>
        <v>High</v>
      </c>
    </row>
    <row r="148" spans="1:20" x14ac:dyDescent="0.35">
      <c r="A148" t="s">
        <v>461</v>
      </c>
      <c r="B148" t="s">
        <v>462</v>
      </c>
      <c r="C148" t="s">
        <v>181</v>
      </c>
      <c r="D148" t="s">
        <v>155</v>
      </c>
      <c r="E148" s="34">
        <v>100000</v>
      </c>
      <c r="F148" s="29">
        <v>0.18679999999999999</v>
      </c>
      <c r="G148" s="30">
        <v>44087</v>
      </c>
      <c r="H148">
        <v>72</v>
      </c>
      <c r="I148">
        <v>0</v>
      </c>
      <c r="J148" s="34">
        <v>0</v>
      </c>
      <c r="K148" t="s">
        <v>171</v>
      </c>
      <c r="L148" s="34">
        <f>PMT(Loans[[#This Row],[InterestRate]]/12,Loans[[#This Row],[LoanTenureMonths]],-Loans[[#This Row],[LoanAmount]])</f>
        <v>2319.3879658650835</v>
      </c>
      <c r="M148" s="30">
        <f>EDATE(Loans[[#This Row],[LoanStartDate]],Loans[[#This Row],[LoanTenureMonths]])</f>
        <v>46278</v>
      </c>
      <c r="N148" s="33">
        <f>IF(Loans[[#This Row],[LoanAmount]]=0,0,Loans[[#This Row],[CollateralValue]]/Loans[[#This Row],[LoanAmount]])</f>
        <v>0</v>
      </c>
      <c r="O148" t="str">
        <f>IF(Loans[[#This Row],[CollateralCoverageRatio]]&lt;1,"Undersecured","Secured")</f>
        <v>Undersecured</v>
      </c>
      <c r="P148" t="str">
        <f>_xlfn.XLOOKUP(Loans[[#This Row],[BranchCode]],BranchesTbl[BranchCode],BranchesTbl[BranchName])</f>
        <v>Kitale</v>
      </c>
      <c r="Q148">
        <f>_xlfn.XLOOKUP(Loans[[#This Row],[CustomerID]],CustomerTbl[CustomerID],CustomerTbl[RiskScore])</f>
        <v>809</v>
      </c>
      <c r="R148" t="str">
        <f>IFERROR(INDEX(RiskTbl[Risk_Category],MATCH(Loans[[#This Row],[RiskScore]],RiskTbl[Score_Min],1)),"Unknown")</f>
        <v>Prime</v>
      </c>
      <c r="S148" t="str">
        <f>IF(OR(Loans[[#This Row],[LoanStatus]]="Default",Loans[[#This Row],[LoanStatus]]="Watchlist",Loans[[#This Row],[CollateralRisk]]="Undersecured",Loans[[#This Row],[RiskCategory]]="High Risk"),"High Risk Exposure","Normal")</f>
        <v>High Risk Exposure</v>
      </c>
      <c r="T148" t="str" cm="1">
        <f t="array" ref="T148">_xlfn.IFS(
Loans[[#This Row],[LoanStatus]]="Default","Critical",
OR(Loans[[#This Row],[LoanStatus]]="Watchlist",Loans[[#This Row],[CollateralRisk]]="Undersecured",Loans[[#This Row],[RiskCategory]]="High Risk"),"High",
TRUE,"Normal"
)</f>
        <v>High</v>
      </c>
    </row>
    <row r="149" spans="1:20" x14ac:dyDescent="0.35">
      <c r="A149" t="s">
        <v>463</v>
      </c>
      <c r="B149" t="s">
        <v>464</v>
      </c>
      <c r="C149" t="s">
        <v>190</v>
      </c>
      <c r="D149" t="s">
        <v>155</v>
      </c>
      <c r="E149" s="34">
        <v>1000000</v>
      </c>
      <c r="F149" s="29">
        <v>0.16339999999999999</v>
      </c>
      <c r="G149" s="30">
        <v>45793</v>
      </c>
      <c r="H149">
        <v>60</v>
      </c>
      <c r="I149">
        <v>0</v>
      </c>
      <c r="J149" s="34">
        <v>0</v>
      </c>
      <c r="K149" t="s">
        <v>171</v>
      </c>
      <c r="L149" s="34">
        <f>PMT(Loans[[#This Row],[InterestRate]]/12,Loans[[#This Row],[LoanTenureMonths]],-Loans[[#This Row],[LoanAmount]])</f>
        <v>24499.079205346527</v>
      </c>
      <c r="M149" s="30">
        <f>EDATE(Loans[[#This Row],[LoanStartDate]],Loans[[#This Row],[LoanTenureMonths]])</f>
        <v>47619</v>
      </c>
      <c r="N149" s="33">
        <f>IF(Loans[[#This Row],[LoanAmount]]=0,0,Loans[[#This Row],[CollateralValue]]/Loans[[#This Row],[LoanAmount]])</f>
        <v>0</v>
      </c>
      <c r="O149" t="str">
        <f>IF(Loans[[#This Row],[CollateralCoverageRatio]]&lt;1,"Undersecured","Secured")</f>
        <v>Undersecured</v>
      </c>
      <c r="P149" t="str">
        <f>_xlfn.XLOOKUP(Loans[[#This Row],[BranchCode]],BranchesTbl[BranchCode],BranchesTbl[BranchName])</f>
        <v>Nyeri</v>
      </c>
      <c r="Q149">
        <f>_xlfn.XLOOKUP(Loans[[#This Row],[CustomerID]],CustomerTbl[CustomerID],CustomerTbl[RiskScore])</f>
        <v>306</v>
      </c>
      <c r="R149" t="str">
        <f>IFERROR(INDEX(RiskTbl[Risk_Category],MATCH(Loans[[#This Row],[RiskScore]],RiskTbl[Score_Min],1)),"Unknown")</f>
        <v>High Risk</v>
      </c>
      <c r="S149" t="str">
        <f>IF(OR(Loans[[#This Row],[LoanStatus]]="Default",Loans[[#This Row],[LoanStatus]]="Watchlist",Loans[[#This Row],[CollateralRisk]]="Undersecured",Loans[[#This Row],[RiskCategory]]="High Risk"),"High Risk Exposure","Normal")</f>
        <v>High Risk Exposure</v>
      </c>
      <c r="T149" t="str" cm="1">
        <f t="array" ref="T149">_xlfn.IFS(
Loans[[#This Row],[LoanStatus]]="Default","Critical",
OR(Loans[[#This Row],[LoanStatus]]="Watchlist",Loans[[#This Row],[CollateralRisk]]="Undersecured",Loans[[#This Row],[RiskCategory]]="High Risk"),"High",
TRUE,"Normal"
)</f>
        <v>High</v>
      </c>
    </row>
    <row r="150" spans="1:20" x14ac:dyDescent="0.35">
      <c r="A150" t="s">
        <v>465</v>
      </c>
      <c r="B150" t="s">
        <v>466</v>
      </c>
      <c r="C150" t="s">
        <v>184</v>
      </c>
      <c r="D150" t="s">
        <v>158</v>
      </c>
      <c r="E150" s="34">
        <v>500000</v>
      </c>
      <c r="F150" s="29">
        <v>0.13450000000000001</v>
      </c>
      <c r="G150" s="30">
        <v>45054</v>
      </c>
      <c r="H150">
        <v>36</v>
      </c>
      <c r="I150">
        <v>90</v>
      </c>
      <c r="J150" s="34">
        <v>600000</v>
      </c>
      <c r="K150" t="s">
        <v>199</v>
      </c>
      <c r="L150" s="34">
        <f>PMT(Loans[[#This Row],[InterestRate]]/12,Loans[[#This Row],[LoanTenureMonths]],-Loans[[#This Row],[LoanAmount]])</f>
        <v>16955.554224349336</v>
      </c>
      <c r="M150" s="30">
        <f>EDATE(Loans[[#This Row],[LoanStartDate]],Loans[[#This Row],[LoanTenureMonths]])</f>
        <v>46150</v>
      </c>
      <c r="N150" s="33">
        <f>IF(Loans[[#This Row],[LoanAmount]]=0,0,Loans[[#This Row],[CollateralValue]]/Loans[[#This Row],[LoanAmount]])</f>
        <v>1.2</v>
      </c>
      <c r="O150" t="str">
        <f>IF(Loans[[#This Row],[CollateralCoverageRatio]]&lt;1,"Undersecured","Secured")</f>
        <v>Secured</v>
      </c>
      <c r="P150" t="str">
        <f>_xlfn.XLOOKUP(Loans[[#This Row],[BranchCode]],BranchesTbl[BranchCode],BranchesTbl[BranchName])</f>
        <v>Kisumu</v>
      </c>
      <c r="Q150">
        <f>_xlfn.XLOOKUP(Loans[[#This Row],[CustomerID]],CustomerTbl[CustomerID],CustomerTbl[RiskScore])</f>
        <v>746</v>
      </c>
      <c r="R150" t="str">
        <f>IFERROR(INDEX(RiskTbl[Risk_Category],MATCH(Loans[[#This Row],[RiskScore]],RiskTbl[Score_Min],1)),"Unknown")</f>
        <v>Very Low Risk</v>
      </c>
      <c r="S150" t="str">
        <f>IF(OR(Loans[[#This Row],[LoanStatus]]="Default",Loans[[#This Row],[LoanStatus]]="Watchlist",Loans[[#This Row],[CollateralRisk]]="Undersecured",Loans[[#This Row],[RiskCategory]]="High Risk"),"High Risk Exposure","Normal")</f>
        <v>High Risk Exposure</v>
      </c>
      <c r="T150" t="str" cm="1">
        <f t="array" ref="T150">_xlfn.IFS(
Loans[[#This Row],[LoanStatus]]="Default","Critical",
OR(Loans[[#This Row],[LoanStatus]]="Watchlist",Loans[[#This Row],[CollateralRisk]]="Undersecured",Loans[[#This Row],[RiskCategory]]="High Risk"),"High",
TRUE,"Normal"
)</f>
        <v>High</v>
      </c>
    </row>
    <row r="151" spans="1:20" x14ac:dyDescent="0.35">
      <c r="A151" t="s">
        <v>467</v>
      </c>
      <c r="B151" t="s">
        <v>468</v>
      </c>
      <c r="C151" t="s">
        <v>187</v>
      </c>
      <c r="D151" t="s">
        <v>158</v>
      </c>
      <c r="E151" s="34">
        <v>500000</v>
      </c>
      <c r="F151" s="29">
        <v>0.15590000000000001</v>
      </c>
      <c r="G151" s="30">
        <v>44013</v>
      </c>
      <c r="H151">
        <v>24</v>
      </c>
      <c r="I151">
        <v>5</v>
      </c>
      <c r="J151" s="34">
        <v>745000</v>
      </c>
      <c r="K151" t="s">
        <v>171</v>
      </c>
      <c r="L151" s="34">
        <f>PMT(Loans[[#This Row],[InterestRate]]/12,Loans[[#This Row],[LoanTenureMonths]],-Loans[[#This Row],[LoanAmount]])</f>
        <v>24383.717518651818</v>
      </c>
      <c r="M151" s="30">
        <f>EDATE(Loans[[#This Row],[LoanStartDate]],Loans[[#This Row],[LoanTenureMonths]])</f>
        <v>44743</v>
      </c>
      <c r="N151" s="33">
        <f>IF(Loans[[#This Row],[LoanAmount]]=0,0,Loans[[#This Row],[CollateralValue]]/Loans[[#This Row],[LoanAmount]])</f>
        <v>1.49</v>
      </c>
      <c r="O151" t="str">
        <f>IF(Loans[[#This Row],[CollateralCoverageRatio]]&lt;1,"Undersecured","Secured")</f>
        <v>Secured</v>
      </c>
      <c r="P151" t="str">
        <f>_xlfn.XLOOKUP(Loans[[#This Row],[BranchCode]],BranchesTbl[BranchCode],BranchesTbl[BranchName])</f>
        <v>Eldoret</v>
      </c>
      <c r="Q151">
        <f>_xlfn.XLOOKUP(Loans[[#This Row],[CustomerID]],CustomerTbl[CustomerID],CustomerTbl[RiskScore])</f>
        <v>487</v>
      </c>
      <c r="R151" t="str">
        <f>IFERROR(INDEX(RiskTbl[Risk_Category],MATCH(Loans[[#This Row],[RiskScore]],RiskTbl[Score_Min],1)),"Unknown")</f>
        <v>High Risk</v>
      </c>
      <c r="S151" t="str">
        <f>IF(OR(Loans[[#This Row],[LoanStatus]]="Default",Loans[[#This Row],[LoanStatus]]="Watchlist",Loans[[#This Row],[CollateralRisk]]="Undersecured",Loans[[#This Row],[RiskCategory]]="High Risk"),"High Risk Exposure","Normal")</f>
        <v>High Risk Exposure</v>
      </c>
      <c r="T151" t="str" cm="1">
        <f t="array" ref="T151">_xlfn.IFS(
Loans[[#This Row],[LoanStatus]]="Default","Critical",
OR(Loans[[#This Row],[LoanStatus]]="Watchlist",Loans[[#This Row],[CollateralRisk]]="Undersecured",Loans[[#This Row],[RiskCategory]]="High Risk"),"High",
TRUE,"Normal"
)</f>
        <v>High</v>
      </c>
    </row>
    <row r="152" spans="1:20" x14ac:dyDescent="0.35">
      <c r="A152" t="s">
        <v>469</v>
      </c>
      <c r="B152" t="s">
        <v>470</v>
      </c>
      <c r="C152" t="s">
        <v>206</v>
      </c>
      <c r="D152" t="s">
        <v>157</v>
      </c>
      <c r="E152" s="34">
        <v>80000000</v>
      </c>
      <c r="F152" s="29">
        <v>0.11310000000000001</v>
      </c>
      <c r="G152" s="30">
        <v>45369</v>
      </c>
      <c r="H152">
        <v>36</v>
      </c>
      <c r="I152">
        <v>45</v>
      </c>
      <c r="J152" s="34">
        <v>112800000</v>
      </c>
      <c r="K152" t="s">
        <v>199</v>
      </c>
      <c r="L152" s="34">
        <f>PMT(Loans[[#This Row],[InterestRate]]/12,Loans[[#This Row],[LoanTenureMonths]],-Loans[[#This Row],[LoanAmount]])</f>
        <v>2630857.3557051541</v>
      </c>
      <c r="M152" s="30">
        <f>EDATE(Loans[[#This Row],[LoanStartDate]],Loans[[#This Row],[LoanTenureMonths]])</f>
        <v>46464</v>
      </c>
      <c r="N152" s="33">
        <f>IF(Loans[[#This Row],[LoanAmount]]=0,0,Loans[[#This Row],[CollateralValue]]/Loans[[#This Row],[LoanAmount]])</f>
        <v>1.41</v>
      </c>
      <c r="O152" t="str">
        <f>IF(Loans[[#This Row],[CollateralCoverageRatio]]&lt;1,"Undersecured","Secured")</f>
        <v>Secured</v>
      </c>
      <c r="P152" t="str">
        <f>_xlfn.XLOOKUP(Loans[[#This Row],[BranchCode]],BranchesTbl[BranchCode],BranchesTbl[BranchName])</f>
        <v>Nyahururu</v>
      </c>
      <c r="Q152">
        <f>_xlfn.XLOOKUP(Loans[[#This Row],[CustomerID]],CustomerTbl[CustomerID],CustomerTbl[RiskScore])</f>
        <v>660</v>
      </c>
      <c r="R152" t="str">
        <f>IFERROR(INDEX(RiskTbl[Risk_Category],MATCH(Loans[[#This Row],[RiskScore]],RiskTbl[Score_Min],1)),"Unknown")</f>
        <v>Medium Risk</v>
      </c>
      <c r="S152" t="str">
        <f>IF(OR(Loans[[#This Row],[LoanStatus]]="Default",Loans[[#This Row],[LoanStatus]]="Watchlist",Loans[[#This Row],[CollateralRisk]]="Undersecured",Loans[[#This Row],[RiskCategory]]="High Risk"),"High Risk Exposure","Normal")</f>
        <v>High Risk Exposure</v>
      </c>
      <c r="T152" t="str" cm="1">
        <f t="array" ref="T152">_xlfn.IFS(
Loans[[#This Row],[LoanStatus]]="Default","Critical",
OR(Loans[[#This Row],[LoanStatus]]="Watchlist",Loans[[#This Row],[CollateralRisk]]="Undersecured",Loans[[#This Row],[RiskCategory]]="High Risk"),"High",
TRUE,"Normal"
)</f>
        <v>High</v>
      </c>
    </row>
    <row r="153" spans="1:20" x14ac:dyDescent="0.35">
      <c r="A153" t="s">
        <v>471</v>
      </c>
      <c r="B153" t="s">
        <v>472</v>
      </c>
      <c r="C153" t="s">
        <v>270</v>
      </c>
      <c r="D153" t="s">
        <v>158</v>
      </c>
      <c r="E153" s="34">
        <v>6000000</v>
      </c>
      <c r="F153" s="29">
        <v>0.19309999999999999</v>
      </c>
      <c r="G153" s="30">
        <v>45576</v>
      </c>
      <c r="H153">
        <v>12</v>
      </c>
      <c r="I153">
        <v>0</v>
      </c>
      <c r="J153" s="34">
        <v>5820000</v>
      </c>
      <c r="K153" t="s">
        <v>171</v>
      </c>
      <c r="L153" s="34">
        <f>PMT(Loans[[#This Row],[InterestRate]]/12,Loans[[#This Row],[LoanTenureMonths]],-Loans[[#This Row],[LoanAmount]])</f>
        <v>553827.55403593055</v>
      </c>
      <c r="M153" s="30">
        <f>EDATE(Loans[[#This Row],[LoanStartDate]],Loans[[#This Row],[LoanTenureMonths]])</f>
        <v>45941</v>
      </c>
      <c r="N153" s="33">
        <f>IF(Loans[[#This Row],[LoanAmount]]=0,0,Loans[[#This Row],[CollateralValue]]/Loans[[#This Row],[LoanAmount]])</f>
        <v>0.97</v>
      </c>
      <c r="O153" t="str">
        <f>IF(Loans[[#This Row],[CollateralCoverageRatio]]&lt;1,"Undersecured","Secured")</f>
        <v>Undersecured</v>
      </c>
      <c r="P153" t="str">
        <f>_xlfn.XLOOKUP(Loans[[#This Row],[BranchCode]],BranchesTbl[BranchCode],BranchesTbl[BranchName])</f>
        <v>Nakuru</v>
      </c>
      <c r="Q153">
        <f>_xlfn.XLOOKUP(Loans[[#This Row],[CustomerID]],CustomerTbl[CustomerID],CustomerTbl[RiskScore])</f>
        <v>377</v>
      </c>
      <c r="R153" t="str">
        <f>IFERROR(INDEX(RiskTbl[Risk_Category],MATCH(Loans[[#This Row],[RiskScore]],RiskTbl[Score_Min],1)),"Unknown")</f>
        <v>High Risk</v>
      </c>
      <c r="S153" t="str">
        <f>IF(OR(Loans[[#This Row],[LoanStatus]]="Default",Loans[[#This Row],[LoanStatus]]="Watchlist",Loans[[#This Row],[CollateralRisk]]="Undersecured",Loans[[#This Row],[RiskCategory]]="High Risk"),"High Risk Exposure","Normal")</f>
        <v>High Risk Exposure</v>
      </c>
      <c r="T153" t="str" cm="1">
        <f t="array" ref="T153">_xlfn.IFS(
Loans[[#This Row],[LoanStatus]]="Default","Critical",
OR(Loans[[#This Row],[LoanStatus]]="Watchlist",Loans[[#This Row],[CollateralRisk]]="Undersecured",Loans[[#This Row],[RiskCategory]]="High Risk"),"High",
TRUE,"Normal"
)</f>
        <v>High</v>
      </c>
    </row>
    <row r="154" spans="1:20" x14ac:dyDescent="0.35">
      <c r="A154" t="s">
        <v>473</v>
      </c>
      <c r="B154" t="s">
        <v>474</v>
      </c>
      <c r="C154" t="s">
        <v>239</v>
      </c>
      <c r="D154" t="s">
        <v>155</v>
      </c>
      <c r="E154" s="34">
        <v>250000</v>
      </c>
      <c r="F154" s="29">
        <v>0.25869999999999999</v>
      </c>
      <c r="G154" s="30">
        <v>45112</v>
      </c>
      <c r="H154">
        <v>48</v>
      </c>
      <c r="I154">
        <v>20</v>
      </c>
      <c r="J154" s="34">
        <v>0</v>
      </c>
      <c r="K154" t="s">
        <v>171</v>
      </c>
      <c r="L154" s="34">
        <f>PMT(Loans[[#This Row],[InterestRate]]/12,Loans[[#This Row],[LoanTenureMonths]],-Loans[[#This Row],[LoanAmount]])</f>
        <v>8411.0522201068616</v>
      </c>
      <c r="M154" s="30">
        <f>EDATE(Loans[[#This Row],[LoanStartDate]],Loans[[#This Row],[LoanTenureMonths]])</f>
        <v>46573</v>
      </c>
      <c r="N154" s="33">
        <f>IF(Loans[[#This Row],[LoanAmount]]=0,0,Loans[[#This Row],[CollateralValue]]/Loans[[#This Row],[LoanAmount]])</f>
        <v>0</v>
      </c>
      <c r="O154" t="str">
        <f>IF(Loans[[#This Row],[CollateralCoverageRatio]]&lt;1,"Undersecured","Secured")</f>
        <v>Undersecured</v>
      </c>
      <c r="P154" t="str">
        <f>_xlfn.XLOOKUP(Loans[[#This Row],[BranchCode]],BranchesTbl[BranchCode],BranchesTbl[BranchName])</f>
        <v>Machakos</v>
      </c>
      <c r="Q154">
        <f>_xlfn.XLOOKUP(Loans[[#This Row],[CustomerID]],CustomerTbl[CustomerID],CustomerTbl[RiskScore])</f>
        <v>624</v>
      </c>
      <c r="R154" t="str">
        <f>IFERROR(INDEX(RiskTbl[Risk_Category],MATCH(Loans[[#This Row],[RiskScore]],RiskTbl[Score_Min],1)),"Unknown")</f>
        <v>Medium Risk</v>
      </c>
      <c r="S154" t="str">
        <f>IF(OR(Loans[[#This Row],[LoanStatus]]="Default",Loans[[#This Row],[LoanStatus]]="Watchlist",Loans[[#This Row],[CollateralRisk]]="Undersecured",Loans[[#This Row],[RiskCategory]]="High Risk"),"High Risk Exposure","Normal")</f>
        <v>High Risk Exposure</v>
      </c>
      <c r="T154" t="str" cm="1">
        <f t="array" ref="T154">_xlfn.IFS(
Loans[[#This Row],[LoanStatus]]="Default","Critical",
OR(Loans[[#This Row],[LoanStatus]]="Watchlist",Loans[[#This Row],[CollateralRisk]]="Undersecured",Loans[[#This Row],[RiskCategory]]="High Risk"),"High",
TRUE,"Normal"
)</f>
        <v>High</v>
      </c>
    </row>
    <row r="155" spans="1:20" x14ac:dyDescent="0.35">
      <c r="A155" t="s">
        <v>475</v>
      </c>
      <c r="B155" t="s">
        <v>476</v>
      </c>
      <c r="C155" t="s">
        <v>170</v>
      </c>
      <c r="D155" t="s">
        <v>155</v>
      </c>
      <c r="E155" s="34">
        <v>100000</v>
      </c>
      <c r="F155" s="29">
        <v>0.2422</v>
      </c>
      <c r="G155" s="30">
        <v>45896</v>
      </c>
      <c r="H155">
        <v>60</v>
      </c>
      <c r="I155">
        <v>45</v>
      </c>
      <c r="J155" s="34">
        <v>0</v>
      </c>
      <c r="K155" t="s">
        <v>199</v>
      </c>
      <c r="L155" s="34">
        <f>PMT(Loans[[#This Row],[InterestRate]]/12,Loans[[#This Row],[LoanTenureMonths]],-Loans[[#This Row],[LoanAmount]])</f>
        <v>2889.5804031945872</v>
      </c>
      <c r="M155" s="30">
        <f>EDATE(Loans[[#This Row],[LoanStartDate]],Loans[[#This Row],[LoanTenureMonths]])</f>
        <v>47722</v>
      </c>
      <c r="N155" s="33">
        <f>IF(Loans[[#This Row],[LoanAmount]]=0,0,Loans[[#This Row],[CollateralValue]]/Loans[[#This Row],[LoanAmount]])</f>
        <v>0</v>
      </c>
      <c r="O155" t="str">
        <f>IF(Loans[[#This Row],[CollateralCoverageRatio]]&lt;1,"Undersecured","Secured")</f>
        <v>Undersecured</v>
      </c>
      <c r="P155" t="str">
        <f>_xlfn.XLOOKUP(Loans[[#This Row],[BranchCode]],BranchesTbl[BranchCode],BranchesTbl[BranchName])</f>
        <v>Thika</v>
      </c>
      <c r="Q155">
        <f>_xlfn.XLOOKUP(Loans[[#This Row],[CustomerID]],CustomerTbl[CustomerID],CustomerTbl[RiskScore])</f>
        <v>641</v>
      </c>
      <c r="R155" t="str">
        <f>IFERROR(INDEX(RiskTbl[Risk_Category],MATCH(Loans[[#This Row],[RiskScore]],RiskTbl[Score_Min],1)),"Unknown")</f>
        <v>Medium Risk</v>
      </c>
      <c r="S155" t="str">
        <f>IF(OR(Loans[[#This Row],[LoanStatus]]="Default",Loans[[#This Row],[LoanStatus]]="Watchlist",Loans[[#This Row],[CollateralRisk]]="Undersecured",Loans[[#This Row],[RiskCategory]]="High Risk"),"High Risk Exposure","Normal")</f>
        <v>High Risk Exposure</v>
      </c>
      <c r="T155" t="str" cm="1">
        <f t="array" ref="T155">_xlfn.IFS(
Loans[[#This Row],[LoanStatus]]="Default","Critical",
OR(Loans[[#This Row],[LoanStatus]]="Watchlist",Loans[[#This Row],[CollateralRisk]]="Undersecured",Loans[[#This Row],[RiskCategory]]="High Risk"),"High",
TRUE,"Normal"
)</f>
        <v>High</v>
      </c>
    </row>
    <row r="156" spans="1:20" x14ac:dyDescent="0.35">
      <c r="A156" t="s">
        <v>477</v>
      </c>
      <c r="B156" t="s">
        <v>298</v>
      </c>
      <c r="C156" t="s">
        <v>193</v>
      </c>
      <c r="D156" t="s">
        <v>158</v>
      </c>
      <c r="E156" s="34">
        <v>500000</v>
      </c>
      <c r="F156" s="29">
        <v>0.15679999999999999</v>
      </c>
      <c r="G156" s="30">
        <v>44910</v>
      </c>
      <c r="H156">
        <v>72</v>
      </c>
      <c r="I156">
        <v>20</v>
      </c>
      <c r="J156" s="34">
        <v>285000</v>
      </c>
      <c r="K156" t="s">
        <v>171</v>
      </c>
      <c r="L156" s="34">
        <f>PMT(Loans[[#This Row],[InterestRate]]/12,Loans[[#This Row],[LoanTenureMonths]],-Loans[[#This Row],[LoanAmount]])</f>
        <v>10758.019739404905</v>
      </c>
      <c r="M156" s="30">
        <f>EDATE(Loans[[#This Row],[LoanStartDate]],Loans[[#This Row],[LoanTenureMonths]])</f>
        <v>47102</v>
      </c>
      <c r="N156" s="33">
        <f>IF(Loans[[#This Row],[LoanAmount]]=0,0,Loans[[#This Row],[CollateralValue]]/Loans[[#This Row],[LoanAmount]])</f>
        <v>0.56999999999999995</v>
      </c>
      <c r="O156" t="str">
        <f>IF(Loans[[#This Row],[CollateralCoverageRatio]]&lt;1,"Undersecured","Secured")</f>
        <v>Undersecured</v>
      </c>
      <c r="P156" t="str">
        <f>_xlfn.XLOOKUP(Loans[[#This Row],[BranchCode]],BranchesTbl[BranchCode],BranchesTbl[BranchName])</f>
        <v>Mombasa</v>
      </c>
      <c r="Q156">
        <f>_xlfn.XLOOKUP(Loans[[#This Row],[CustomerID]],CustomerTbl[CustomerID],CustomerTbl[RiskScore])</f>
        <v>324</v>
      </c>
      <c r="R156" t="str">
        <f>IFERROR(INDEX(RiskTbl[Risk_Category],MATCH(Loans[[#This Row],[RiskScore]],RiskTbl[Score_Min],1)),"Unknown")</f>
        <v>High Risk</v>
      </c>
      <c r="S156" t="str">
        <f>IF(OR(Loans[[#This Row],[LoanStatus]]="Default",Loans[[#This Row],[LoanStatus]]="Watchlist",Loans[[#This Row],[CollateralRisk]]="Undersecured",Loans[[#This Row],[RiskCategory]]="High Risk"),"High Risk Exposure","Normal")</f>
        <v>High Risk Exposure</v>
      </c>
      <c r="T156" t="str" cm="1">
        <f t="array" ref="T156">_xlfn.IFS(
Loans[[#This Row],[LoanStatus]]="Default","Critical",
OR(Loans[[#This Row],[LoanStatus]]="Watchlist",Loans[[#This Row],[CollateralRisk]]="Undersecured",Loans[[#This Row],[RiskCategory]]="High Risk"),"High",
TRUE,"Normal"
)</f>
        <v>High</v>
      </c>
    </row>
    <row r="157" spans="1:20" x14ac:dyDescent="0.35">
      <c r="A157" t="s">
        <v>478</v>
      </c>
      <c r="B157" t="s">
        <v>479</v>
      </c>
      <c r="C157" t="s">
        <v>174</v>
      </c>
      <c r="D157" t="s">
        <v>156</v>
      </c>
      <c r="E157" s="34">
        <v>3000000</v>
      </c>
      <c r="F157" s="29">
        <v>0.22090000000000001</v>
      </c>
      <c r="G157" s="30">
        <v>44589</v>
      </c>
      <c r="H157">
        <v>60</v>
      </c>
      <c r="I157">
        <v>5</v>
      </c>
      <c r="J157" s="34">
        <v>1560000</v>
      </c>
      <c r="K157" t="s">
        <v>171</v>
      </c>
      <c r="L157" s="34">
        <f>PMT(Loans[[#This Row],[InterestRate]]/12,Loans[[#This Row],[LoanTenureMonths]],-Loans[[#This Row],[LoanAmount]])</f>
        <v>83010.32224984435</v>
      </c>
      <c r="M157" s="30">
        <f>EDATE(Loans[[#This Row],[LoanStartDate]],Loans[[#This Row],[LoanTenureMonths]])</f>
        <v>46415</v>
      </c>
      <c r="N157" s="33">
        <f>IF(Loans[[#This Row],[LoanAmount]]=0,0,Loans[[#This Row],[CollateralValue]]/Loans[[#This Row],[LoanAmount]])</f>
        <v>0.52</v>
      </c>
      <c r="O157" t="str">
        <f>IF(Loans[[#This Row],[CollateralCoverageRatio]]&lt;1,"Undersecured","Secured")</f>
        <v>Undersecured</v>
      </c>
      <c r="P157" t="str">
        <f>_xlfn.XLOOKUP(Loans[[#This Row],[BranchCode]],BranchesTbl[BranchCode],BranchesTbl[BranchName])</f>
        <v>Westlands</v>
      </c>
      <c r="Q157">
        <f>_xlfn.XLOOKUP(Loans[[#This Row],[CustomerID]],CustomerTbl[CustomerID],CustomerTbl[RiskScore])</f>
        <v>552</v>
      </c>
      <c r="R157" t="str">
        <f>IFERROR(INDEX(RiskTbl[Risk_Category],MATCH(Loans[[#This Row],[RiskScore]],RiskTbl[Score_Min],1)),"Unknown")</f>
        <v>High Risk</v>
      </c>
      <c r="S157" t="str">
        <f>IF(OR(Loans[[#This Row],[LoanStatus]]="Default",Loans[[#This Row],[LoanStatus]]="Watchlist",Loans[[#This Row],[CollateralRisk]]="Undersecured",Loans[[#This Row],[RiskCategory]]="High Risk"),"High Risk Exposure","Normal")</f>
        <v>High Risk Exposure</v>
      </c>
      <c r="T157" t="str" cm="1">
        <f t="array" ref="T157">_xlfn.IFS(
Loans[[#This Row],[LoanStatus]]="Default","Critical",
OR(Loans[[#This Row],[LoanStatus]]="Watchlist",Loans[[#This Row],[CollateralRisk]]="Undersecured",Loans[[#This Row],[RiskCategory]]="High Risk"),"High",
TRUE,"Normal"
)</f>
        <v>High</v>
      </c>
    </row>
    <row r="158" spans="1:20" x14ac:dyDescent="0.35">
      <c r="A158" t="s">
        <v>480</v>
      </c>
      <c r="B158" t="s">
        <v>481</v>
      </c>
      <c r="C158" t="s">
        <v>187</v>
      </c>
      <c r="D158" t="s">
        <v>156</v>
      </c>
      <c r="E158" s="34">
        <v>3000000</v>
      </c>
      <c r="F158" s="29">
        <v>0.1804</v>
      </c>
      <c r="G158" s="30">
        <v>44733</v>
      </c>
      <c r="H158">
        <v>12</v>
      </c>
      <c r="I158">
        <v>0</v>
      </c>
      <c r="J158" s="34">
        <v>2370000</v>
      </c>
      <c r="K158" t="s">
        <v>171</v>
      </c>
      <c r="L158" s="34">
        <f>PMT(Loans[[#This Row],[InterestRate]]/12,Loans[[#This Row],[LoanTenureMonths]],-Loans[[#This Row],[LoanAmount]])</f>
        <v>275097.09155677451</v>
      </c>
      <c r="M158" s="30">
        <f>EDATE(Loans[[#This Row],[LoanStartDate]],Loans[[#This Row],[LoanTenureMonths]])</f>
        <v>45098</v>
      </c>
      <c r="N158" s="33">
        <f>IF(Loans[[#This Row],[LoanAmount]]=0,0,Loans[[#This Row],[CollateralValue]]/Loans[[#This Row],[LoanAmount]])</f>
        <v>0.79</v>
      </c>
      <c r="O158" t="str">
        <f>IF(Loans[[#This Row],[CollateralCoverageRatio]]&lt;1,"Undersecured","Secured")</f>
        <v>Undersecured</v>
      </c>
      <c r="P158" t="str">
        <f>_xlfn.XLOOKUP(Loans[[#This Row],[BranchCode]],BranchesTbl[BranchCode],BranchesTbl[BranchName])</f>
        <v>Eldoret</v>
      </c>
      <c r="Q158">
        <f>_xlfn.XLOOKUP(Loans[[#This Row],[CustomerID]],CustomerTbl[CustomerID],CustomerTbl[RiskScore])</f>
        <v>383</v>
      </c>
      <c r="R158" t="str">
        <f>IFERROR(INDEX(RiskTbl[Risk_Category],MATCH(Loans[[#This Row],[RiskScore]],RiskTbl[Score_Min],1)),"Unknown")</f>
        <v>High Risk</v>
      </c>
      <c r="S158" t="str">
        <f>IF(OR(Loans[[#This Row],[LoanStatus]]="Default",Loans[[#This Row],[LoanStatus]]="Watchlist",Loans[[#This Row],[CollateralRisk]]="Undersecured",Loans[[#This Row],[RiskCategory]]="High Risk"),"High Risk Exposure","Normal")</f>
        <v>High Risk Exposure</v>
      </c>
      <c r="T158" t="str" cm="1">
        <f t="array" ref="T158">_xlfn.IFS(
Loans[[#This Row],[LoanStatus]]="Default","Critical",
OR(Loans[[#This Row],[LoanStatus]]="Watchlist",Loans[[#This Row],[CollateralRisk]]="Undersecured",Loans[[#This Row],[RiskCategory]]="High Risk"),"High",
TRUE,"Normal"
)</f>
        <v>High</v>
      </c>
    </row>
    <row r="159" spans="1:20" x14ac:dyDescent="0.35">
      <c r="A159" t="s">
        <v>482</v>
      </c>
      <c r="B159" t="s">
        <v>483</v>
      </c>
      <c r="C159" t="s">
        <v>239</v>
      </c>
      <c r="D159" t="s">
        <v>157</v>
      </c>
      <c r="E159" s="34">
        <v>80000000</v>
      </c>
      <c r="F159" s="29">
        <v>0.13830000000000001</v>
      </c>
      <c r="G159" s="30">
        <v>44070</v>
      </c>
      <c r="H159">
        <v>48</v>
      </c>
      <c r="I159">
        <v>120</v>
      </c>
      <c r="J159" s="34">
        <v>72800000</v>
      </c>
      <c r="K159" t="s">
        <v>178</v>
      </c>
      <c r="L159" s="34">
        <f>PMT(Loans[[#This Row],[InterestRate]]/12,Loans[[#This Row],[LoanTenureMonths]],-Loans[[#This Row],[LoanAmount]])</f>
        <v>2179302.0548370392</v>
      </c>
      <c r="M159" s="30">
        <f>EDATE(Loans[[#This Row],[LoanStartDate]],Loans[[#This Row],[LoanTenureMonths]])</f>
        <v>45531</v>
      </c>
      <c r="N159" s="33">
        <f>IF(Loans[[#This Row],[LoanAmount]]=0,0,Loans[[#This Row],[CollateralValue]]/Loans[[#This Row],[LoanAmount]])</f>
        <v>0.91</v>
      </c>
      <c r="O159" t="str">
        <f>IF(Loans[[#This Row],[CollateralCoverageRatio]]&lt;1,"Undersecured","Secured")</f>
        <v>Undersecured</v>
      </c>
      <c r="P159" t="str">
        <f>_xlfn.XLOOKUP(Loans[[#This Row],[BranchCode]],BranchesTbl[BranchCode],BranchesTbl[BranchName])</f>
        <v>Machakos</v>
      </c>
      <c r="Q159">
        <f>_xlfn.XLOOKUP(Loans[[#This Row],[CustomerID]],CustomerTbl[CustomerID],CustomerTbl[RiskScore])</f>
        <v>787</v>
      </c>
      <c r="R159" t="str">
        <f>IFERROR(INDEX(RiskTbl[Risk_Category],MATCH(Loans[[#This Row],[RiskScore]],RiskTbl[Score_Min],1)),"Unknown")</f>
        <v>Very Low Risk</v>
      </c>
      <c r="S159" t="str">
        <f>IF(OR(Loans[[#This Row],[LoanStatus]]="Default",Loans[[#This Row],[LoanStatus]]="Watchlist",Loans[[#This Row],[CollateralRisk]]="Undersecured",Loans[[#This Row],[RiskCategory]]="High Risk"),"High Risk Exposure","Normal")</f>
        <v>High Risk Exposure</v>
      </c>
      <c r="T159" t="str" cm="1">
        <f t="array" ref="T159">_xlfn.IFS(
Loans[[#This Row],[LoanStatus]]="Default","Critical",
OR(Loans[[#This Row],[LoanStatus]]="Watchlist",Loans[[#This Row],[CollateralRisk]]="Undersecured",Loans[[#This Row],[RiskCategory]]="High Risk"),"High",
TRUE,"Normal"
)</f>
        <v>Critical</v>
      </c>
    </row>
    <row r="160" spans="1:20" x14ac:dyDescent="0.35">
      <c r="A160" t="s">
        <v>484</v>
      </c>
      <c r="B160" t="s">
        <v>367</v>
      </c>
      <c r="C160" t="s">
        <v>170</v>
      </c>
      <c r="D160" t="s">
        <v>158</v>
      </c>
      <c r="E160" s="34">
        <v>6000000</v>
      </c>
      <c r="F160" s="29">
        <v>0.1583</v>
      </c>
      <c r="G160" s="30">
        <v>45953</v>
      </c>
      <c r="H160">
        <v>12</v>
      </c>
      <c r="I160">
        <v>90</v>
      </c>
      <c r="J160" s="34">
        <v>7920000</v>
      </c>
      <c r="K160" t="s">
        <v>199</v>
      </c>
      <c r="L160" s="34">
        <f>PMT(Loans[[#This Row],[InterestRate]]/12,Loans[[#This Row],[LoanTenureMonths]],-Loans[[#This Row],[LoanAmount]])</f>
        <v>543902.57947984245</v>
      </c>
      <c r="M160" s="30">
        <f>EDATE(Loans[[#This Row],[LoanStartDate]],Loans[[#This Row],[LoanTenureMonths]])</f>
        <v>46318</v>
      </c>
      <c r="N160" s="33">
        <f>IF(Loans[[#This Row],[LoanAmount]]=0,0,Loans[[#This Row],[CollateralValue]]/Loans[[#This Row],[LoanAmount]])</f>
        <v>1.32</v>
      </c>
      <c r="O160" t="str">
        <f>IF(Loans[[#This Row],[CollateralCoverageRatio]]&lt;1,"Undersecured","Secured")</f>
        <v>Secured</v>
      </c>
      <c r="P160" t="str">
        <f>_xlfn.XLOOKUP(Loans[[#This Row],[BranchCode]],BranchesTbl[BranchCode],BranchesTbl[BranchName])</f>
        <v>Thika</v>
      </c>
      <c r="Q160">
        <f>_xlfn.XLOOKUP(Loans[[#This Row],[CustomerID]],CustomerTbl[CustomerID],CustomerTbl[RiskScore])</f>
        <v>313</v>
      </c>
      <c r="R160" t="str">
        <f>IFERROR(INDEX(RiskTbl[Risk_Category],MATCH(Loans[[#This Row],[RiskScore]],RiskTbl[Score_Min],1)),"Unknown")</f>
        <v>High Risk</v>
      </c>
      <c r="S160" t="str">
        <f>IF(OR(Loans[[#This Row],[LoanStatus]]="Default",Loans[[#This Row],[LoanStatus]]="Watchlist",Loans[[#This Row],[CollateralRisk]]="Undersecured",Loans[[#This Row],[RiskCategory]]="High Risk"),"High Risk Exposure","Normal")</f>
        <v>High Risk Exposure</v>
      </c>
      <c r="T160" t="str" cm="1">
        <f t="array" ref="T160">_xlfn.IFS(
Loans[[#This Row],[LoanStatus]]="Default","Critical",
OR(Loans[[#This Row],[LoanStatus]]="Watchlist",Loans[[#This Row],[CollateralRisk]]="Undersecured",Loans[[#This Row],[RiskCategory]]="High Risk"),"High",
TRUE,"Normal"
)</f>
        <v>High</v>
      </c>
    </row>
    <row r="161" spans="1:20" x14ac:dyDescent="0.35">
      <c r="A161" t="s">
        <v>485</v>
      </c>
      <c r="B161" t="s">
        <v>486</v>
      </c>
      <c r="C161" t="s">
        <v>193</v>
      </c>
      <c r="D161" t="s">
        <v>158</v>
      </c>
      <c r="E161" s="34">
        <v>3000000</v>
      </c>
      <c r="F161" s="29">
        <v>0.14080000000000001</v>
      </c>
      <c r="G161" s="30">
        <v>45276</v>
      </c>
      <c r="H161">
        <v>60</v>
      </c>
      <c r="I161">
        <v>10</v>
      </c>
      <c r="J161" s="34">
        <v>2100000</v>
      </c>
      <c r="K161" t="s">
        <v>171</v>
      </c>
      <c r="L161" s="34">
        <f>PMT(Loans[[#This Row],[InterestRate]]/12,Loans[[#This Row],[LoanTenureMonths]],-Loans[[#This Row],[LoanAmount]])</f>
        <v>69929.239889424047</v>
      </c>
      <c r="M161" s="30">
        <f>EDATE(Loans[[#This Row],[LoanStartDate]],Loans[[#This Row],[LoanTenureMonths]])</f>
        <v>47103</v>
      </c>
      <c r="N161" s="33">
        <f>IF(Loans[[#This Row],[LoanAmount]]=0,0,Loans[[#This Row],[CollateralValue]]/Loans[[#This Row],[LoanAmount]])</f>
        <v>0.7</v>
      </c>
      <c r="O161" t="str">
        <f>IF(Loans[[#This Row],[CollateralCoverageRatio]]&lt;1,"Undersecured","Secured")</f>
        <v>Undersecured</v>
      </c>
      <c r="P161" t="str">
        <f>_xlfn.XLOOKUP(Loans[[#This Row],[BranchCode]],BranchesTbl[BranchCode],BranchesTbl[BranchName])</f>
        <v>Mombasa</v>
      </c>
      <c r="Q161">
        <f>_xlfn.XLOOKUP(Loans[[#This Row],[CustomerID]],CustomerTbl[CustomerID],CustomerTbl[RiskScore])</f>
        <v>799</v>
      </c>
      <c r="R161" t="str">
        <f>IFERROR(INDEX(RiskTbl[Risk_Category],MATCH(Loans[[#This Row],[RiskScore]],RiskTbl[Score_Min],1)),"Unknown")</f>
        <v>Very Low Risk</v>
      </c>
      <c r="S161" t="str">
        <f>IF(OR(Loans[[#This Row],[LoanStatus]]="Default",Loans[[#This Row],[LoanStatus]]="Watchlist",Loans[[#This Row],[CollateralRisk]]="Undersecured",Loans[[#This Row],[RiskCategory]]="High Risk"),"High Risk Exposure","Normal")</f>
        <v>High Risk Exposure</v>
      </c>
      <c r="T161" t="str" cm="1">
        <f t="array" ref="T161">_xlfn.IFS(
Loans[[#This Row],[LoanStatus]]="Default","Critical",
OR(Loans[[#This Row],[LoanStatus]]="Watchlist",Loans[[#This Row],[CollateralRisk]]="Undersecured",Loans[[#This Row],[RiskCategory]]="High Risk"),"High",
TRUE,"Normal"
)</f>
        <v>High</v>
      </c>
    </row>
    <row r="162" spans="1:20" x14ac:dyDescent="0.35">
      <c r="A162" t="s">
        <v>487</v>
      </c>
      <c r="B162" t="s">
        <v>488</v>
      </c>
      <c r="C162" t="s">
        <v>170</v>
      </c>
      <c r="D162" t="s">
        <v>157</v>
      </c>
      <c r="E162" s="34">
        <v>6000000</v>
      </c>
      <c r="F162" s="29">
        <v>0.1172</v>
      </c>
      <c r="G162" s="30">
        <v>45968</v>
      </c>
      <c r="H162">
        <v>48</v>
      </c>
      <c r="I162">
        <v>20</v>
      </c>
      <c r="J162" s="34">
        <v>3120000</v>
      </c>
      <c r="K162" t="s">
        <v>171</v>
      </c>
      <c r="L162" s="34">
        <f>PMT(Loans[[#This Row],[InterestRate]]/12,Loans[[#This Row],[LoanTenureMonths]],-Loans[[#This Row],[LoanAmount]])</f>
        <v>157179.40592182815</v>
      </c>
      <c r="M162" s="30">
        <f>EDATE(Loans[[#This Row],[LoanStartDate]],Loans[[#This Row],[LoanTenureMonths]])</f>
        <v>47429</v>
      </c>
      <c r="N162" s="33">
        <f>IF(Loans[[#This Row],[LoanAmount]]=0,0,Loans[[#This Row],[CollateralValue]]/Loans[[#This Row],[LoanAmount]])</f>
        <v>0.52</v>
      </c>
      <c r="O162" t="str">
        <f>IF(Loans[[#This Row],[CollateralCoverageRatio]]&lt;1,"Undersecured","Secured")</f>
        <v>Undersecured</v>
      </c>
      <c r="P162" t="str">
        <f>_xlfn.XLOOKUP(Loans[[#This Row],[BranchCode]],BranchesTbl[BranchCode],BranchesTbl[BranchName])</f>
        <v>Thika</v>
      </c>
      <c r="Q162">
        <f>_xlfn.XLOOKUP(Loans[[#This Row],[CustomerID]],CustomerTbl[CustomerID],CustomerTbl[RiskScore])</f>
        <v>331</v>
      </c>
      <c r="R162" t="str">
        <f>IFERROR(INDEX(RiskTbl[Risk_Category],MATCH(Loans[[#This Row],[RiskScore]],RiskTbl[Score_Min],1)),"Unknown")</f>
        <v>High Risk</v>
      </c>
      <c r="S162" t="str">
        <f>IF(OR(Loans[[#This Row],[LoanStatus]]="Default",Loans[[#This Row],[LoanStatus]]="Watchlist",Loans[[#This Row],[CollateralRisk]]="Undersecured",Loans[[#This Row],[RiskCategory]]="High Risk"),"High Risk Exposure","Normal")</f>
        <v>High Risk Exposure</v>
      </c>
      <c r="T162" t="str" cm="1">
        <f t="array" ref="T162">_xlfn.IFS(
Loans[[#This Row],[LoanStatus]]="Default","Critical",
OR(Loans[[#This Row],[LoanStatus]]="Watchlist",Loans[[#This Row],[CollateralRisk]]="Undersecured",Loans[[#This Row],[RiskCategory]]="High Risk"),"High",
TRUE,"Normal"
)</f>
        <v>High</v>
      </c>
    </row>
    <row r="163" spans="1:20" x14ac:dyDescent="0.35">
      <c r="A163" t="s">
        <v>489</v>
      </c>
      <c r="B163" t="s">
        <v>490</v>
      </c>
      <c r="C163" t="s">
        <v>177</v>
      </c>
      <c r="D163" t="s">
        <v>155</v>
      </c>
      <c r="E163" s="34">
        <v>100000</v>
      </c>
      <c r="F163" s="29">
        <v>0.193</v>
      </c>
      <c r="G163" s="30">
        <v>44089</v>
      </c>
      <c r="H163">
        <v>72</v>
      </c>
      <c r="I163">
        <v>90</v>
      </c>
      <c r="J163" s="34">
        <v>0</v>
      </c>
      <c r="K163" t="s">
        <v>199</v>
      </c>
      <c r="L163" s="34">
        <f>PMT(Loans[[#This Row],[InterestRate]]/12,Loans[[#This Row],[LoanTenureMonths]],-Loans[[#This Row],[LoanAmount]])</f>
        <v>2354.8805595119125</v>
      </c>
      <c r="M163" s="30">
        <f>EDATE(Loans[[#This Row],[LoanStartDate]],Loans[[#This Row],[LoanTenureMonths]])</f>
        <v>46280</v>
      </c>
      <c r="N163" s="33">
        <f>IF(Loans[[#This Row],[LoanAmount]]=0,0,Loans[[#This Row],[CollateralValue]]/Loans[[#This Row],[LoanAmount]])</f>
        <v>0</v>
      </c>
      <c r="O163" t="str">
        <f>IF(Loans[[#This Row],[CollateralCoverageRatio]]&lt;1,"Undersecured","Secured")</f>
        <v>Undersecured</v>
      </c>
      <c r="P163" t="str">
        <f>_xlfn.XLOOKUP(Loans[[#This Row],[BranchCode]],BranchesTbl[BranchCode],BranchesTbl[BranchName])</f>
        <v>Naivasha</v>
      </c>
      <c r="Q163">
        <f>_xlfn.XLOOKUP(Loans[[#This Row],[CustomerID]],CustomerTbl[CustomerID],CustomerTbl[RiskScore])</f>
        <v>510</v>
      </c>
      <c r="R163" t="str">
        <f>IFERROR(INDEX(RiskTbl[Risk_Category],MATCH(Loans[[#This Row],[RiskScore]],RiskTbl[Score_Min],1)),"Unknown")</f>
        <v>High Risk</v>
      </c>
      <c r="S163" t="str">
        <f>IF(OR(Loans[[#This Row],[LoanStatus]]="Default",Loans[[#This Row],[LoanStatus]]="Watchlist",Loans[[#This Row],[CollateralRisk]]="Undersecured",Loans[[#This Row],[RiskCategory]]="High Risk"),"High Risk Exposure","Normal")</f>
        <v>High Risk Exposure</v>
      </c>
      <c r="T163" t="str" cm="1">
        <f t="array" ref="T163">_xlfn.IFS(
Loans[[#This Row],[LoanStatus]]="Default","Critical",
OR(Loans[[#This Row],[LoanStatus]]="Watchlist",Loans[[#This Row],[CollateralRisk]]="Undersecured",Loans[[#This Row],[RiskCategory]]="High Risk"),"High",
TRUE,"Normal"
)</f>
        <v>High</v>
      </c>
    </row>
    <row r="164" spans="1:20" x14ac:dyDescent="0.35">
      <c r="A164" t="s">
        <v>491</v>
      </c>
      <c r="B164" t="s">
        <v>492</v>
      </c>
      <c r="C164" t="s">
        <v>193</v>
      </c>
      <c r="D164" t="s">
        <v>155</v>
      </c>
      <c r="E164" s="34">
        <v>500000</v>
      </c>
      <c r="F164" s="29">
        <v>0.23719999999999999</v>
      </c>
      <c r="G164" s="30">
        <v>45498</v>
      </c>
      <c r="H164">
        <v>60</v>
      </c>
      <c r="I164">
        <v>45</v>
      </c>
      <c r="J164" s="34">
        <v>0</v>
      </c>
      <c r="K164" t="s">
        <v>199</v>
      </c>
      <c r="L164" s="34">
        <f>PMT(Loans[[#This Row],[InterestRate]]/12,Loans[[#This Row],[LoanTenureMonths]],-Loans[[#This Row],[LoanAmount]])</f>
        <v>14302.836581691899</v>
      </c>
      <c r="M164" s="30">
        <f>EDATE(Loans[[#This Row],[LoanStartDate]],Loans[[#This Row],[LoanTenureMonths]])</f>
        <v>47324</v>
      </c>
      <c r="N164" s="33">
        <f>IF(Loans[[#This Row],[LoanAmount]]=0,0,Loans[[#This Row],[CollateralValue]]/Loans[[#This Row],[LoanAmount]])</f>
        <v>0</v>
      </c>
      <c r="O164" t="str">
        <f>IF(Loans[[#This Row],[CollateralCoverageRatio]]&lt;1,"Undersecured","Secured")</f>
        <v>Undersecured</v>
      </c>
      <c r="P164" t="str">
        <f>_xlfn.XLOOKUP(Loans[[#This Row],[BranchCode]],BranchesTbl[BranchCode],BranchesTbl[BranchName])</f>
        <v>Mombasa</v>
      </c>
      <c r="Q164">
        <f>_xlfn.XLOOKUP(Loans[[#This Row],[CustomerID]],CustomerTbl[CustomerID],CustomerTbl[RiskScore])</f>
        <v>778</v>
      </c>
      <c r="R164" t="str">
        <f>IFERROR(INDEX(RiskTbl[Risk_Category],MATCH(Loans[[#This Row],[RiskScore]],RiskTbl[Score_Min],1)),"Unknown")</f>
        <v>Very Low Risk</v>
      </c>
      <c r="S164" t="str">
        <f>IF(OR(Loans[[#This Row],[LoanStatus]]="Default",Loans[[#This Row],[LoanStatus]]="Watchlist",Loans[[#This Row],[CollateralRisk]]="Undersecured",Loans[[#This Row],[RiskCategory]]="High Risk"),"High Risk Exposure","Normal")</f>
        <v>High Risk Exposure</v>
      </c>
      <c r="T164" t="str" cm="1">
        <f t="array" ref="T164">_xlfn.IFS(
Loans[[#This Row],[LoanStatus]]="Default","Critical",
OR(Loans[[#This Row],[LoanStatus]]="Watchlist",Loans[[#This Row],[CollateralRisk]]="Undersecured",Loans[[#This Row],[RiskCategory]]="High Risk"),"High",
TRUE,"Normal"
)</f>
        <v>High</v>
      </c>
    </row>
    <row r="165" spans="1:20" x14ac:dyDescent="0.35">
      <c r="A165" t="s">
        <v>493</v>
      </c>
      <c r="B165" t="s">
        <v>337</v>
      </c>
      <c r="C165" t="s">
        <v>239</v>
      </c>
      <c r="D165" t="s">
        <v>155</v>
      </c>
      <c r="E165" s="34">
        <v>250000</v>
      </c>
      <c r="F165" s="29">
        <v>0.17510000000000001</v>
      </c>
      <c r="G165" s="30">
        <v>44123</v>
      </c>
      <c r="H165">
        <v>36</v>
      </c>
      <c r="I165">
        <v>0</v>
      </c>
      <c r="J165" s="34">
        <v>0</v>
      </c>
      <c r="K165" t="s">
        <v>171</v>
      </c>
      <c r="L165" s="34">
        <f>PMT(Loans[[#This Row],[InterestRate]]/12,Loans[[#This Row],[LoanTenureMonths]],-Loans[[#This Row],[LoanAmount]])</f>
        <v>8976.7656944987466</v>
      </c>
      <c r="M165" s="30">
        <f>EDATE(Loans[[#This Row],[LoanStartDate]],Loans[[#This Row],[LoanTenureMonths]])</f>
        <v>45218</v>
      </c>
      <c r="N165" s="33">
        <f>IF(Loans[[#This Row],[LoanAmount]]=0,0,Loans[[#This Row],[CollateralValue]]/Loans[[#This Row],[LoanAmount]])</f>
        <v>0</v>
      </c>
      <c r="O165" t="str">
        <f>IF(Loans[[#This Row],[CollateralCoverageRatio]]&lt;1,"Undersecured","Secured")</f>
        <v>Undersecured</v>
      </c>
      <c r="P165" t="str">
        <f>_xlfn.XLOOKUP(Loans[[#This Row],[BranchCode]],BranchesTbl[BranchCode],BranchesTbl[BranchName])</f>
        <v>Machakos</v>
      </c>
      <c r="Q165">
        <f>_xlfn.XLOOKUP(Loans[[#This Row],[CustomerID]],CustomerTbl[CustomerID],CustomerTbl[RiskScore])</f>
        <v>402</v>
      </c>
      <c r="R165" t="str">
        <f>IFERROR(INDEX(RiskTbl[Risk_Category],MATCH(Loans[[#This Row],[RiskScore]],RiskTbl[Score_Min],1)),"Unknown")</f>
        <v>High Risk</v>
      </c>
      <c r="S165" t="str">
        <f>IF(OR(Loans[[#This Row],[LoanStatus]]="Default",Loans[[#This Row],[LoanStatus]]="Watchlist",Loans[[#This Row],[CollateralRisk]]="Undersecured",Loans[[#This Row],[RiskCategory]]="High Risk"),"High Risk Exposure","Normal")</f>
        <v>High Risk Exposure</v>
      </c>
      <c r="T165" t="str" cm="1">
        <f t="array" ref="T165">_xlfn.IFS(
Loans[[#This Row],[LoanStatus]]="Default","Critical",
OR(Loans[[#This Row],[LoanStatus]]="Watchlist",Loans[[#This Row],[CollateralRisk]]="Undersecured",Loans[[#This Row],[RiskCategory]]="High Risk"),"High",
TRUE,"Normal"
)</f>
        <v>High</v>
      </c>
    </row>
    <row r="166" spans="1:20" x14ac:dyDescent="0.35">
      <c r="A166" t="s">
        <v>494</v>
      </c>
      <c r="B166" t="s">
        <v>349</v>
      </c>
      <c r="C166" t="s">
        <v>232</v>
      </c>
      <c r="D166" t="s">
        <v>156</v>
      </c>
      <c r="E166" s="34">
        <v>6000000</v>
      </c>
      <c r="F166" s="29">
        <v>0.14430000000000001</v>
      </c>
      <c r="G166" s="30">
        <v>45577</v>
      </c>
      <c r="H166">
        <v>12</v>
      </c>
      <c r="I166">
        <v>0</v>
      </c>
      <c r="J166" s="34">
        <v>3960000</v>
      </c>
      <c r="K166" t="s">
        <v>171</v>
      </c>
      <c r="L166" s="34">
        <f>PMT(Loans[[#This Row],[InterestRate]]/12,Loans[[#This Row],[LoanTenureMonths]],-Loans[[#This Row],[LoanAmount]])</f>
        <v>539937.39405951451</v>
      </c>
      <c r="M166" s="30">
        <f>EDATE(Loans[[#This Row],[LoanStartDate]],Loans[[#This Row],[LoanTenureMonths]])</f>
        <v>45942</v>
      </c>
      <c r="N166" s="33">
        <f>IF(Loans[[#This Row],[LoanAmount]]=0,0,Loans[[#This Row],[CollateralValue]]/Loans[[#This Row],[LoanAmount]])</f>
        <v>0.66</v>
      </c>
      <c r="O166" t="str">
        <f>IF(Loans[[#This Row],[CollateralCoverageRatio]]&lt;1,"Undersecured","Secured")</f>
        <v>Undersecured</v>
      </c>
      <c r="P166" t="str">
        <f>_xlfn.XLOOKUP(Loans[[#This Row],[BranchCode]],BranchesTbl[BranchCode],BranchesTbl[BranchName])</f>
        <v>Upper Hill</v>
      </c>
      <c r="Q166">
        <f>_xlfn.XLOOKUP(Loans[[#This Row],[CustomerID]],CustomerTbl[CustomerID],CustomerTbl[RiskScore])</f>
        <v>561</v>
      </c>
      <c r="R166" t="str">
        <f>IFERROR(INDEX(RiskTbl[Risk_Category],MATCH(Loans[[#This Row],[RiskScore]],RiskTbl[Score_Min],1)),"Unknown")</f>
        <v>High Risk</v>
      </c>
      <c r="S166" t="str">
        <f>IF(OR(Loans[[#This Row],[LoanStatus]]="Default",Loans[[#This Row],[LoanStatus]]="Watchlist",Loans[[#This Row],[CollateralRisk]]="Undersecured",Loans[[#This Row],[RiskCategory]]="High Risk"),"High Risk Exposure","Normal")</f>
        <v>High Risk Exposure</v>
      </c>
      <c r="T166" t="str" cm="1">
        <f t="array" ref="T166">_xlfn.IFS(
Loans[[#This Row],[LoanStatus]]="Default","Critical",
OR(Loans[[#This Row],[LoanStatus]]="Watchlist",Loans[[#This Row],[CollateralRisk]]="Undersecured",Loans[[#This Row],[RiskCategory]]="High Risk"),"High",
TRUE,"Normal"
)</f>
        <v>High</v>
      </c>
    </row>
    <row r="167" spans="1:20" x14ac:dyDescent="0.35">
      <c r="A167" t="s">
        <v>495</v>
      </c>
      <c r="B167" t="s">
        <v>496</v>
      </c>
      <c r="C167" t="s">
        <v>193</v>
      </c>
      <c r="D167" t="s">
        <v>157</v>
      </c>
      <c r="E167" s="34">
        <v>80000000</v>
      </c>
      <c r="F167" s="29">
        <v>9.8000000000000004E-2</v>
      </c>
      <c r="G167" s="30">
        <v>44841</v>
      </c>
      <c r="H167">
        <v>36</v>
      </c>
      <c r="I167">
        <v>5</v>
      </c>
      <c r="J167" s="34">
        <v>92800000</v>
      </c>
      <c r="K167" t="s">
        <v>171</v>
      </c>
      <c r="L167" s="34">
        <f>PMT(Loans[[#This Row],[InterestRate]]/12,Loans[[#This Row],[LoanTenureMonths]],-Loans[[#This Row],[LoanAmount]])</f>
        <v>2573869.5891144555</v>
      </c>
      <c r="M167" s="30">
        <f>EDATE(Loans[[#This Row],[LoanStartDate]],Loans[[#This Row],[LoanTenureMonths]])</f>
        <v>45937</v>
      </c>
      <c r="N167" s="33">
        <f>IF(Loans[[#This Row],[LoanAmount]]=0,0,Loans[[#This Row],[CollateralValue]]/Loans[[#This Row],[LoanAmount]])</f>
        <v>1.1599999999999999</v>
      </c>
      <c r="O167" t="str">
        <f>IF(Loans[[#This Row],[CollateralCoverageRatio]]&lt;1,"Undersecured","Secured")</f>
        <v>Secured</v>
      </c>
      <c r="P167" t="str">
        <f>_xlfn.XLOOKUP(Loans[[#This Row],[BranchCode]],BranchesTbl[BranchCode],BranchesTbl[BranchName])</f>
        <v>Mombasa</v>
      </c>
      <c r="Q167">
        <f>_xlfn.XLOOKUP(Loans[[#This Row],[CustomerID]],CustomerTbl[CustomerID],CustomerTbl[RiskScore])</f>
        <v>552</v>
      </c>
      <c r="R167" t="str">
        <f>IFERROR(INDEX(RiskTbl[Risk_Category],MATCH(Loans[[#This Row],[RiskScore]],RiskTbl[Score_Min],1)),"Unknown")</f>
        <v>High Risk</v>
      </c>
      <c r="S167" t="str">
        <f>IF(OR(Loans[[#This Row],[LoanStatus]]="Default",Loans[[#This Row],[LoanStatus]]="Watchlist",Loans[[#This Row],[CollateralRisk]]="Undersecured",Loans[[#This Row],[RiskCategory]]="High Risk"),"High Risk Exposure","Normal")</f>
        <v>High Risk Exposure</v>
      </c>
      <c r="T167" t="str" cm="1">
        <f t="array" ref="T167">_xlfn.IFS(
Loans[[#This Row],[LoanStatus]]="Default","Critical",
OR(Loans[[#This Row],[LoanStatus]]="Watchlist",Loans[[#This Row],[CollateralRisk]]="Undersecured",Loans[[#This Row],[RiskCategory]]="High Risk"),"High",
TRUE,"Normal"
)</f>
        <v>High</v>
      </c>
    </row>
    <row r="168" spans="1:20" x14ac:dyDescent="0.35">
      <c r="A168" t="s">
        <v>497</v>
      </c>
      <c r="B168" t="s">
        <v>498</v>
      </c>
      <c r="C168" t="s">
        <v>187</v>
      </c>
      <c r="D168" t="s">
        <v>157</v>
      </c>
      <c r="E168" s="34">
        <v>80000000</v>
      </c>
      <c r="F168" s="29">
        <v>0.1134</v>
      </c>
      <c r="G168" s="30">
        <v>44539</v>
      </c>
      <c r="H168">
        <v>24</v>
      </c>
      <c r="I168">
        <v>0</v>
      </c>
      <c r="J168" s="34">
        <v>64000000</v>
      </c>
      <c r="K168" t="s">
        <v>171</v>
      </c>
      <c r="L168" s="34">
        <f>PMT(Loans[[#This Row],[InterestRate]]/12,Loans[[#This Row],[LoanTenureMonths]],-Loans[[#This Row],[LoanAmount]])</f>
        <v>3741267.8901177999</v>
      </c>
      <c r="M168" s="30">
        <f>EDATE(Loans[[#This Row],[LoanStartDate]],Loans[[#This Row],[LoanTenureMonths]])</f>
        <v>45269</v>
      </c>
      <c r="N168" s="33">
        <f>IF(Loans[[#This Row],[LoanAmount]]=0,0,Loans[[#This Row],[CollateralValue]]/Loans[[#This Row],[LoanAmount]])</f>
        <v>0.8</v>
      </c>
      <c r="O168" t="str">
        <f>IF(Loans[[#This Row],[CollateralCoverageRatio]]&lt;1,"Undersecured","Secured")</f>
        <v>Undersecured</v>
      </c>
      <c r="P168" t="str">
        <f>_xlfn.XLOOKUP(Loans[[#This Row],[BranchCode]],BranchesTbl[BranchCode],BranchesTbl[BranchName])</f>
        <v>Eldoret</v>
      </c>
      <c r="Q168">
        <f>_xlfn.XLOOKUP(Loans[[#This Row],[CustomerID]],CustomerTbl[CustomerID],CustomerTbl[RiskScore])</f>
        <v>709</v>
      </c>
      <c r="R168" t="str">
        <f>IFERROR(INDEX(RiskTbl[Risk_Category],MATCH(Loans[[#This Row],[RiskScore]],RiskTbl[Score_Min],1)),"Unknown")</f>
        <v>Low Risk</v>
      </c>
      <c r="S168" t="str">
        <f>IF(OR(Loans[[#This Row],[LoanStatus]]="Default",Loans[[#This Row],[LoanStatus]]="Watchlist",Loans[[#This Row],[CollateralRisk]]="Undersecured",Loans[[#This Row],[RiskCategory]]="High Risk"),"High Risk Exposure","Normal")</f>
        <v>High Risk Exposure</v>
      </c>
      <c r="T168" t="str" cm="1">
        <f t="array" ref="T168">_xlfn.IFS(
Loans[[#This Row],[LoanStatus]]="Default","Critical",
OR(Loans[[#This Row],[LoanStatus]]="Watchlist",Loans[[#This Row],[CollateralRisk]]="Undersecured",Loans[[#This Row],[RiskCategory]]="High Risk"),"High",
TRUE,"Normal"
)</f>
        <v>High</v>
      </c>
    </row>
    <row r="169" spans="1:20" x14ac:dyDescent="0.35">
      <c r="A169" t="s">
        <v>499</v>
      </c>
      <c r="B169" t="s">
        <v>339</v>
      </c>
      <c r="C169" t="s">
        <v>184</v>
      </c>
      <c r="D169" t="s">
        <v>157</v>
      </c>
      <c r="E169" s="34">
        <v>6000000</v>
      </c>
      <c r="F169" s="29">
        <v>0.12909999999999999</v>
      </c>
      <c r="G169" s="30">
        <v>45276</v>
      </c>
      <c r="H169">
        <v>12</v>
      </c>
      <c r="I169">
        <v>90</v>
      </c>
      <c r="J169" s="34">
        <v>4020000</v>
      </c>
      <c r="K169" t="s">
        <v>199</v>
      </c>
      <c r="L169" s="34">
        <f>PMT(Loans[[#This Row],[InterestRate]]/12,Loans[[#This Row],[LoanTenureMonths]],-Loans[[#This Row],[LoanAmount]])</f>
        <v>535650.338201412</v>
      </c>
      <c r="M169" s="30">
        <f>EDATE(Loans[[#This Row],[LoanStartDate]],Loans[[#This Row],[LoanTenureMonths]])</f>
        <v>45642</v>
      </c>
      <c r="N169" s="33">
        <f>IF(Loans[[#This Row],[LoanAmount]]=0,0,Loans[[#This Row],[CollateralValue]]/Loans[[#This Row],[LoanAmount]])</f>
        <v>0.67</v>
      </c>
      <c r="O169" t="str">
        <f>IF(Loans[[#This Row],[CollateralCoverageRatio]]&lt;1,"Undersecured","Secured")</f>
        <v>Undersecured</v>
      </c>
      <c r="P169" t="str">
        <f>_xlfn.XLOOKUP(Loans[[#This Row],[BranchCode]],BranchesTbl[BranchCode],BranchesTbl[BranchName])</f>
        <v>Kisumu</v>
      </c>
      <c r="Q169">
        <f>_xlfn.XLOOKUP(Loans[[#This Row],[CustomerID]],CustomerTbl[CustomerID],CustomerTbl[RiskScore])</f>
        <v>385</v>
      </c>
      <c r="R169" t="str">
        <f>IFERROR(INDEX(RiskTbl[Risk_Category],MATCH(Loans[[#This Row],[RiskScore]],RiskTbl[Score_Min],1)),"Unknown")</f>
        <v>High Risk</v>
      </c>
      <c r="S169" t="str">
        <f>IF(OR(Loans[[#This Row],[LoanStatus]]="Default",Loans[[#This Row],[LoanStatus]]="Watchlist",Loans[[#This Row],[CollateralRisk]]="Undersecured",Loans[[#This Row],[RiskCategory]]="High Risk"),"High Risk Exposure","Normal")</f>
        <v>High Risk Exposure</v>
      </c>
      <c r="T169" t="str" cm="1">
        <f t="array" ref="T169">_xlfn.IFS(
Loans[[#This Row],[LoanStatus]]="Default","Critical",
OR(Loans[[#This Row],[LoanStatus]]="Watchlist",Loans[[#This Row],[CollateralRisk]]="Undersecured",Loans[[#This Row],[RiskCategory]]="High Risk"),"High",
TRUE,"Normal"
)</f>
        <v>High</v>
      </c>
    </row>
    <row r="170" spans="1:20" x14ac:dyDescent="0.35">
      <c r="A170" t="s">
        <v>500</v>
      </c>
      <c r="B170" t="s">
        <v>324</v>
      </c>
      <c r="C170" t="s">
        <v>187</v>
      </c>
      <c r="D170" t="s">
        <v>158</v>
      </c>
      <c r="E170" s="34">
        <v>1000000</v>
      </c>
      <c r="F170" s="29">
        <v>0.15659999999999999</v>
      </c>
      <c r="G170" s="30">
        <v>44191</v>
      </c>
      <c r="H170">
        <v>24</v>
      </c>
      <c r="I170">
        <v>20</v>
      </c>
      <c r="J170" s="34">
        <v>1030000</v>
      </c>
      <c r="K170" t="s">
        <v>171</v>
      </c>
      <c r="L170" s="34">
        <f>PMT(Loans[[#This Row],[InterestRate]]/12,Loans[[#This Row],[LoanTenureMonths]],-Loans[[#This Row],[LoanAmount]])</f>
        <v>48800.811002074639</v>
      </c>
      <c r="M170" s="30">
        <f>EDATE(Loans[[#This Row],[LoanStartDate]],Loans[[#This Row],[LoanTenureMonths]])</f>
        <v>44921</v>
      </c>
      <c r="N170" s="33">
        <f>IF(Loans[[#This Row],[LoanAmount]]=0,0,Loans[[#This Row],[CollateralValue]]/Loans[[#This Row],[LoanAmount]])</f>
        <v>1.03</v>
      </c>
      <c r="O170" t="str">
        <f>IF(Loans[[#This Row],[CollateralCoverageRatio]]&lt;1,"Undersecured","Secured")</f>
        <v>Secured</v>
      </c>
      <c r="P170" t="str">
        <f>_xlfn.XLOOKUP(Loans[[#This Row],[BranchCode]],BranchesTbl[BranchCode],BranchesTbl[BranchName])</f>
        <v>Eldoret</v>
      </c>
      <c r="Q170">
        <f>_xlfn.XLOOKUP(Loans[[#This Row],[CustomerID]],CustomerTbl[CustomerID],CustomerTbl[RiskScore])</f>
        <v>696</v>
      </c>
      <c r="R170" t="str">
        <f>IFERROR(INDEX(RiskTbl[Risk_Category],MATCH(Loans[[#This Row],[RiskScore]],RiskTbl[Score_Min],1)),"Unknown")</f>
        <v>Low Risk</v>
      </c>
      <c r="S170" t="str">
        <f>IF(OR(Loans[[#This Row],[LoanStatus]]="Default",Loans[[#This Row],[LoanStatus]]="Watchlist",Loans[[#This Row],[CollateralRisk]]="Undersecured",Loans[[#This Row],[RiskCategory]]="High Risk"),"High Risk Exposure","Normal")</f>
        <v>Normal</v>
      </c>
      <c r="T170" t="str" cm="1">
        <f t="array" ref="T170">_xlfn.IFS(
Loans[[#This Row],[LoanStatus]]="Default","Critical",
OR(Loans[[#This Row],[LoanStatus]]="Watchlist",Loans[[#This Row],[CollateralRisk]]="Undersecured",Loans[[#This Row],[RiskCategory]]="High Risk"),"High",
TRUE,"Normal"
)</f>
        <v>Normal</v>
      </c>
    </row>
    <row r="171" spans="1:20" x14ac:dyDescent="0.35">
      <c r="A171" t="s">
        <v>501</v>
      </c>
      <c r="B171" t="s">
        <v>349</v>
      </c>
      <c r="C171" t="s">
        <v>193</v>
      </c>
      <c r="D171" t="s">
        <v>157</v>
      </c>
      <c r="E171" s="34">
        <v>25000000</v>
      </c>
      <c r="F171" s="29">
        <v>0.1082</v>
      </c>
      <c r="G171" s="30">
        <v>44181</v>
      </c>
      <c r="H171">
        <v>12</v>
      </c>
      <c r="I171">
        <v>0</v>
      </c>
      <c r="J171" s="34">
        <v>35500000</v>
      </c>
      <c r="K171" t="s">
        <v>171</v>
      </c>
      <c r="L171" s="34">
        <f>PMT(Loans[[#This Row],[InterestRate]]/12,Loans[[#This Row],[LoanTenureMonths]],-Loans[[#This Row],[LoanAmount]])</f>
        <v>2207442.9836874218</v>
      </c>
      <c r="M171" s="30">
        <f>EDATE(Loans[[#This Row],[LoanStartDate]],Loans[[#This Row],[LoanTenureMonths]])</f>
        <v>44546</v>
      </c>
      <c r="N171" s="33">
        <f>IF(Loans[[#This Row],[LoanAmount]]=0,0,Loans[[#This Row],[CollateralValue]]/Loans[[#This Row],[LoanAmount]])</f>
        <v>1.42</v>
      </c>
      <c r="O171" t="str">
        <f>IF(Loans[[#This Row],[CollateralCoverageRatio]]&lt;1,"Undersecured","Secured")</f>
        <v>Secured</v>
      </c>
      <c r="P171" t="str">
        <f>_xlfn.XLOOKUP(Loans[[#This Row],[BranchCode]],BranchesTbl[BranchCode],BranchesTbl[BranchName])</f>
        <v>Mombasa</v>
      </c>
      <c r="Q171">
        <f>_xlfn.XLOOKUP(Loans[[#This Row],[CustomerID]],CustomerTbl[CustomerID],CustomerTbl[RiskScore])</f>
        <v>561</v>
      </c>
      <c r="R171" t="str">
        <f>IFERROR(INDEX(RiskTbl[Risk_Category],MATCH(Loans[[#This Row],[RiskScore]],RiskTbl[Score_Min],1)),"Unknown")</f>
        <v>High Risk</v>
      </c>
      <c r="S171" t="str">
        <f>IF(OR(Loans[[#This Row],[LoanStatus]]="Default",Loans[[#This Row],[LoanStatus]]="Watchlist",Loans[[#This Row],[CollateralRisk]]="Undersecured",Loans[[#This Row],[RiskCategory]]="High Risk"),"High Risk Exposure","Normal")</f>
        <v>High Risk Exposure</v>
      </c>
      <c r="T171" t="str" cm="1">
        <f t="array" ref="T171">_xlfn.IFS(
Loans[[#This Row],[LoanStatus]]="Default","Critical",
OR(Loans[[#This Row],[LoanStatus]]="Watchlist",Loans[[#This Row],[CollateralRisk]]="Undersecured",Loans[[#This Row],[RiskCategory]]="High Risk"),"High",
TRUE,"Normal"
)</f>
        <v>High</v>
      </c>
    </row>
    <row r="172" spans="1:20" x14ac:dyDescent="0.35">
      <c r="A172" t="s">
        <v>502</v>
      </c>
      <c r="B172" t="s">
        <v>503</v>
      </c>
      <c r="C172" t="s">
        <v>196</v>
      </c>
      <c r="D172" t="s">
        <v>156</v>
      </c>
      <c r="E172" s="34">
        <v>3000000</v>
      </c>
      <c r="F172" s="29">
        <v>0.1812</v>
      </c>
      <c r="G172" s="30">
        <v>44088</v>
      </c>
      <c r="H172">
        <v>60</v>
      </c>
      <c r="I172">
        <v>0</v>
      </c>
      <c r="J172" s="34">
        <v>3750000</v>
      </c>
      <c r="K172" t="s">
        <v>171</v>
      </c>
      <c r="L172" s="34">
        <f>PMT(Loans[[#This Row],[InterestRate]]/12,Loans[[#This Row],[LoanTenureMonths]],-Loans[[#This Row],[LoanAmount]])</f>
        <v>76376.25700130772</v>
      </c>
      <c r="M172" s="30">
        <f>EDATE(Loans[[#This Row],[LoanStartDate]],Loans[[#This Row],[LoanTenureMonths]])</f>
        <v>45914</v>
      </c>
      <c r="N172" s="33">
        <f>IF(Loans[[#This Row],[LoanAmount]]=0,0,Loans[[#This Row],[CollateralValue]]/Loans[[#This Row],[LoanAmount]])</f>
        <v>1.25</v>
      </c>
      <c r="O172" t="str">
        <f>IF(Loans[[#This Row],[CollateralCoverageRatio]]&lt;1,"Undersecured","Secured")</f>
        <v>Secured</v>
      </c>
      <c r="P172" t="str">
        <f>_xlfn.XLOOKUP(Loans[[#This Row],[BranchCode]],BranchesTbl[BranchCode],BranchesTbl[BranchName])</f>
        <v>Karen</v>
      </c>
      <c r="Q172">
        <f>_xlfn.XLOOKUP(Loans[[#This Row],[CustomerID]],CustomerTbl[CustomerID],CustomerTbl[RiskScore])</f>
        <v>565</v>
      </c>
      <c r="R172" t="str">
        <f>IFERROR(INDEX(RiskTbl[Risk_Category],MATCH(Loans[[#This Row],[RiskScore]],RiskTbl[Score_Min],1)),"Unknown")</f>
        <v>High Risk</v>
      </c>
      <c r="S172" t="str">
        <f>IF(OR(Loans[[#This Row],[LoanStatus]]="Default",Loans[[#This Row],[LoanStatus]]="Watchlist",Loans[[#This Row],[CollateralRisk]]="Undersecured",Loans[[#This Row],[RiskCategory]]="High Risk"),"High Risk Exposure","Normal")</f>
        <v>High Risk Exposure</v>
      </c>
      <c r="T172" t="str" cm="1">
        <f t="array" ref="T172">_xlfn.IFS(
Loans[[#This Row],[LoanStatus]]="Default","Critical",
OR(Loans[[#This Row],[LoanStatus]]="Watchlist",Loans[[#This Row],[CollateralRisk]]="Undersecured",Loans[[#This Row],[RiskCategory]]="High Risk"),"High",
TRUE,"Normal"
)</f>
        <v>High</v>
      </c>
    </row>
    <row r="173" spans="1:20" x14ac:dyDescent="0.35">
      <c r="A173" t="s">
        <v>504</v>
      </c>
      <c r="B173" t="s">
        <v>505</v>
      </c>
      <c r="C173" t="s">
        <v>174</v>
      </c>
      <c r="D173" t="s">
        <v>156</v>
      </c>
      <c r="E173" s="34">
        <v>25000000</v>
      </c>
      <c r="F173" s="29">
        <v>0.18490000000000001</v>
      </c>
      <c r="G173" s="30">
        <v>44175</v>
      </c>
      <c r="H173">
        <v>60</v>
      </c>
      <c r="I173">
        <v>5</v>
      </c>
      <c r="J173" s="34">
        <v>32250000</v>
      </c>
      <c r="K173" t="s">
        <v>171</v>
      </c>
      <c r="L173" s="34">
        <f>PMT(Loans[[#This Row],[InterestRate]]/12,Loans[[#This Row],[LoanTenureMonths]],-Loans[[#This Row],[LoanAmount]])</f>
        <v>641518.45561945986</v>
      </c>
      <c r="M173" s="30">
        <f>EDATE(Loans[[#This Row],[LoanStartDate]],Loans[[#This Row],[LoanTenureMonths]])</f>
        <v>46001</v>
      </c>
      <c r="N173" s="33">
        <f>IF(Loans[[#This Row],[LoanAmount]]=0,0,Loans[[#This Row],[CollateralValue]]/Loans[[#This Row],[LoanAmount]])</f>
        <v>1.29</v>
      </c>
      <c r="O173" t="str">
        <f>IF(Loans[[#This Row],[CollateralCoverageRatio]]&lt;1,"Undersecured","Secured")</f>
        <v>Secured</v>
      </c>
      <c r="P173" t="str">
        <f>_xlfn.XLOOKUP(Loans[[#This Row],[BranchCode]],BranchesTbl[BranchCode],BranchesTbl[BranchName])</f>
        <v>Westlands</v>
      </c>
      <c r="Q173">
        <f>_xlfn.XLOOKUP(Loans[[#This Row],[CustomerID]],CustomerTbl[CustomerID],CustomerTbl[RiskScore])</f>
        <v>844</v>
      </c>
      <c r="R173" t="str">
        <f>IFERROR(INDEX(RiskTbl[Risk_Category],MATCH(Loans[[#This Row],[RiskScore]],RiskTbl[Score_Min],1)),"Unknown")</f>
        <v>Prime</v>
      </c>
      <c r="S173" t="str">
        <f>IF(OR(Loans[[#This Row],[LoanStatus]]="Default",Loans[[#This Row],[LoanStatus]]="Watchlist",Loans[[#This Row],[CollateralRisk]]="Undersecured",Loans[[#This Row],[RiskCategory]]="High Risk"),"High Risk Exposure","Normal")</f>
        <v>Normal</v>
      </c>
      <c r="T173" t="str" cm="1">
        <f t="array" ref="T173">_xlfn.IFS(
Loans[[#This Row],[LoanStatus]]="Default","Critical",
OR(Loans[[#This Row],[LoanStatus]]="Watchlist",Loans[[#This Row],[CollateralRisk]]="Undersecured",Loans[[#This Row],[RiskCategory]]="High Risk"),"High",
TRUE,"Normal"
)</f>
        <v>Normal</v>
      </c>
    </row>
    <row r="174" spans="1:20" x14ac:dyDescent="0.35">
      <c r="A174" t="s">
        <v>506</v>
      </c>
      <c r="B174" t="s">
        <v>507</v>
      </c>
      <c r="C174" t="s">
        <v>232</v>
      </c>
      <c r="D174" t="s">
        <v>156</v>
      </c>
      <c r="E174" s="34">
        <v>3000000</v>
      </c>
      <c r="F174" s="29">
        <v>0.15340000000000001</v>
      </c>
      <c r="G174" s="30">
        <v>44313</v>
      </c>
      <c r="H174">
        <v>36</v>
      </c>
      <c r="I174">
        <v>0</v>
      </c>
      <c r="J174" s="34">
        <v>4350000</v>
      </c>
      <c r="K174" t="s">
        <v>171</v>
      </c>
      <c r="L174" s="34">
        <f>PMT(Loans[[#This Row],[InterestRate]]/12,Loans[[#This Row],[LoanTenureMonths]],-Loans[[#This Row],[LoanAmount]])</f>
        <v>104496.17812896571</v>
      </c>
      <c r="M174" s="30">
        <f>EDATE(Loans[[#This Row],[LoanStartDate]],Loans[[#This Row],[LoanTenureMonths]])</f>
        <v>45409</v>
      </c>
      <c r="N174" s="33">
        <f>IF(Loans[[#This Row],[LoanAmount]]=0,0,Loans[[#This Row],[CollateralValue]]/Loans[[#This Row],[LoanAmount]])</f>
        <v>1.45</v>
      </c>
      <c r="O174" t="str">
        <f>IF(Loans[[#This Row],[CollateralCoverageRatio]]&lt;1,"Undersecured","Secured")</f>
        <v>Secured</v>
      </c>
      <c r="P174" t="str">
        <f>_xlfn.XLOOKUP(Loans[[#This Row],[BranchCode]],BranchesTbl[BranchCode],BranchesTbl[BranchName])</f>
        <v>Upper Hill</v>
      </c>
      <c r="Q174">
        <f>_xlfn.XLOOKUP(Loans[[#This Row],[CustomerID]],CustomerTbl[CustomerID],CustomerTbl[RiskScore])</f>
        <v>576</v>
      </c>
      <c r="R174" t="str">
        <f>IFERROR(INDEX(RiskTbl[Risk_Category],MATCH(Loans[[#This Row],[RiskScore]],RiskTbl[Score_Min],1)),"Unknown")</f>
        <v>High Risk</v>
      </c>
      <c r="S174" t="str">
        <f>IF(OR(Loans[[#This Row],[LoanStatus]]="Default",Loans[[#This Row],[LoanStatus]]="Watchlist",Loans[[#This Row],[CollateralRisk]]="Undersecured",Loans[[#This Row],[RiskCategory]]="High Risk"),"High Risk Exposure","Normal")</f>
        <v>High Risk Exposure</v>
      </c>
      <c r="T174" t="str" cm="1">
        <f t="array" ref="T174">_xlfn.IFS(
Loans[[#This Row],[LoanStatus]]="Default","Critical",
OR(Loans[[#This Row],[LoanStatus]]="Watchlist",Loans[[#This Row],[CollateralRisk]]="Undersecured",Loans[[#This Row],[RiskCategory]]="High Risk"),"High",
TRUE,"Normal"
)</f>
        <v>High</v>
      </c>
    </row>
    <row r="175" spans="1:20" x14ac:dyDescent="0.35">
      <c r="A175" t="s">
        <v>508</v>
      </c>
      <c r="B175" t="s">
        <v>509</v>
      </c>
      <c r="C175" t="s">
        <v>170</v>
      </c>
      <c r="D175" t="s">
        <v>156</v>
      </c>
      <c r="E175" s="34">
        <v>3000000</v>
      </c>
      <c r="F175" s="29">
        <v>0.18</v>
      </c>
      <c r="G175" s="30">
        <v>45118</v>
      </c>
      <c r="H175">
        <v>12</v>
      </c>
      <c r="I175">
        <v>90</v>
      </c>
      <c r="J175" s="34">
        <v>2610000</v>
      </c>
      <c r="K175" t="s">
        <v>199</v>
      </c>
      <c r="L175" s="34">
        <f>PMT(Loans[[#This Row],[InterestRate]]/12,Loans[[#This Row],[LoanTenureMonths]],-Loans[[#This Row],[LoanAmount]])</f>
        <v>275039.97871868679</v>
      </c>
      <c r="M175" s="30">
        <f>EDATE(Loans[[#This Row],[LoanStartDate]],Loans[[#This Row],[LoanTenureMonths]])</f>
        <v>45484</v>
      </c>
      <c r="N175" s="33">
        <f>IF(Loans[[#This Row],[LoanAmount]]=0,0,Loans[[#This Row],[CollateralValue]]/Loans[[#This Row],[LoanAmount]])</f>
        <v>0.87</v>
      </c>
      <c r="O175" t="str">
        <f>IF(Loans[[#This Row],[CollateralCoverageRatio]]&lt;1,"Undersecured","Secured")</f>
        <v>Undersecured</v>
      </c>
      <c r="P175" t="str">
        <f>_xlfn.XLOOKUP(Loans[[#This Row],[BranchCode]],BranchesTbl[BranchCode],BranchesTbl[BranchName])</f>
        <v>Thika</v>
      </c>
      <c r="Q175">
        <f>_xlfn.XLOOKUP(Loans[[#This Row],[CustomerID]],CustomerTbl[CustomerID],CustomerTbl[RiskScore])</f>
        <v>733</v>
      </c>
      <c r="R175" t="str">
        <f>IFERROR(INDEX(RiskTbl[Risk_Category],MATCH(Loans[[#This Row],[RiskScore]],RiskTbl[Score_Min],1)),"Unknown")</f>
        <v>Low Risk</v>
      </c>
      <c r="S175" t="str">
        <f>IF(OR(Loans[[#This Row],[LoanStatus]]="Default",Loans[[#This Row],[LoanStatus]]="Watchlist",Loans[[#This Row],[CollateralRisk]]="Undersecured",Loans[[#This Row],[RiskCategory]]="High Risk"),"High Risk Exposure","Normal")</f>
        <v>High Risk Exposure</v>
      </c>
      <c r="T175" t="str" cm="1">
        <f t="array" ref="T175">_xlfn.IFS(
Loans[[#This Row],[LoanStatus]]="Default","Critical",
OR(Loans[[#This Row],[LoanStatus]]="Watchlist",Loans[[#This Row],[CollateralRisk]]="Undersecured",Loans[[#This Row],[RiskCategory]]="High Risk"),"High",
TRUE,"Normal"
)</f>
        <v>High</v>
      </c>
    </row>
    <row r="176" spans="1:20" x14ac:dyDescent="0.35">
      <c r="A176" t="s">
        <v>510</v>
      </c>
      <c r="B176" t="s">
        <v>511</v>
      </c>
      <c r="C176" t="s">
        <v>174</v>
      </c>
      <c r="D176" t="s">
        <v>155</v>
      </c>
      <c r="E176" s="34">
        <v>500000</v>
      </c>
      <c r="F176" s="29">
        <v>0.24110000000000001</v>
      </c>
      <c r="G176" s="30">
        <v>43840</v>
      </c>
      <c r="H176">
        <v>12</v>
      </c>
      <c r="I176">
        <v>0</v>
      </c>
      <c r="J176" s="34">
        <v>0</v>
      </c>
      <c r="K176" t="s">
        <v>171</v>
      </c>
      <c r="L176" s="34">
        <f>PMT(Loans[[#This Row],[InterestRate]]/12,Loans[[#This Row],[LoanTenureMonths]],-Loans[[#This Row],[LoanAmount]])</f>
        <v>47306.419112230353</v>
      </c>
      <c r="M176" s="30">
        <f>EDATE(Loans[[#This Row],[LoanStartDate]],Loans[[#This Row],[LoanTenureMonths]])</f>
        <v>44206</v>
      </c>
      <c r="N176" s="33">
        <f>IF(Loans[[#This Row],[LoanAmount]]=0,0,Loans[[#This Row],[CollateralValue]]/Loans[[#This Row],[LoanAmount]])</f>
        <v>0</v>
      </c>
      <c r="O176" t="str">
        <f>IF(Loans[[#This Row],[CollateralCoverageRatio]]&lt;1,"Undersecured","Secured")</f>
        <v>Undersecured</v>
      </c>
      <c r="P176" t="str">
        <f>_xlfn.XLOOKUP(Loans[[#This Row],[BranchCode]],BranchesTbl[BranchCode],BranchesTbl[BranchName])</f>
        <v>Westlands</v>
      </c>
      <c r="Q176">
        <f>_xlfn.XLOOKUP(Loans[[#This Row],[CustomerID]],CustomerTbl[CustomerID],CustomerTbl[RiskScore])</f>
        <v>625</v>
      </c>
      <c r="R176" t="str">
        <f>IFERROR(INDEX(RiskTbl[Risk_Category],MATCH(Loans[[#This Row],[RiskScore]],RiskTbl[Score_Min],1)),"Unknown")</f>
        <v>Medium Risk</v>
      </c>
      <c r="S176" t="str">
        <f>IF(OR(Loans[[#This Row],[LoanStatus]]="Default",Loans[[#This Row],[LoanStatus]]="Watchlist",Loans[[#This Row],[CollateralRisk]]="Undersecured",Loans[[#This Row],[RiskCategory]]="High Risk"),"High Risk Exposure","Normal")</f>
        <v>High Risk Exposure</v>
      </c>
      <c r="T176" t="str" cm="1">
        <f t="array" ref="T176">_xlfn.IFS(
Loans[[#This Row],[LoanStatus]]="Default","Critical",
OR(Loans[[#This Row],[LoanStatus]]="Watchlist",Loans[[#This Row],[CollateralRisk]]="Undersecured",Loans[[#This Row],[RiskCategory]]="High Risk"),"High",
TRUE,"Normal"
)</f>
        <v>High</v>
      </c>
    </row>
    <row r="177" spans="1:20" x14ac:dyDescent="0.35">
      <c r="A177" t="s">
        <v>512</v>
      </c>
      <c r="B177" t="s">
        <v>513</v>
      </c>
      <c r="C177" t="s">
        <v>170</v>
      </c>
      <c r="D177" t="s">
        <v>158</v>
      </c>
      <c r="E177" s="34">
        <v>3000000</v>
      </c>
      <c r="F177" s="29">
        <v>0.1215</v>
      </c>
      <c r="G177" s="30">
        <v>44753</v>
      </c>
      <c r="H177">
        <v>72</v>
      </c>
      <c r="I177">
        <v>20</v>
      </c>
      <c r="J177" s="34">
        <v>2820000</v>
      </c>
      <c r="K177" t="s">
        <v>171</v>
      </c>
      <c r="L177" s="34">
        <f>PMT(Loans[[#This Row],[InterestRate]]/12,Loans[[#This Row],[LoanTenureMonths]],-Loans[[#This Row],[LoanAmount]])</f>
        <v>58884.852166942648</v>
      </c>
      <c r="M177" s="30">
        <f>EDATE(Loans[[#This Row],[LoanStartDate]],Loans[[#This Row],[LoanTenureMonths]])</f>
        <v>46945</v>
      </c>
      <c r="N177" s="33">
        <f>IF(Loans[[#This Row],[LoanAmount]]=0,0,Loans[[#This Row],[CollateralValue]]/Loans[[#This Row],[LoanAmount]])</f>
        <v>0.94</v>
      </c>
      <c r="O177" t="str">
        <f>IF(Loans[[#This Row],[CollateralCoverageRatio]]&lt;1,"Undersecured","Secured")</f>
        <v>Undersecured</v>
      </c>
      <c r="P177" t="str">
        <f>_xlfn.XLOOKUP(Loans[[#This Row],[BranchCode]],BranchesTbl[BranchCode],BranchesTbl[BranchName])</f>
        <v>Thika</v>
      </c>
      <c r="Q177">
        <f>_xlfn.XLOOKUP(Loans[[#This Row],[CustomerID]],CustomerTbl[CustomerID],CustomerTbl[RiskScore])</f>
        <v>425</v>
      </c>
      <c r="R177" t="str">
        <f>IFERROR(INDEX(RiskTbl[Risk_Category],MATCH(Loans[[#This Row],[RiskScore]],RiskTbl[Score_Min],1)),"Unknown")</f>
        <v>High Risk</v>
      </c>
      <c r="S177" t="str">
        <f>IF(OR(Loans[[#This Row],[LoanStatus]]="Default",Loans[[#This Row],[LoanStatus]]="Watchlist",Loans[[#This Row],[CollateralRisk]]="Undersecured",Loans[[#This Row],[RiskCategory]]="High Risk"),"High Risk Exposure","Normal")</f>
        <v>High Risk Exposure</v>
      </c>
      <c r="T177" t="str" cm="1">
        <f t="array" ref="T177">_xlfn.IFS(
Loans[[#This Row],[LoanStatus]]="Default","Critical",
OR(Loans[[#This Row],[LoanStatus]]="Watchlist",Loans[[#This Row],[CollateralRisk]]="Undersecured",Loans[[#This Row],[RiskCategory]]="High Risk"),"High",
TRUE,"Normal"
)</f>
        <v>High</v>
      </c>
    </row>
    <row r="178" spans="1:20" x14ac:dyDescent="0.35">
      <c r="A178" t="s">
        <v>514</v>
      </c>
      <c r="B178" t="s">
        <v>515</v>
      </c>
      <c r="C178" t="s">
        <v>196</v>
      </c>
      <c r="D178" t="s">
        <v>156</v>
      </c>
      <c r="E178" s="34">
        <v>25000000</v>
      </c>
      <c r="F178" s="29">
        <v>0.1542</v>
      </c>
      <c r="G178" s="30">
        <v>45105</v>
      </c>
      <c r="H178">
        <v>12</v>
      </c>
      <c r="I178">
        <v>0</v>
      </c>
      <c r="J178" s="34">
        <v>22250000</v>
      </c>
      <c r="K178" t="s">
        <v>171</v>
      </c>
      <c r="L178" s="34">
        <f>PMT(Loans[[#This Row],[InterestRate]]/12,Loans[[#This Row],[LoanTenureMonths]],-Loans[[#This Row],[LoanAmount]])</f>
        <v>2261415.4263792476</v>
      </c>
      <c r="M178" s="30">
        <f>EDATE(Loans[[#This Row],[LoanStartDate]],Loans[[#This Row],[LoanTenureMonths]])</f>
        <v>45471</v>
      </c>
      <c r="N178" s="33">
        <f>IF(Loans[[#This Row],[LoanAmount]]=0,0,Loans[[#This Row],[CollateralValue]]/Loans[[#This Row],[LoanAmount]])</f>
        <v>0.89</v>
      </c>
      <c r="O178" t="str">
        <f>IF(Loans[[#This Row],[CollateralCoverageRatio]]&lt;1,"Undersecured","Secured")</f>
        <v>Undersecured</v>
      </c>
      <c r="P178" t="str">
        <f>_xlfn.XLOOKUP(Loans[[#This Row],[BranchCode]],BranchesTbl[BranchCode],BranchesTbl[BranchName])</f>
        <v>Karen</v>
      </c>
      <c r="Q178">
        <f>_xlfn.XLOOKUP(Loans[[#This Row],[CustomerID]],CustomerTbl[CustomerID],CustomerTbl[RiskScore])</f>
        <v>628</v>
      </c>
      <c r="R178" t="str">
        <f>IFERROR(INDEX(RiskTbl[Risk_Category],MATCH(Loans[[#This Row],[RiskScore]],RiskTbl[Score_Min],1)),"Unknown")</f>
        <v>Medium Risk</v>
      </c>
      <c r="S178" t="str">
        <f>IF(OR(Loans[[#This Row],[LoanStatus]]="Default",Loans[[#This Row],[LoanStatus]]="Watchlist",Loans[[#This Row],[CollateralRisk]]="Undersecured",Loans[[#This Row],[RiskCategory]]="High Risk"),"High Risk Exposure","Normal")</f>
        <v>High Risk Exposure</v>
      </c>
      <c r="T178" t="str" cm="1">
        <f t="array" ref="T178">_xlfn.IFS(
Loans[[#This Row],[LoanStatus]]="Default","Critical",
OR(Loans[[#This Row],[LoanStatus]]="Watchlist",Loans[[#This Row],[CollateralRisk]]="Undersecured",Loans[[#This Row],[RiskCategory]]="High Risk"),"High",
TRUE,"Normal"
)</f>
        <v>High</v>
      </c>
    </row>
    <row r="179" spans="1:20" x14ac:dyDescent="0.35">
      <c r="A179" t="s">
        <v>516</v>
      </c>
      <c r="B179" t="s">
        <v>517</v>
      </c>
      <c r="C179" t="s">
        <v>219</v>
      </c>
      <c r="D179" t="s">
        <v>157</v>
      </c>
      <c r="E179" s="34">
        <v>80000000</v>
      </c>
      <c r="F179" s="29">
        <v>0.11609999999999999</v>
      </c>
      <c r="G179" s="30">
        <v>45194</v>
      </c>
      <c r="H179">
        <v>60</v>
      </c>
      <c r="I179">
        <v>0</v>
      </c>
      <c r="J179" s="34">
        <v>88000000</v>
      </c>
      <c r="K179" t="s">
        <v>171</v>
      </c>
      <c r="L179" s="34">
        <f>PMT(Loans[[#This Row],[InterestRate]]/12,Loans[[#This Row],[LoanTenureMonths]],-Loans[[#This Row],[LoanAmount]])</f>
        <v>1763829.6285162065</v>
      </c>
      <c r="M179" s="30">
        <f>EDATE(Loans[[#This Row],[LoanStartDate]],Loans[[#This Row],[LoanTenureMonths]])</f>
        <v>47021</v>
      </c>
      <c r="N179" s="33">
        <f>IF(Loans[[#This Row],[LoanAmount]]=0,0,Loans[[#This Row],[CollateralValue]]/Loans[[#This Row],[LoanAmount]])</f>
        <v>1.1000000000000001</v>
      </c>
      <c r="O179" t="str">
        <f>IF(Loans[[#This Row],[CollateralCoverageRatio]]&lt;1,"Undersecured","Secured")</f>
        <v>Secured</v>
      </c>
      <c r="P179" t="str">
        <f>_xlfn.XLOOKUP(Loans[[#This Row],[BranchCode]],BranchesTbl[BranchCode],BranchesTbl[BranchName])</f>
        <v>Meru</v>
      </c>
      <c r="Q179">
        <f>_xlfn.XLOOKUP(Loans[[#This Row],[CustomerID]],CustomerTbl[CustomerID],CustomerTbl[RiskScore])</f>
        <v>474</v>
      </c>
      <c r="R179" t="str">
        <f>IFERROR(INDEX(RiskTbl[Risk_Category],MATCH(Loans[[#This Row],[RiskScore]],RiskTbl[Score_Min],1)),"Unknown")</f>
        <v>High Risk</v>
      </c>
      <c r="S179" t="str">
        <f>IF(OR(Loans[[#This Row],[LoanStatus]]="Default",Loans[[#This Row],[LoanStatus]]="Watchlist",Loans[[#This Row],[CollateralRisk]]="Undersecured",Loans[[#This Row],[RiskCategory]]="High Risk"),"High Risk Exposure","Normal")</f>
        <v>High Risk Exposure</v>
      </c>
      <c r="T179" t="str" cm="1">
        <f t="array" ref="T179">_xlfn.IFS(
Loans[[#This Row],[LoanStatus]]="Default","Critical",
OR(Loans[[#This Row],[LoanStatus]]="Watchlist",Loans[[#This Row],[CollateralRisk]]="Undersecured",Loans[[#This Row],[RiskCategory]]="High Risk"),"High",
TRUE,"Normal"
)</f>
        <v>High</v>
      </c>
    </row>
    <row r="180" spans="1:20" x14ac:dyDescent="0.35">
      <c r="A180" t="s">
        <v>518</v>
      </c>
      <c r="B180" t="s">
        <v>519</v>
      </c>
      <c r="C180" t="s">
        <v>267</v>
      </c>
      <c r="D180" t="s">
        <v>155</v>
      </c>
      <c r="E180" s="34">
        <v>250000</v>
      </c>
      <c r="F180" s="29">
        <v>0.20369999999999999</v>
      </c>
      <c r="G180" s="30">
        <v>44843</v>
      </c>
      <c r="H180">
        <v>36</v>
      </c>
      <c r="I180">
        <v>0</v>
      </c>
      <c r="J180" s="34">
        <v>0</v>
      </c>
      <c r="K180" t="s">
        <v>171</v>
      </c>
      <c r="L180" s="34">
        <f>PMT(Loans[[#This Row],[InterestRate]]/12,Loans[[#This Row],[LoanTenureMonths]],-Loans[[#This Row],[LoanAmount]])</f>
        <v>9338.0941168788268</v>
      </c>
      <c r="M180" s="30">
        <f>EDATE(Loans[[#This Row],[LoanStartDate]],Loans[[#This Row],[LoanTenureMonths]])</f>
        <v>45939</v>
      </c>
      <c r="N180" s="33">
        <f>IF(Loans[[#This Row],[LoanAmount]]=0,0,Loans[[#This Row],[CollateralValue]]/Loans[[#This Row],[LoanAmount]])</f>
        <v>0</v>
      </c>
      <c r="O180" t="str">
        <f>IF(Loans[[#This Row],[CollateralCoverageRatio]]&lt;1,"Undersecured","Secured")</f>
        <v>Undersecured</v>
      </c>
      <c r="P180" t="str">
        <f>_xlfn.XLOOKUP(Loans[[#This Row],[BranchCode]],BranchesTbl[BranchCode],BranchesTbl[BranchName])</f>
        <v>Malindi</v>
      </c>
      <c r="Q180">
        <f>_xlfn.XLOOKUP(Loans[[#This Row],[CustomerID]],CustomerTbl[CustomerID],CustomerTbl[RiskScore])</f>
        <v>336</v>
      </c>
      <c r="R180" t="str">
        <f>IFERROR(INDEX(RiskTbl[Risk_Category],MATCH(Loans[[#This Row],[RiskScore]],RiskTbl[Score_Min],1)),"Unknown")</f>
        <v>High Risk</v>
      </c>
      <c r="S180" t="str">
        <f>IF(OR(Loans[[#This Row],[LoanStatus]]="Default",Loans[[#This Row],[LoanStatus]]="Watchlist",Loans[[#This Row],[CollateralRisk]]="Undersecured",Loans[[#This Row],[RiskCategory]]="High Risk"),"High Risk Exposure","Normal")</f>
        <v>High Risk Exposure</v>
      </c>
      <c r="T180" t="str" cm="1">
        <f t="array" ref="T180">_xlfn.IFS(
Loans[[#This Row],[LoanStatus]]="Default","Critical",
OR(Loans[[#This Row],[LoanStatus]]="Watchlist",Loans[[#This Row],[CollateralRisk]]="Undersecured",Loans[[#This Row],[RiskCategory]]="High Risk"),"High",
TRUE,"Normal"
)</f>
        <v>High</v>
      </c>
    </row>
    <row r="181" spans="1:20" x14ac:dyDescent="0.35">
      <c r="A181" t="s">
        <v>520</v>
      </c>
      <c r="B181" t="s">
        <v>476</v>
      </c>
      <c r="C181" t="s">
        <v>219</v>
      </c>
      <c r="D181" t="s">
        <v>155</v>
      </c>
      <c r="E181" s="34">
        <v>250000</v>
      </c>
      <c r="F181" s="29">
        <v>0.19389999999999999</v>
      </c>
      <c r="G181" s="30">
        <v>45238</v>
      </c>
      <c r="H181">
        <v>48</v>
      </c>
      <c r="I181">
        <v>0</v>
      </c>
      <c r="J181" s="34">
        <v>0</v>
      </c>
      <c r="K181" t="s">
        <v>171</v>
      </c>
      <c r="L181" s="34">
        <f>PMT(Loans[[#This Row],[InterestRate]]/12,Loans[[#This Row],[LoanTenureMonths]],-Loans[[#This Row],[LoanAmount]])</f>
        <v>7526.5764393467152</v>
      </c>
      <c r="M181" s="30">
        <f>EDATE(Loans[[#This Row],[LoanStartDate]],Loans[[#This Row],[LoanTenureMonths]])</f>
        <v>46699</v>
      </c>
      <c r="N181" s="33">
        <f>IF(Loans[[#This Row],[LoanAmount]]=0,0,Loans[[#This Row],[CollateralValue]]/Loans[[#This Row],[LoanAmount]])</f>
        <v>0</v>
      </c>
      <c r="O181" t="str">
        <f>IF(Loans[[#This Row],[CollateralCoverageRatio]]&lt;1,"Undersecured","Secured")</f>
        <v>Undersecured</v>
      </c>
      <c r="P181" t="str">
        <f>_xlfn.XLOOKUP(Loans[[#This Row],[BranchCode]],BranchesTbl[BranchCode],BranchesTbl[BranchName])</f>
        <v>Meru</v>
      </c>
      <c r="Q181">
        <f>_xlfn.XLOOKUP(Loans[[#This Row],[CustomerID]],CustomerTbl[CustomerID],CustomerTbl[RiskScore])</f>
        <v>641</v>
      </c>
      <c r="R181" t="str">
        <f>IFERROR(INDEX(RiskTbl[Risk_Category],MATCH(Loans[[#This Row],[RiskScore]],RiskTbl[Score_Min],1)),"Unknown")</f>
        <v>Medium Risk</v>
      </c>
      <c r="S181" t="str">
        <f>IF(OR(Loans[[#This Row],[LoanStatus]]="Default",Loans[[#This Row],[LoanStatus]]="Watchlist",Loans[[#This Row],[CollateralRisk]]="Undersecured",Loans[[#This Row],[RiskCategory]]="High Risk"),"High Risk Exposure","Normal")</f>
        <v>High Risk Exposure</v>
      </c>
      <c r="T181" t="str" cm="1">
        <f t="array" ref="T181">_xlfn.IFS(
Loans[[#This Row],[LoanStatus]]="Default","Critical",
OR(Loans[[#This Row],[LoanStatus]]="Watchlist",Loans[[#This Row],[CollateralRisk]]="Undersecured",Loans[[#This Row],[RiskCategory]]="High Risk"),"High",
TRUE,"Normal"
)</f>
        <v>High</v>
      </c>
    </row>
    <row r="182" spans="1:20" x14ac:dyDescent="0.35">
      <c r="A182" t="s">
        <v>521</v>
      </c>
      <c r="B182" t="s">
        <v>522</v>
      </c>
      <c r="C182" t="s">
        <v>239</v>
      </c>
      <c r="D182" t="s">
        <v>158</v>
      </c>
      <c r="E182" s="34">
        <v>3000000</v>
      </c>
      <c r="F182" s="29">
        <v>0.18060000000000001</v>
      </c>
      <c r="G182" s="30">
        <v>45360</v>
      </c>
      <c r="H182">
        <v>24</v>
      </c>
      <c r="I182">
        <v>90</v>
      </c>
      <c r="J182" s="34">
        <v>3930000</v>
      </c>
      <c r="K182" t="s">
        <v>199</v>
      </c>
      <c r="L182" s="34">
        <f>PMT(Loans[[#This Row],[InterestRate]]/12,Loans[[#This Row],[LoanTenureMonths]],-Loans[[#This Row],[LoanAmount]])</f>
        <v>149859.29235794451</v>
      </c>
      <c r="M182" s="30">
        <f>EDATE(Loans[[#This Row],[LoanStartDate]],Loans[[#This Row],[LoanTenureMonths]])</f>
        <v>46090</v>
      </c>
      <c r="N182" s="33">
        <f>IF(Loans[[#This Row],[LoanAmount]]=0,0,Loans[[#This Row],[CollateralValue]]/Loans[[#This Row],[LoanAmount]])</f>
        <v>1.31</v>
      </c>
      <c r="O182" t="str">
        <f>IF(Loans[[#This Row],[CollateralCoverageRatio]]&lt;1,"Undersecured","Secured")</f>
        <v>Secured</v>
      </c>
      <c r="P182" t="str">
        <f>_xlfn.XLOOKUP(Loans[[#This Row],[BranchCode]],BranchesTbl[BranchCode],BranchesTbl[BranchName])</f>
        <v>Machakos</v>
      </c>
      <c r="Q182">
        <f>_xlfn.XLOOKUP(Loans[[#This Row],[CustomerID]],CustomerTbl[CustomerID],CustomerTbl[RiskScore])</f>
        <v>619</v>
      </c>
      <c r="R182" t="str">
        <f>IFERROR(INDEX(RiskTbl[Risk_Category],MATCH(Loans[[#This Row],[RiskScore]],RiskTbl[Score_Min],1)),"Unknown")</f>
        <v>Medium Risk</v>
      </c>
      <c r="S182" t="str">
        <f>IF(OR(Loans[[#This Row],[LoanStatus]]="Default",Loans[[#This Row],[LoanStatus]]="Watchlist",Loans[[#This Row],[CollateralRisk]]="Undersecured",Loans[[#This Row],[RiskCategory]]="High Risk"),"High Risk Exposure","Normal")</f>
        <v>High Risk Exposure</v>
      </c>
      <c r="T182" t="str" cm="1">
        <f t="array" ref="T182">_xlfn.IFS(
Loans[[#This Row],[LoanStatus]]="Default","Critical",
OR(Loans[[#This Row],[LoanStatus]]="Watchlist",Loans[[#This Row],[CollateralRisk]]="Undersecured",Loans[[#This Row],[RiskCategory]]="High Risk"),"High",
TRUE,"Normal"
)</f>
        <v>High</v>
      </c>
    </row>
    <row r="183" spans="1:20" x14ac:dyDescent="0.35">
      <c r="A183" t="s">
        <v>523</v>
      </c>
      <c r="B183" t="s">
        <v>524</v>
      </c>
      <c r="C183" t="s">
        <v>181</v>
      </c>
      <c r="D183" t="s">
        <v>156</v>
      </c>
      <c r="E183" s="34">
        <v>6000000</v>
      </c>
      <c r="F183" s="29">
        <v>0.17699999999999999</v>
      </c>
      <c r="G183" s="30">
        <v>45774</v>
      </c>
      <c r="H183">
        <v>12</v>
      </c>
      <c r="I183">
        <v>10</v>
      </c>
      <c r="J183" s="34">
        <v>3240000</v>
      </c>
      <c r="K183" t="s">
        <v>171</v>
      </c>
      <c r="L183" s="34">
        <f>PMT(Loans[[#This Row],[InterestRate]]/12,Loans[[#This Row],[LoanTenureMonths]],-Loans[[#This Row],[LoanAmount]])</f>
        <v>549223.67633728392</v>
      </c>
      <c r="M183" s="30">
        <f>EDATE(Loans[[#This Row],[LoanStartDate]],Loans[[#This Row],[LoanTenureMonths]])</f>
        <v>46139</v>
      </c>
      <c r="N183" s="33">
        <f>IF(Loans[[#This Row],[LoanAmount]]=0,0,Loans[[#This Row],[CollateralValue]]/Loans[[#This Row],[LoanAmount]])</f>
        <v>0.54</v>
      </c>
      <c r="O183" t="str">
        <f>IF(Loans[[#This Row],[CollateralCoverageRatio]]&lt;1,"Undersecured","Secured")</f>
        <v>Undersecured</v>
      </c>
      <c r="P183" t="str">
        <f>_xlfn.XLOOKUP(Loans[[#This Row],[BranchCode]],BranchesTbl[BranchCode],BranchesTbl[BranchName])</f>
        <v>Kitale</v>
      </c>
      <c r="Q183">
        <f>_xlfn.XLOOKUP(Loans[[#This Row],[CustomerID]],CustomerTbl[CustomerID],CustomerTbl[RiskScore])</f>
        <v>842</v>
      </c>
      <c r="R183" t="str">
        <f>IFERROR(INDEX(RiskTbl[Risk_Category],MATCH(Loans[[#This Row],[RiskScore]],RiskTbl[Score_Min],1)),"Unknown")</f>
        <v>Prime</v>
      </c>
      <c r="S183" t="str">
        <f>IF(OR(Loans[[#This Row],[LoanStatus]]="Default",Loans[[#This Row],[LoanStatus]]="Watchlist",Loans[[#This Row],[CollateralRisk]]="Undersecured",Loans[[#This Row],[RiskCategory]]="High Risk"),"High Risk Exposure","Normal")</f>
        <v>High Risk Exposure</v>
      </c>
      <c r="T183" t="str" cm="1">
        <f t="array" ref="T183">_xlfn.IFS(
Loans[[#This Row],[LoanStatus]]="Default","Critical",
OR(Loans[[#This Row],[LoanStatus]]="Watchlist",Loans[[#This Row],[CollateralRisk]]="Undersecured",Loans[[#This Row],[RiskCategory]]="High Risk"),"High",
TRUE,"Normal"
)</f>
        <v>High</v>
      </c>
    </row>
    <row r="184" spans="1:20" x14ac:dyDescent="0.35">
      <c r="A184" t="s">
        <v>525</v>
      </c>
      <c r="B184" t="s">
        <v>526</v>
      </c>
      <c r="C184" t="s">
        <v>174</v>
      </c>
      <c r="D184" t="s">
        <v>158</v>
      </c>
      <c r="E184" s="34">
        <v>1000000</v>
      </c>
      <c r="F184" s="29">
        <v>0.1913</v>
      </c>
      <c r="G184" s="30">
        <v>45885</v>
      </c>
      <c r="H184">
        <v>24</v>
      </c>
      <c r="I184">
        <v>0</v>
      </c>
      <c r="J184" s="34">
        <v>740000</v>
      </c>
      <c r="K184" t="s">
        <v>171</v>
      </c>
      <c r="L184" s="34">
        <f>PMT(Loans[[#This Row],[InterestRate]]/12,Loans[[#This Row],[LoanTenureMonths]],-Loans[[#This Row],[LoanAmount]])</f>
        <v>50471.800465754692</v>
      </c>
      <c r="M184" s="30">
        <f>EDATE(Loans[[#This Row],[LoanStartDate]],Loans[[#This Row],[LoanTenureMonths]])</f>
        <v>46615</v>
      </c>
      <c r="N184" s="33">
        <f>IF(Loans[[#This Row],[LoanAmount]]=0,0,Loans[[#This Row],[CollateralValue]]/Loans[[#This Row],[LoanAmount]])</f>
        <v>0.74</v>
      </c>
      <c r="O184" t="str">
        <f>IF(Loans[[#This Row],[CollateralCoverageRatio]]&lt;1,"Undersecured","Secured")</f>
        <v>Undersecured</v>
      </c>
      <c r="P184" t="str">
        <f>_xlfn.XLOOKUP(Loans[[#This Row],[BranchCode]],BranchesTbl[BranchCode],BranchesTbl[BranchName])</f>
        <v>Westlands</v>
      </c>
      <c r="Q184">
        <f>_xlfn.XLOOKUP(Loans[[#This Row],[CustomerID]],CustomerTbl[CustomerID],CustomerTbl[RiskScore])</f>
        <v>467</v>
      </c>
      <c r="R184" t="str">
        <f>IFERROR(INDEX(RiskTbl[Risk_Category],MATCH(Loans[[#This Row],[RiskScore]],RiskTbl[Score_Min],1)),"Unknown")</f>
        <v>High Risk</v>
      </c>
      <c r="S184" t="str">
        <f>IF(OR(Loans[[#This Row],[LoanStatus]]="Default",Loans[[#This Row],[LoanStatus]]="Watchlist",Loans[[#This Row],[CollateralRisk]]="Undersecured",Loans[[#This Row],[RiskCategory]]="High Risk"),"High Risk Exposure","Normal")</f>
        <v>High Risk Exposure</v>
      </c>
      <c r="T184" t="str" cm="1">
        <f t="array" ref="T184">_xlfn.IFS(
Loans[[#This Row],[LoanStatus]]="Default","Critical",
OR(Loans[[#This Row],[LoanStatus]]="Watchlist",Loans[[#This Row],[CollateralRisk]]="Undersecured",Loans[[#This Row],[RiskCategory]]="High Risk"),"High",
TRUE,"Normal"
)</f>
        <v>High</v>
      </c>
    </row>
    <row r="185" spans="1:20" x14ac:dyDescent="0.35">
      <c r="A185" t="s">
        <v>527</v>
      </c>
      <c r="B185" t="s">
        <v>528</v>
      </c>
      <c r="C185" t="s">
        <v>184</v>
      </c>
      <c r="D185" t="s">
        <v>158</v>
      </c>
      <c r="E185" s="34">
        <v>500000</v>
      </c>
      <c r="F185" s="29">
        <v>0.1648</v>
      </c>
      <c r="G185" s="30">
        <v>44154</v>
      </c>
      <c r="H185">
        <v>48</v>
      </c>
      <c r="I185">
        <v>5</v>
      </c>
      <c r="J185" s="34">
        <v>585000</v>
      </c>
      <c r="K185" t="s">
        <v>171</v>
      </c>
      <c r="L185" s="34">
        <f>PMT(Loans[[#This Row],[InterestRate]]/12,Loans[[#This Row],[LoanTenureMonths]],-Loans[[#This Row],[LoanAmount]])</f>
        <v>14293.357880897578</v>
      </c>
      <c r="M185" s="30">
        <f>EDATE(Loans[[#This Row],[LoanStartDate]],Loans[[#This Row],[LoanTenureMonths]])</f>
        <v>45615</v>
      </c>
      <c r="N185" s="33">
        <f>IF(Loans[[#This Row],[LoanAmount]]=0,0,Loans[[#This Row],[CollateralValue]]/Loans[[#This Row],[LoanAmount]])</f>
        <v>1.17</v>
      </c>
      <c r="O185" t="str">
        <f>IF(Loans[[#This Row],[CollateralCoverageRatio]]&lt;1,"Undersecured","Secured")</f>
        <v>Secured</v>
      </c>
      <c r="P185" t="str">
        <f>_xlfn.XLOOKUP(Loans[[#This Row],[BranchCode]],BranchesTbl[BranchCode],BranchesTbl[BranchName])</f>
        <v>Kisumu</v>
      </c>
      <c r="Q185">
        <f>_xlfn.XLOOKUP(Loans[[#This Row],[CustomerID]],CustomerTbl[CustomerID],CustomerTbl[RiskScore])</f>
        <v>737</v>
      </c>
      <c r="R185" t="str">
        <f>IFERROR(INDEX(RiskTbl[Risk_Category],MATCH(Loans[[#This Row],[RiskScore]],RiskTbl[Score_Min],1)),"Unknown")</f>
        <v>Low Risk</v>
      </c>
      <c r="S185" t="str">
        <f>IF(OR(Loans[[#This Row],[LoanStatus]]="Default",Loans[[#This Row],[LoanStatus]]="Watchlist",Loans[[#This Row],[CollateralRisk]]="Undersecured",Loans[[#This Row],[RiskCategory]]="High Risk"),"High Risk Exposure","Normal")</f>
        <v>Normal</v>
      </c>
      <c r="T185" t="str" cm="1">
        <f t="array" ref="T185">_xlfn.IFS(
Loans[[#This Row],[LoanStatus]]="Default","Critical",
OR(Loans[[#This Row],[LoanStatus]]="Watchlist",Loans[[#This Row],[CollateralRisk]]="Undersecured",Loans[[#This Row],[RiskCategory]]="High Risk"),"High",
TRUE,"Normal"
)</f>
        <v>Normal</v>
      </c>
    </row>
    <row r="186" spans="1:20" x14ac:dyDescent="0.35">
      <c r="A186" t="s">
        <v>529</v>
      </c>
      <c r="B186" t="s">
        <v>528</v>
      </c>
      <c r="C186" t="s">
        <v>170</v>
      </c>
      <c r="D186" t="s">
        <v>155</v>
      </c>
      <c r="E186" s="34">
        <v>500000</v>
      </c>
      <c r="F186" s="29">
        <v>0.1913</v>
      </c>
      <c r="G186" s="30">
        <v>44861</v>
      </c>
      <c r="H186">
        <v>12</v>
      </c>
      <c r="I186">
        <v>90</v>
      </c>
      <c r="J186" s="34">
        <v>0</v>
      </c>
      <c r="K186" t="s">
        <v>199</v>
      </c>
      <c r="L186" s="34">
        <f>PMT(Loans[[#This Row],[InterestRate]]/12,Loans[[#This Row],[LoanTenureMonths]],-Loans[[#This Row],[LoanAmount]])</f>
        <v>46109.316479166453</v>
      </c>
      <c r="M186" s="30">
        <f>EDATE(Loans[[#This Row],[LoanStartDate]],Loans[[#This Row],[LoanTenureMonths]])</f>
        <v>45226</v>
      </c>
      <c r="N186" s="33">
        <f>IF(Loans[[#This Row],[LoanAmount]]=0,0,Loans[[#This Row],[CollateralValue]]/Loans[[#This Row],[LoanAmount]])</f>
        <v>0</v>
      </c>
      <c r="O186" t="str">
        <f>IF(Loans[[#This Row],[CollateralCoverageRatio]]&lt;1,"Undersecured","Secured")</f>
        <v>Undersecured</v>
      </c>
      <c r="P186" t="str">
        <f>_xlfn.XLOOKUP(Loans[[#This Row],[BranchCode]],BranchesTbl[BranchCode],BranchesTbl[BranchName])</f>
        <v>Thika</v>
      </c>
      <c r="Q186">
        <f>_xlfn.XLOOKUP(Loans[[#This Row],[CustomerID]],CustomerTbl[CustomerID],CustomerTbl[RiskScore])</f>
        <v>737</v>
      </c>
      <c r="R186" t="str">
        <f>IFERROR(INDEX(RiskTbl[Risk_Category],MATCH(Loans[[#This Row],[RiskScore]],RiskTbl[Score_Min],1)),"Unknown")</f>
        <v>Low Risk</v>
      </c>
      <c r="S186" t="str">
        <f>IF(OR(Loans[[#This Row],[LoanStatus]]="Default",Loans[[#This Row],[LoanStatus]]="Watchlist",Loans[[#This Row],[CollateralRisk]]="Undersecured",Loans[[#This Row],[RiskCategory]]="High Risk"),"High Risk Exposure","Normal")</f>
        <v>High Risk Exposure</v>
      </c>
      <c r="T186" t="str" cm="1">
        <f t="array" ref="T186">_xlfn.IFS(
Loans[[#This Row],[LoanStatus]]="Default","Critical",
OR(Loans[[#This Row],[LoanStatus]]="Watchlist",Loans[[#This Row],[CollateralRisk]]="Undersecured",Loans[[#This Row],[RiskCategory]]="High Risk"),"High",
TRUE,"Normal"
)</f>
        <v>High</v>
      </c>
    </row>
    <row r="187" spans="1:20" x14ac:dyDescent="0.35">
      <c r="A187" t="s">
        <v>530</v>
      </c>
      <c r="B187" t="s">
        <v>216</v>
      </c>
      <c r="C187" t="s">
        <v>206</v>
      </c>
      <c r="D187" t="s">
        <v>158</v>
      </c>
      <c r="E187" s="34">
        <v>1000000</v>
      </c>
      <c r="F187" s="29">
        <v>0.16009999999999999</v>
      </c>
      <c r="G187" s="30">
        <v>43954</v>
      </c>
      <c r="H187">
        <v>24</v>
      </c>
      <c r="I187">
        <v>0</v>
      </c>
      <c r="J187" s="34">
        <v>830000</v>
      </c>
      <c r="K187" t="s">
        <v>171</v>
      </c>
      <c r="L187" s="34">
        <f>PMT(Loans[[#This Row],[InterestRate]]/12,Loans[[#This Row],[LoanTenureMonths]],-Loans[[#This Row],[LoanAmount]])</f>
        <v>48967.888743504649</v>
      </c>
      <c r="M187" s="30">
        <f>EDATE(Loans[[#This Row],[LoanStartDate]],Loans[[#This Row],[LoanTenureMonths]])</f>
        <v>44684</v>
      </c>
      <c r="N187" s="33">
        <f>IF(Loans[[#This Row],[LoanAmount]]=0,0,Loans[[#This Row],[CollateralValue]]/Loans[[#This Row],[LoanAmount]])</f>
        <v>0.83</v>
      </c>
      <c r="O187" t="str">
        <f>IF(Loans[[#This Row],[CollateralCoverageRatio]]&lt;1,"Undersecured","Secured")</f>
        <v>Undersecured</v>
      </c>
      <c r="P187" t="str">
        <f>_xlfn.XLOOKUP(Loans[[#This Row],[BranchCode]],BranchesTbl[BranchCode],BranchesTbl[BranchName])</f>
        <v>Nyahururu</v>
      </c>
      <c r="Q187">
        <f>_xlfn.XLOOKUP(Loans[[#This Row],[CustomerID]],CustomerTbl[CustomerID],CustomerTbl[RiskScore])</f>
        <v>327</v>
      </c>
      <c r="R187" t="str">
        <f>IFERROR(INDEX(RiskTbl[Risk_Category],MATCH(Loans[[#This Row],[RiskScore]],RiskTbl[Score_Min],1)),"Unknown")</f>
        <v>High Risk</v>
      </c>
      <c r="S187" t="str">
        <f>IF(OR(Loans[[#This Row],[LoanStatus]]="Default",Loans[[#This Row],[LoanStatus]]="Watchlist",Loans[[#This Row],[CollateralRisk]]="Undersecured",Loans[[#This Row],[RiskCategory]]="High Risk"),"High Risk Exposure","Normal")</f>
        <v>High Risk Exposure</v>
      </c>
      <c r="T187" t="str" cm="1">
        <f t="array" ref="T187">_xlfn.IFS(
Loans[[#This Row],[LoanStatus]]="Default","Critical",
OR(Loans[[#This Row],[LoanStatus]]="Watchlist",Loans[[#This Row],[CollateralRisk]]="Undersecured",Loans[[#This Row],[RiskCategory]]="High Risk"),"High",
TRUE,"Normal"
)</f>
        <v>High</v>
      </c>
    </row>
    <row r="188" spans="1:20" x14ac:dyDescent="0.35">
      <c r="A188" t="s">
        <v>531</v>
      </c>
      <c r="B188" t="s">
        <v>532</v>
      </c>
      <c r="C188" t="s">
        <v>177</v>
      </c>
      <c r="D188" t="s">
        <v>155</v>
      </c>
      <c r="E188" s="34">
        <v>100000</v>
      </c>
      <c r="F188" s="29">
        <v>0.2102</v>
      </c>
      <c r="G188" s="30">
        <v>44976</v>
      </c>
      <c r="H188">
        <v>48</v>
      </c>
      <c r="I188">
        <v>45</v>
      </c>
      <c r="J188" s="34">
        <v>0</v>
      </c>
      <c r="K188" t="s">
        <v>199</v>
      </c>
      <c r="L188" s="34">
        <f>PMT(Loans[[#This Row],[InterestRate]]/12,Loans[[#This Row],[LoanTenureMonths]],-Loans[[#This Row],[LoanAmount]])</f>
        <v>3097.6453259649074</v>
      </c>
      <c r="M188" s="30">
        <f>EDATE(Loans[[#This Row],[LoanStartDate]],Loans[[#This Row],[LoanTenureMonths]])</f>
        <v>46437</v>
      </c>
      <c r="N188" s="33">
        <f>IF(Loans[[#This Row],[LoanAmount]]=0,0,Loans[[#This Row],[CollateralValue]]/Loans[[#This Row],[LoanAmount]])</f>
        <v>0</v>
      </c>
      <c r="O188" t="str">
        <f>IF(Loans[[#This Row],[CollateralCoverageRatio]]&lt;1,"Undersecured","Secured")</f>
        <v>Undersecured</v>
      </c>
      <c r="P188" t="str">
        <f>_xlfn.XLOOKUP(Loans[[#This Row],[BranchCode]],BranchesTbl[BranchCode],BranchesTbl[BranchName])</f>
        <v>Naivasha</v>
      </c>
      <c r="Q188">
        <f>_xlfn.XLOOKUP(Loans[[#This Row],[CustomerID]],CustomerTbl[CustomerID],CustomerTbl[RiskScore])</f>
        <v>502</v>
      </c>
      <c r="R188" t="str">
        <f>IFERROR(INDEX(RiskTbl[Risk_Category],MATCH(Loans[[#This Row],[RiskScore]],RiskTbl[Score_Min],1)),"Unknown")</f>
        <v>High Risk</v>
      </c>
      <c r="S188" t="str">
        <f>IF(OR(Loans[[#This Row],[LoanStatus]]="Default",Loans[[#This Row],[LoanStatus]]="Watchlist",Loans[[#This Row],[CollateralRisk]]="Undersecured",Loans[[#This Row],[RiskCategory]]="High Risk"),"High Risk Exposure","Normal")</f>
        <v>High Risk Exposure</v>
      </c>
      <c r="T188" t="str" cm="1">
        <f t="array" ref="T188">_xlfn.IFS(
Loans[[#This Row],[LoanStatus]]="Default","Critical",
OR(Loans[[#This Row],[LoanStatus]]="Watchlist",Loans[[#This Row],[CollateralRisk]]="Undersecured",Loans[[#This Row],[RiskCategory]]="High Risk"),"High",
TRUE,"Normal"
)</f>
        <v>High</v>
      </c>
    </row>
    <row r="189" spans="1:20" x14ac:dyDescent="0.35">
      <c r="A189" t="s">
        <v>533</v>
      </c>
      <c r="B189" t="s">
        <v>534</v>
      </c>
      <c r="C189" t="s">
        <v>184</v>
      </c>
      <c r="D189" t="s">
        <v>155</v>
      </c>
      <c r="E189" s="34">
        <v>500000</v>
      </c>
      <c r="F189" s="29">
        <v>0.1779</v>
      </c>
      <c r="G189" s="30">
        <v>44826</v>
      </c>
      <c r="H189">
        <v>48</v>
      </c>
      <c r="I189">
        <v>0</v>
      </c>
      <c r="J189" s="34">
        <v>0</v>
      </c>
      <c r="K189" t="s">
        <v>171</v>
      </c>
      <c r="L189" s="34">
        <f>PMT(Loans[[#This Row],[InterestRate]]/12,Loans[[#This Row],[LoanTenureMonths]],-Loans[[#This Row],[LoanAmount]])</f>
        <v>14632.689635584062</v>
      </c>
      <c r="M189" s="30">
        <f>EDATE(Loans[[#This Row],[LoanStartDate]],Loans[[#This Row],[LoanTenureMonths]])</f>
        <v>46287</v>
      </c>
      <c r="N189" s="33">
        <f>IF(Loans[[#This Row],[LoanAmount]]=0,0,Loans[[#This Row],[CollateralValue]]/Loans[[#This Row],[LoanAmount]])</f>
        <v>0</v>
      </c>
      <c r="O189" t="str">
        <f>IF(Loans[[#This Row],[CollateralCoverageRatio]]&lt;1,"Undersecured","Secured")</f>
        <v>Undersecured</v>
      </c>
      <c r="P189" t="str">
        <f>_xlfn.XLOOKUP(Loans[[#This Row],[BranchCode]],BranchesTbl[BranchCode],BranchesTbl[BranchName])</f>
        <v>Kisumu</v>
      </c>
      <c r="Q189">
        <f>_xlfn.XLOOKUP(Loans[[#This Row],[CustomerID]],CustomerTbl[CustomerID],CustomerTbl[RiskScore])</f>
        <v>309</v>
      </c>
      <c r="R189" t="str">
        <f>IFERROR(INDEX(RiskTbl[Risk_Category],MATCH(Loans[[#This Row],[RiskScore]],RiskTbl[Score_Min],1)),"Unknown")</f>
        <v>High Risk</v>
      </c>
      <c r="S189" t="str">
        <f>IF(OR(Loans[[#This Row],[LoanStatus]]="Default",Loans[[#This Row],[LoanStatus]]="Watchlist",Loans[[#This Row],[CollateralRisk]]="Undersecured",Loans[[#This Row],[RiskCategory]]="High Risk"),"High Risk Exposure","Normal")</f>
        <v>High Risk Exposure</v>
      </c>
      <c r="T189" t="str" cm="1">
        <f t="array" ref="T189">_xlfn.IFS(
Loans[[#This Row],[LoanStatus]]="Default","Critical",
OR(Loans[[#This Row],[LoanStatus]]="Watchlist",Loans[[#This Row],[CollateralRisk]]="Undersecured",Loans[[#This Row],[RiskCategory]]="High Risk"),"High",
TRUE,"Normal"
)</f>
        <v>High</v>
      </c>
    </row>
    <row r="190" spans="1:20" x14ac:dyDescent="0.35">
      <c r="A190" t="s">
        <v>535</v>
      </c>
      <c r="B190" t="s">
        <v>536</v>
      </c>
      <c r="C190" t="s">
        <v>190</v>
      </c>
      <c r="D190" t="s">
        <v>155</v>
      </c>
      <c r="E190" s="34">
        <v>1000000</v>
      </c>
      <c r="F190" s="29">
        <v>0.2235</v>
      </c>
      <c r="G190" s="30">
        <v>45544</v>
      </c>
      <c r="H190">
        <v>60</v>
      </c>
      <c r="I190">
        <v>45</v>
      </c>
      <c r="J190" s="34">
        <v>0</v>
      </c>
      <c r="K190" t="s">
        <v>199</v>
      </c>
      <c r="L190" s="34">
        <f>PMT(Loans[[#This Row],[InterestRate]]/12,Loans[[#This Row],[LoanTenureMonths]],-Loans[[#This Row],[LoanAmount]])</f>
        <v>27818.278032197624</v>
      </c>
      <c r="M190" s="30">
        <f>EDATE(Loans[[#This Row],[LoanStartDate]],Loans[[#This Row],[LoanTenureMonths]])</f>
        <v>47370</v>
      </c>
      <c r="N190" s="33">
        <f>IF(Loans[[#This Row],[LoanAmount]]=0,0,Loans[[#This Row],[CollateralValue]]/Loans[[#This Row],[LoanAmount]])</f>
        <v>0</v>
      </c>
      <c r="O190" t="str">
        <f>IF(Loans[[#This Row],[CollateralCoverageRatio]]&lt;1,"Undersecured","Secured")</f>
        <v>Undersecured</v>
      </c>
      <c r="P190" t="str">
        <f>_xlfn.XLOOKUP(Loans[[#This Row],[BranchCode]],BranchesTbl[BranchCode],BranchesTbl[BranchName])</f>
        <v>Nyeri</v>
      </c>
      <c r="Q190">
        <f>_xlfn.XLOOKUP(Loans[[#This Row],[CustomerID]],CustomerTbl[CustomerID],CustomerTbl[RiskScore])</f>
        <v>369</v>
      </c>
      <c r="R190" t="str">
        <f>IFERROR(INDEX(RiskTbl[Risk_Category],MATCH(Loans[[#This Row],[RiskScore]],RiskTbl[Score_Min],1)),"Unknown")</f>
        <v>High Risk</v>
      </c>
      <c r="S190" t="str">
        <f>IF(OR(Loans[[#This Row],[LoanStatus]]="Default",Loans[[#This Row],[LoanStatus]]="Watchlist",Loans[[#This Row],[CollateralRisk]]="Undersecured",Loans[[#This Row],[RiskCategory]]="High Risk"),"High Risk Exposure","Normal")</f>
        <v>High Risk Exposure</v>
      </c>
      <c r="T190" t="str" cm="1">
        <f t="array" ref="T190">_xlfn.IFS(
Loans[[#This Row],[LoanStatus]]="Default","Critical",
OR(Loans[[#This Row],[LoanStatus]]="Watchlist",Loans[[#This Row],[CollateralRisk]]="Undersecured",Loans[[#This Row],[RiskCategory]]="High Risk"),"High",
TRUE,"Normal"
)</f>
        <v>High</v>
      </c>
    </row>
    <row r="191" spans="1:20" x14ac:dyDescent="0.35">
      <c r="A191" t="s">
        <v>537</v>
      </c>
      <c r="B191" t="s">
        <v>538</v>
      </c>
      <c r="C191" t="s">
        <v>232</v>
      </c>
      <c r="D191" t="s">
        <v>157</v>
      </c>
      <c r="E191" s="34">
        <v>25000000</v>
      </c>
      <c r="F191" s="29">
        <v>0.11650000000000001</v>
      </c>
      <c r="G191" s="30">
        <v>43991</v>
      </c>
      <c r="H191">
        <v>48</v>
      </c>
      <c r="I191">
        <v>0</v>
      </c>
      <c r="J191" s="34">
        <v>13750000</v>
      </c>
      <c r="K191" t="s">
        <v>171</v>
      </c>
      <c r="L191" s="34">
        <f>PMT(Loans[[#This Row],[InterestRate]]/12,Loans[[#This Row],[LoanTenureMonths]],-Loans[[#This Row],[LoanAmount]])</f>
        <v>654057.90718962415</v>
      </c>
      <c r="M191" s="30">
        <f>EDATE(Loans[[#This Row],[LoanStartDate]],Loans[[#This Row],[LoanTenureMonths]])</f>
        <v>45452</v>
      </c>
      <c r="N191" s="33">
        <f>IF(Loans[[#This Row],[LoanAmount]]=0,0,Loans[[#This Row],[CollateralValue]]/Loans[[#This Row],[LoanAmount]])</f>
        <v>0.55000000000000004</v>
      </c>
      <c r="O191" t="str">
        <f>IF(Loans[[#This Row],[CollateralCoverageRatio]]&lt;1,"Undersecured","Secured")</f>
        <v>Undersecured</v>
      </c>
      <c r="P191" t="str">
        <f>_xlfn.XLOOKUP(Loans[[#This Row],[BranchCode]],BranchesTbl[BranchCode],BranchesTbl[BranchName])</f>
        <v>Upper Hill</v>
      </c>
      <c r="Q191">
        <f>_xlfn.XLOOKUP(Loans[[#This Row],[CustomerID]],CustomerTbl[CustomerID],CustomerTbl[RiskScore])</f>
        <v>325</v>
      </c>
      <c r="R191" t="str">
        <f>IFERROR(INDEX(RiskTbl[Risk_Category],MATCH(Loans[[#This Row],[RiskScore]],RiskTbl[Score_Min],1)),"Unknown")</f>
        <v>High Risk</v>
      </c>
      <c r="S191" t="str">
        <f>IF(OR(Loans[[#This Row],[LoanStatus]]="Default",Loans[[#This Row],[LoanStatus]]="Watchlist",Loans[[#This Row],[CollateralRisk]]="Undersecured",Loans[[#This Row],[RiskCategory]]="High Risk"),"High Risk Exposure","Normal")</f>
        <v>High Risk Exposure</v>
      </c>
      <c r="T191" t="str" cm="1">
        <f t="array" ref="T191">_xlfn.IFS(
Loans[[#This Row],[LoanStatus]]="Default","Critical",
OR(Loans[[#This Row],[LoanStatus]]="Watchlist",Loans[[#This Row],[CollateralRisk]]="Undersecured",Loans[[#This Row],[RiskCategory]]="High Risk"),"High",
TRUE,"Normal"
)</f>
        <v>High</v>
      </c>
    </row>
    <row r="192" spans="1:20" x14ac:dyDescent="0.35">
      <c r="A192" t="s">
        <v>539</v>
      </c>
      <c r="B192" t="s">
        <v>540</v>
      </c>
      <c r="C192" t="s">
        <v>187</v>
      </c>
      <c r="D192" t="s">
        <v>157</v>
      </c>
      <c r="E192" s="34">
        <v>6000000</v>
      </c>
      <c r="F192" s="29">
        <v>0.13819999999999999</v>
      </c>
      <c r="G192" s="30">
        <v>45743</v>
      </c>
      <c r="H192">
        <v>72</v>
      </c>
      <c r="I192">
        <v>120</v>
      </c>
      <c r="J192" s="34">
        <v>4320000</v>
      </c>
      <c r="K192" t="s">
        <v>178</v>
      </c>
      <c r="L192" s="34">
        <f>PMT(Loans[[#This Row],[InterestRate]]/12,Loans[[#This Row],[LoanTenureMonths]],-Loans[[#This Row],[LoanAmount]])</f>
        <v>123056.87445326638</v>
      </c>
      <c r="M192" s="30">
        <f>EDATE(Loans[[#This Row],[LoanStartDate]],Loans[[#This Row],[LoanTenureMonths]])</f>
        <v>47934</v>
      </c>
      <c r="N192" s="33">
        <f>IF(Loans[[#This Row],[LoanAmount]]=0,0,Loans[[#This Row],[CollateralValue]]/Loans[[#This Row],[LoanAmount]])</f>
        <v>0.72</v>
      </c>
      <c r="O192" t="str">
        <f>IF(Loans[[#This Row],[CollateralCoverageRatio]]&lt;1,"Undersecured","Secured")</f>
        <v>Undersecured</v>
      </c>
      <c r="P192" t="str">
        <f>_xlfn.XLOOKUP(Loans[[#This Row],[BranchCode]],BranchesTbl[BranchCode],BranchesTbl[BranchName])</f>
        <v>Eldoret</v>
      </c>
      <c r="Q192">
        <f>_xlfn.XLOOKUP(Loans[[#This Row],[CustomerID]],CustomerTbl[CustomerID],CustomerTbl[RiskScore])</f>
        <v>459</v>
      </c>
      <c r="R192" t="str">
        <f>IFERROR(INDEX(RiskTbl[Risk_Category],MATCH(Loans[[#This Row],[RiskScore]],RiskTbl[Score_Min],1)),"Unknown")</f>
        <v>High Risk</v>
      </c>
      <c r="S192" t="str">
        <f>IF(OR(Loans[[#This Row],[LoanStatus]]="Default",Loans[[#This Row],[LoanStatus]]="Watchlist",Loans[[#This Row],[CollateralRisk]]="Undersecured",Loans[[#This Row],[RiskCategory]]="High Risk"),"High Risk Exposure","Normal")</f>
        <v>High Risk Exposure</v>
      </c>
      <c r="T192" t="str" cm="1">
        <f t="array" ref="T192">_xlfn.IFS(
Loans[[#This Row],[LoanStatus]]="Default","Critical",
OR(Loans[[#This Row],[LoanStatus]]="Watchlist",Loans[[#This Row],[CollateralRisk]]="Undersecured",Loans[[#This Row],[RiskCategory]]="High Risk"),"High",
TRUE,"Normal"
)</f>
        <v>Critical</v>
      </c>
    </row>
    <row r="193" spans="1:20" x14ac:dyDescent="0.35">
      <c r="A193" t="s">
        <v>541</v>
      </c>
      <c r="B193" t="s">
        <v>542</v>
      </c>
      <c r="C193" t="s">
        <v>193</v>
      </c>
      <c r="D193" t="s">
        <v>157</v>
      </c>
      <c r="E193" s="34">
        <v>80000000</v>
      </c>
      <c r="F193" s="29">
        <v>0.1041</v>
      </c>
      <c r="G193" s="30">
        <v>44797</v>
      </c>
      <c r="H193">
        <v>12</v>
      </c>
      <c r="I193">
        <v>0</v>
      </c>
      <c r="J193" s="34">
        <v>85600000</v>
      </c>
      <c r="K193" t="s">
        <v>171</v>
      </c>
      <c r="L193" s="34">
        <f>PMT(Loans[[#This Row],[InterestRate]]/12,Loans[[#This Row],[LoanTenureMonths]],-Loans[[#This Row],[LoanAmount]])</f>
        <v>7048535.1182617489</v>
      </c>
      <c r="M193" s="30">
        <f>EDATE(Loans[[#This Row],[LoanStartDate]],Loans[[#This Row],[LoanTenureMonths]])</f>
        <v>45162</v>
      </c>
      <c r="N193" s="33">
        <f>IF(Loans[[#This Row],[LoanAmount]]=0,0,Loans[[#This Row],[CollateralValue]]/Loans[[#This Row],[LoanAmount]])</f>
        <v>1.07</v>
      </c>
      <c r="O193" t="str">
        <f>IF(Loans[[#This Row],[CollateralCoverageRatio]]&lt;1,"Undersecured","Secured")</f>
        <v>Secured</v>
      </c>
      <c r="P193" t="str">
        <f>_xlfn.XLOOKUP(Loans[[#This Row],[BranchCode]],BranchesTbl[BranchCode],BranchesTbl[BranchName])</f>
        <v>Mombasa</v>
      </c>
      <c r="Q193">
        <f>_xlfn.XLOOKUP(Loans[[#This Row],[CustomerID]],CustomerTbl[CustomerID],CustomerTbl[RiskScore])</f>
        <v>466</v>
      </c>
      <c r="R193" t="str">
        <f>IFERROR(INDEX(RiskTbl[Risk_Category],MATCH(Loans[[#This Row],[RiskScore]],RiskTbl[Score_Min],1)),"Unknown")</f>
        <v>High Risk</v>
      </c>
      <c r="S193" t="str">
        <f>IF(OR(Loans[[#This Row],[LoanStatus]]="Default",Loans[[#This Row],[LoanStatus]]="Watchlist",Loans[[#This Row],[CollateralRisk]]="Undersecured",Loans[[#This Row],[RiskCategory]]="High Risk"),"High Risk Exposure","Normal")</f>
        <v>High Risk Exposure</v>
      </c>
      <c r="T193" t="str" cm="1">
        <f t="array" ref="T193">_xlfn.IFS(
Loans[[#This Row],[LoanStatus]]="Default","Critical",
OR(Loans[[#This Row],[LoanStatus]]="Watchlist",Loans[[#This Row],[CollateralRisk]]="Undersecured",Loans[[#This Row],[RiskCategory]]="High Risk"),"High",
TRUE,"Normal"
)</f>
        <v>High</v>
      </c>
    </row>
    <row r="194" spans="1:20" x14ac:dyDescent="0.35">
      <c r="A194" t="s">
        <v>543</v>
      </c>
      <c r="B194" t="s">
        <v>344</v>
      </c>
      <c r="C194" t="s">
        <v>181</v>
      </c>
      <c r="D194" t="s">
        <v>155</v>
      </c>
      <c r="E194" s="34">
        <v>100000</v>
      </c>
      <c r="F194" s="29">
        <v>0.26590000000000003</v>
      </c>
      <c r="G194" s="30">
        <v>44875</v>
      </c>
      <c r="H194">
        <v>72</v>
      </c>
      <c r="I194">
        <v>45</v>
      </c>
      <c r="J194" s="34">
        <v>0</v>
      </c>
      <c r="K194" t="s">
        <v>199</v>
      </c>
      <c r="L194" s="34">
        <f>PMT(Loans[[#This Row],[InterestRate]]/12,Loans[[#This Row],[LoanTenureMonths]],-Loans[[#This Row],[LoanAmount]])</f>
        <v>2792.0982719573767</v>
      </c>
      <c r="M194" s="30">
        <f>EDATE(Loans[[#This Row],[LoanStartDate]],Loans[[#This Row],[LoanTenureMonths]])</f>
        <v>47067</v>
      </c>
      <c r="N194" s="33">
        <f>IF(Loans[[#This Row],[LoanAmount]]=0,0,Loans[[#This Row],[CollateralValue]]/Loans[[#This Row],[LoanAmount]])</f>
        <v>0</v>
      </c>
      <c r="O194" t="str">
        <f>IF(Loans[[#This Row],[CollateralCoverageRatio]]&lt;1,"Undersecured","Secured")</f>
        <v>Undersecured</v>
      </c>
      <c r="P194" t="str">
        <f>_xlfn.XLOOKUP(Loans[[#This Row],[BranchCode]],BranchesTbl[BranchCode],BranchesTbl[BranchName])</f>
        <v>Kitale</v>
      </c>
      <c r="Q194">
        <f>_xlfn.XLOOKUP(Loans[[#This Row],[CustomerID]],CustomerTbl[CustomerID],CustomerTbl[RiskScore])</f>
        <v>720</v>
      </c>
      <c r="R194" t="str">
        <f>IFERROR(INDEX(RiskTbl[Risk_Category],MATCH(Loans[[#This Row],[RiskScore]],RiskTbl[Score_Min],1)),"Unknown")</f>
        <v>Low Risk</v>
      </c>
      <c r="S194" t="str">
        <f>IF(OR(Loans[[#This Row],[LoanStatus]]="Default",Loans[[#This Row],[LoanStatus]]="Watchlist",Loans[[#This Row],[CollateralRisk]]="Undersecured",Loans[[#This Row],[RiskCategory]]="High Risk"),"High Risk Exposure","Normal")</f>
        <v>High Risk Exposure</v>
      </c>
      <c r="T194" t="str" cm="1">
        <f t="array" ref="T194">_xlfn.IFS(
Loans[[#This Row],[LoanStatus]]="Default","Critical",
OR(Loans[[#This Row],[LoanStatus]]="Watchlist",Loans[[#This Row],[CollateralRisk]]="Undersecured",Loans[[#This Row],[RiskCategory]]="High Risk"),"High",
TRUE,"Normal"
)</f>
        <v>High</v>
      </c>
    </row>
    <row r="195" spans="1:20" x14ac:dyDescent="0.35">
      <c r="A195" t="s">
        <v>544</v>
      </c>
      <c r="B195" t="s">
        <v>545</v>
      </c>
      <c r="C195" t="s">
        <v>267</v>
      </c>
      <c r="D195" t="s">
        <v>158</v>
      </c>
      <c r="E195" s="34">
        <v>3000000</v>
      </c>
      <c r="F195" s="29">
        <v>0.17019999999999999</v>
      </c>
      <c r="G195" s="30">
        <v>44796</v>
      </c>
      <c r="H195">
        <v>48</v>
      </c>
      <c r="I195">
        <v>5</v>
      </c>
      <c r="J195" s="34">
        <v>4170000</v>
      </c>
      <c r="K195" t="s">
        <v>171</v>
      </c>
      <c r="L195" s="34">
        <f>PMT(Loans[[#This Row],[InterestRate]]/12,Loans[[#This Row],[LoanTenureMonths]],-Loans[[#This Row],[LoanAmount]])</f>
        <v>86596.171942087458</v>
      </c>
      <c r="M195" s="30">
        <f>EDATE(Loans[[#This Row],[LoanStartDate]],Loans[[#This Row],[LoanTenureMonths]])</f>
        <v>46257</v>
      </c>
      <c r="N195" s="33">
        <f>IF(Loans[[#This Row],[LoanAmount]]=0,0,Loans[[#This Row],[CollateralValue]]/Loans[[#This Row],[LoanAmount]])</f>
        <v>1.39</v>
      </c>
      <c r="O195" t="str">
        <f>IF(Loans[[#This Row],[CollateralCoverageRatio]]&lt;1,"Undersecured","Secured")</f>
        <v>Secured</v>
      </c>
      <c r="P195" t="str">
        <f>_xlfn.XLOOKUP(Loans[[#This Row],[BranchCode]],BranchesTbl[BranchCode],BranchesTbl[BranchName])</f>
        <v>Malindi</v>
      </c>
      <c r="Q195">
        <f>_xlfn.XLOOKUP(Loans[[#This Row],[CustomerID]],CustomerTbl[CustomerID],CustomerTbl[RiskScore])</f>
        <v>804</v>
      </c>
      <c r="R195" t="str">
        <f>IFERROR(INDEX(RiskTbl[Risk_Category],MATCH(Loans[[#This Row],[RiskScore]],RiskTbl[Score_Min],1)),"Unknown")</f>
        <v>Prime</v>
      </c>
      <c r="S195" t="str">
        <f>IF(OR(Loans[[#This Row],[LoanStatus]]="Default",Loans[[#This Row],[LoanStatus]]="Watchlist",Loans[[#This Row],[CollateralRisk]]="Undersecured",Loans[[#This Row],[RiskCategory]]="High Risk"),"High Risk Exposure","Normal")</f>
        <v>Normal</v>
      </c>
      <c r="T195" t="str" cm="1">
        <f t="array" ref="T195">_xlfn.IFS(
Loans[[#This Row],[LoanStatus]]="Default","Critical",
OR(Loans[[#This Row],[LoanStatus]]="Watchlist",Loans[[#This Row],[CollateralRisk]]="Undersecured",Loans[[#This Row],[RiskCategory]]="High Risk"),"High",
TRUE,"Normal"
)</f>
        <v>Normal</v>
      </c>
    </row>
    <row r="196" spans="1:20" x14ac:dyDescent="0.35">
      <c r="A196" t="s">
        <v>546</v>
      </c>
      <c r="B196" t="s">
        <v>547</v>
      </c>
      <c r="C196" t="s">
        <v>184</v>
      </c>
      <c r="D196" t="s">
        <v>158</v>
      </c>
      <c r="E196" s="34">
        <v>500000</v>
      </c>
      <c r="F196" s="29">
        <v>0.18459999999999999</v>
      </c>
      <c r="G196" s="30">
        <v>45811</v>
      </c>
      <c r="H196">
        <v>12</v>
      </c>
      <c r="I196">
        <v>20</v>
      </c>
      <c r="J196" s="34">
        <v>595000</v>
      </c>
      <c r="K196" t="s">
        <v>171</v>
      </c>
      <c r="L196" s="34">
        <f>PMT(Loans[[#This Row],[InterestRate]]/12,Loans[[#This Row],[LoanTenureMonths]],-Loans[[#This Row],[LoanAmount]])</f>
        <v>45949.527647974232</v>
      </c>
      <c r="M196" s="30">
        <f>EDATE(Loans[[#This Row],[LoanStartDate]],Loans[[#This Row],[LoanTenureMonths]])</f>
        <v>46176</v>
      </c>
      <c r="N196" s="33">
        <f>IF(Loans[[#This Row],[LoanAmount]]=0,0,Loans[[#This Row],[CollateralValue]]/Loans[[#This Row],[LoanAmount]])</f>
        <v>1.19</v>
      </c>
      <c r="O196" t="str">
        <f>IF(Loans[[#This Row],[CollateralCoverageRatio]]&lt;1,"Undersecured","Secured")</f>
        <v>Secured</v>
      </c>
      <c r="P196" t="str">
        <f>_xlfn.XLOOKUP(Loans[[#This Row],[BranchCode]],BranchesTbl[BranchCode],BranchesTbl[BranchName])</f>
        <v>Kisumu</v>
      </c>
      <c r="Q196">
        <f>_xlfn.XLOOKUP(Loans[[#This Row],[CustomerID]],CustomerTbl[CustomerID],CustomerTbl[RiskScore])</f>
        <v>615</v>
      </c>
      <c r="R196" t="str">
        <f>IFERROR(INDEX(RiskTbl[Risk_Category],MATCH(Loans[[#This Row],[RiskScore]],RiskTbl[Score_Min],1)),"Unknown")</f>
        <v>Medium Risk</v>
      </c>
      <c r="S196" t="str">
        <f>IF(OR(Loans[[#This Row],[LoanStatus]]="Default",Loans[[#This Row],[LoanStatus]]="Watchlist",Loans[[#This Row],[CollateralRisk]]="Undersecured",Loans[[#This Row],[RiskCategory]]="High Risk"),"High Risk Exposure","Normal")</f>
        <v>Normal</v>
      </c>
      <c r="T196" t="str" cm="1">
        <f t="array" ref="T196">_xlfn.IFS(
Loans[[#This Row],[LoanStatus]]="Default","Critical",
OR(Loans[[#This Row],[LoanStatus]]="Watchlist",Loans[[#This Row],[CollateralRisk]]="Undersecured",Loans[[#This Row],[RiskCategory]]="High Risk"),"High",
TRUE,"Normal"
)</f>
        <v>Normal</v>
      </c>
    </row>
    <row r="197" spans="1:20" x14ac:dyDescent="0.35">
      <c r="A197" t="s">
        <v>548</v>
      </c>
      <c r="B197" t="s">
        <v>549</v>
      </c>
      <c r="C197" t="s">
        <v>206</v>
      </c>
      <c r="D197" t="s">
        <v>158</v>
      </c>
      <c r="E197" s="34">
        <v>3000000</v>
      </c>
      <c r="F197" s="29">
        <v>0.14399999999999999</v>
      </c>
      <c r="G197" s="30">
        <v>44415</v>
      </c>
      <c r="H197">
        <v>48</v>
      </c>
      <c r="I197">
        <v>10</v>
      </c>
      <c r="J197" s="34">
        <v>3150000</v>
      </c>
      <c r="K197" t="s">
        <v>171</v>
      </c>
      <c r="L197" s="34">
        <f>PMT(Loans[[#This Row],[InterestRate]]/12,Loans[[#This Row],[LoanTenureMonths]],-Loans[[#This Row],[LoanAmount]])</f>
        <v>82582.655802089022</v>
      </c>
      <c r="M197" s="30">
        <f>EDATE(Loans[[#This Row],[LoanStartDate]],Loans[[#This Row],[LoanTenureMonths]])</f>
        <v>45876</v>
      </c>
      <c r="N197" s="33">
        <f>IF(Loans[[#This Row],[LoanAmount]]=0,0,Loans[[#This Row],[CollateralValue]]/Loans[[#This Row],[LoanAmount]])</f>
        <v>1.05</v>
      </c>
      <c r="O197" t="str">
        <f>IF(Loans[[#This Row],[CollateralCoverageRatio]]&lt;1,"Undersecured","Secured")</f>
        <v>Secured</v>
      </c>
      <c r="P197" t="str">
        <f>_xlfn.XLOOKUP(Loans[[#This Row],[BranchCode]],BranchesTbl[BranchCode],BranchesTbl[BranchName])</f>
        <v>Nyahururu</v>
      </c>
      <c r="Q197">
        <f>_xlfn.XLOOKUP(Loans[[#This Row],[CustomerID]],CustomerTbl[CustomerID],CustomerTbl[RiskScore])</f>
        <v>841</v>
      </c>
      <c r="R197" t="str">
        <f>IFERROR(INDEX(RiskTbl[Risk_Category],MATCH(Loans[[#This Row],[RiskScore]],RiskTbl[Score_Min],1)),"Unknown")</f>
        <v>Prime</v>
      </c>
      <c r="S197" t="str">
        <f>IF(OR(Loans[[#This Row],[LoanStatus]]="Default",Loans[[#This Row],[LoanStatus]]="Watchlist",Loans[[#This Row],[CollateralRisk]]="Undersecured",Loans[[#This Row],[RiskCategory]]="High Risk"),"High Risk Exposure","Normal")</f>
        <v>Normal</v>
      </c>
      <c r="T197" t="str" cm="1">
        <f t="array" ref="T197">_xlfn.IFS(
Loans[[#This Row],[LoanStatus]]="Default","Critical",
OR(Loans[[#This Row],[LoanStatus]]="Watchlist",Loans[[#This Row],[CollateralRisk]]="Undersecured",Loans[[#This Row],[RiskCategory]]="High Risk"),"High",
TRUE,"Normal"
)</f>
        <v>Normal</v>
      </c>
    </row>
    <row r="198" spans="1:20" x14ac:dyDescent="0.35">
      <c r="A198" t="s">
        <v>550</v>
      </c>
      <c r="B198" t="s">
        <v>551</v>
      </c>
      <c r="C198" t="s">
        <v>232</v>
      </c>
      <c r="D198" t="s">
        <v>157</v>
      </c>
      <c r="E198" s="34">
        <v>25000000</v>
      </c>
      <c r="F198" s="29">
        <v>0.13200000000000001</v>
      </c>
      <c r="G198" s="30">
        <v>44281</v>
      </c>
      <c r="H198">
        <v>12</v>
      </c>
      <c r="I198">
        <v>0</v>
      </c>
      <c r="J198" s="34">
        <v>33000000</v>
      </c>
      <c r="K198" t="s">
        <v>171</v>
      </c>
      <c r="L198" s="34">
        <f>PMT(Loans[[#This Row],[InterestRate]]/12,Loans[[#This Row],[LoanTenureMonths]],-Loans[[#This Row],[LoanAmount]])</f>
        <v>2235278.3941774671</v>
      </c>
      <c r="M198" s="30">
        <f>EDATE(Loans[[#This Row],[LoanStartDate]],Loans[[#This Row],[LoanTenureMonths]])</f>
        <v>44646</v>
      </c>
      <c r="N198" s="33">
        <f>IF(Loans[[#This Row],[LoanAmount]]=0,0,Loans[[#This Row],[CollateralValue]]/Loans[[#This Row],[LoanAmount]])</f>
        <v>1.32</v>
      </c>
      <c r="O198" t="str">
        <f>IF(Loans[[#This Row],[CollateralCoverageRatio]]&lt;1,"Undersecured","Secured")</f>
        <v>Secured</v>
      </c>
      <c r="P198" t="str">
        <f>_xlfn.XLOOKUP(Loans[[#This Row],[BranchCode]],BranchesTbl[BranchCode],BranchesTbl[BranchName])</f>
        <v>Upper Hill</v>
      </c>
      <c r="Q198">
        <f>_xlfn.XLOOKUP(Loans[[#This Row],[CustomerID]],CustomerTbl[CustomerID],CustomerTbl[RiskScore])</f>
        <v>724</v>
      </c>
      <c r="R198" t="str">
        <f>IFERROR(INDEX(RiskTbl[Risk_Category],MATCH(Loans[[#This Row],[RiskScore]],RiskTbl[Score_Min],1)),"Unknown")</f>
        <v>Low Risk</v>
      </c>
      <c r="S198" t="str">
        <f>IF(OR(Loans[[#This Row],[LoanStatus]]="Default",Loans[[#This Row],[LoanStatus]]="Watchlist",Loans[[#This Row],[CollateralRisk]]="Undersecured",Loans[[#This Row],[RiskCategory]]="High Risk"),"High Risk Exposure","Normal")</f>
        <v>Normal</v>
      </c>
      <c r="T198" t="str" cm="1">
        <f t="array" ref="T198">_xlfn.IFS(
Loans[[#This Row],[LoanStatus]]="Default","Critical",
OR(Loans[[#This Row],[LoanStatus]]="Watchlist",Loans[[#This Row],[CollateralRisk]]="Undersecured",Loans[[#This Row],[RiskCategory]]="High Risk"),"High",
TRUE,"Normal"
)</f>
        <v>Normal</v>
      </c>
    </row>
    <row r="199" spans="1:20" x14ac:dyDescent="0.35">
      <c r="A199" t="s">
        <v>552</v>
      </c>
      <c r="B199" t="s">
        <v>324</v>
      </c>
      <c r="C199" t="s">
        <v>267</v>
      </c>
      <c r="D199" t="s">
        <v>155</v>
      </c>
      <c r="E199" s="34">
        <v>500000</v>
      </c>
      <c r="F199" s="29">
        <v>0.27750000000000002</v>
      </c>
      <c r="G199" s="30">
        <v>44546</v>
      </c>
      <c r="H199">
        <v>60</v>
      </c>
      <c r="I199">
        <v>90</v>
      </c>
      <c r="J199" s="34">
        <v>0</v>
      </c>
      <c r="K199" t="s">
        <v>199</v>
      </c>
      <c r="L199" s="34">
        <f>PMT(Loans[[#This Row],[InterestRate]]/12,Loans[[#This Row],[LoanTenureMonths]],-Loans[[#This Row],[LoanAmount]])</f>
        <v>15492.586683109303</v>
      </c>
      <c r="M199" s="30">
        <f>EDATE(Loans[[#This Row],[LoanStartDate]],Loans[[#This Row],[LoanTenureMonths]])</f>
        <v>46372</v>
      </c>
      <c r="N199" s="33">
        <f>IF(Loans[[#This Row],[LoanAmount]]=0,0,Loans[[#This Row],[CollateralValue]]/Loans[[#This Row],[LoanAmount]])</f>
        <v>0</v>
      </c>
      <c r="O199" t="str">
        <f>IF(Loans[[#This Row],[CollateralCoverageRatio]]&lt;1,"Undersecured","Secured")</f>
        <v>Undersecured</v>
      </c>
      <c r="P199" t="str">
        <f>_xlfn.XLOOKUP(Loans[[#This Row],[BranchCode]],BranchesTbl[BranchCode],BranchesTbl[BranchName])</f>
        <v>Malindi</v>
      </c>
      <c r="Q199">
        <f>_xlfn.XLOOKUP(Loans[[#This Row],[CustomerID]],CustomerTbl[CustomerID],CustomerTbl[RiskScore])</f>
        <v>696</v>
      </c>
      <c r="R199" t="str">
        <f>IFERROR(INDEX(RiskTbl[Risk_Category],MATCH(Loans[[#This Row],[RiskScore]],RiskTbl[Score_Min],1)),"Unknown")</f>
        <v>Low Risk</v>
      </c>
      <c r="S199" t="str">
        <f>IF(OR(Loans[[#This Row],[LoanStatus]]="Default",Loans[[#This Row],[LoanStatus]]="Watchlist",Loans[[#This Row],[CollateralRisk]]="Undersecured",Loans[[#This Row],[RiskCategory]]="High Risk"),"High Risk Exposure","Normal")</f>
        <v>High Risk Exposure</v>
      </c>
      <c r="T199" t="str" cm="1">
        <f t="array" ref="T199">_xlfn.IFS(
Loans[[#This Row],[LoanStatus]]="Default","Critical",
OR(Loans[[#This Row],[LoanStatus]]="Watchlist",Loans[[#This Row],[CollateralRisk]]="Undersecured",Loans[[#This Row],[RiskCategory]]="High Risk"),"High",
TRUE,"Normal"
)</f>
        <v>High</v>
      </c>
    </row>
    <row r="200" spans="1:20" x14ac:dyDescent="0.35">
      <c r="A200" t="s">
        <v>553</v>
      </c>
      <c r="B200" t="s">
        <v>554</v>
      </c>
      <c r="C200" t="s">
        <v>170</v>
      </c>
      <c r="D200" t="s">
        <v>157</v>
      </c>
      <c r="E200" s="34">
        <v>6000000</v>
      </c>
      <c r="F200" s="29">
        <v>0.1265</v>
      </c>
      <c r="G200" s="30">
        <v>45672</v>
      </c>
      <c r="H200">
        <v>12</v>
      </c>
      <c r="I200">
        <v>0</v>
      </c>
      <c r="J200" s="34">
        <v>6240000</v>
      </c>
      <c r="K200" t="s">
        <v>171</v>
      </c>
      <c r="L200" s="34">
        <f>PMT(Loans[[#This Row],[InterestRate]]/12,Loans[[#This Row],[LoanTenureMonths]],-Loans[[#This Row],[LoanAmount]])</f>
        <v>534918.90618390217</v>
      </c>
      <c r="M200" s="30">
        <f>EDATE(Loans[[#This Row],[LoanStartDate]],Loans[[#This Row],[LoanTenureMonths]])</f>
        <v>46037</v>
      </c>
      <c r="N200" s="33">
        <f>IF(Loans[[#This Row],[LoanAmount]]=0,0,Loans[[#This Row],[CollateralValue]]/Loans[[#This Row],[LoanAmount]])</f>
        <v>1.04</v>
      </c>
      <c r="O200" t="str">
        <f>IF(Loans[[#This Row],[CollateralCoverageRatio]]&lt;1,"Undersecured","Secured")</f>
        <v>Secured</v>
      </c>
      <c r="P200" t="str">
        <f>_xlfn.XLOOKUP(Loans[[#This Row],[BranchCode]],BranchesTbl[BranchCode],BranchesTbl[BranchName])</f>
        <v>Thika</v>
      </c>
      <c r="Q200">
        <f>_xlfn.XLOOKUP(Loans[[#This Row],[CustomerID]],CustomerTbl[CustomerID],CustomerTbl[RiskScore])</f>
        <v>506</v>
      </c>
      <c r="R200" t="str">
        <f>IFERROR(INDEX(RiskTbl[Risk_Category],MATCH(Loans[[#This Row],[RiskScore]],RiskTbl[Score_Min],1)),"Unknown")</f>
        <v>High Risk</v>
      </c>
      <c r="S200" t="str">
        <f>IF(OR(Loans[[#This Row],[LoanStatus]]="Default",Loans[[#This Row],[LoanStatus]]="Watchlist",Loans[[#This Row],[CollateralRisk]]="Undersecured",Loans[[#This Row],[RiskCategory]]="High Risk"),"High Risk Exposure","Normal")</f>
        <v>High Risk Exposure</v>
      </c>
      <c r="T200" t="str" cm="1">
        <f t="array" ref="T200">_xlfn.IFS(
Loans[[#This Row],[LoanStatus]]="Default","Critical",
OR(Loans[[#This Row],[LoanStatus]]="Watchlist",Loans[[#This Row],[CollateralRisk]]="Undersecured",Loans[[#This Row],[RiskCategory]]="High Risk"),"High",
TRUE,"Normal"
)</f>
        <v>High</v>
      </c>
    </row>
    <row r="201" spans="1:20" x14ac:dyDescent="0.35">
      <c r="A201" t="s">
        <v>555</v>
      </c>
      <c r="B201" t="s">
        <v>369</v>
      </c>
      <c r="C201" t="s">
        <v>177</v>
      </c>
      <c r="D201" t="s">
        <v>157</v>
      </c>
      <c r="E201" s="34">
        <v>6000000</v>
      </c>
      <c r="F201" s="29">
        <v>0.1105</v>
      </c>
      <c r="G201" s="30">
        <v>44635</v>
      </c>
      <c r="H201">
        <v>72</v>
      </c>
      <c r="I201">
        <v>0</v>
      </c>
      <c r="J201" s="34">
        <v>8820000</v>
      </c>
      <c r="K201" t="s">
        <v>171</v>
      </c>
      <c r="L201" s="34">
        <f>PMT(Loans[[#This Row],[InterestRate]]/12,Loans[[#This Row],[LoanTenureMonths]],-Loans[[#This Row],[LoanAmount]])</f>
        <v>114358.18978661644</v>
      </c>
      <c r="M201" s="30">
        <f>EDATE(Loans[[#This Row],[LoanStartDate]],Loans[[#This Row],[LoanTenureMonths]])</f>
        <v>46827</v>
      </c>
      <c r="N201" s="33">
        <f>IF(Loans[[#This Row],[LoanAmount]]=0,0,Loans[[#This Row],[CollateralValue]]/Loans[[#This Row],[LoanAmount]])</f>
        <v>1.47</v>
      </c>
      <c r="O201" t="str">
        <f>IF(Loans[[#This Row],[CollateralCoverageRatio]]&lt;1,"Undersecured","Secured")</f>
        <v>Secured</v>
      </c>
      <c r="P201" t="str">
        <f>_xlfn.XLOOKUP(Loans[[#This Row],[BranchCode]],BranchesTbl[BranchCode],BranchesTbl[BranchName])</f>
        <v>Naivasha</v>
      </c>
      <c r="Q201">
        <f>_xlfn.XLOOKUP(Loans[[#This Row],[CustomerID]],CustomerTbl[CustomerID],CustomerTbl[RiskScore])</f>
        <v>787</v>
      </c>
      <c r="R201" t="str">
        <f>IFERROR(INDEX(RiskTbl[Risk_Category],MATCH(Loans[[#This Row],[RiskScore]],RiskTbl[Score_Min],1)),"Unknown")</f>
        <v>Very Low Risk</v>
      </c>
      <c r="S201" t="str">
        <f>IF(OR(Loans[[#This Row],[LoanStatus]]="Default",Loans[[#This Row],[LoanStatus]]="Watchlist",Loans[[#This Row],[CollateralRisk]]="Undersecured",Loans[[#This Row],[RiskCategory]]="High Risk"),"High Risk Exposure","Normal")</f>
        <v>Normal</v>
      </c>
      <c r="T201" t="str" cm="1">
        <f t="array" ref="T201">_xlfn.IFS(
Loans[[#This Row],[LoanStatus]]="Default","Critical",
OR(Loans[[#This Row],[LoanStatus]]="Watchlist",Loans[[#This Row],[CollateralRisk]]="Undersecured",Loans[[#This Row],[RiskCategory]]="High Risk"),"High",
TRUE,"Normal"
)</f>
        <v>Normal</v>
      </c>
    </row>
    <row r="202" spans="1:20" x14ac:dyDescent="0.35">
      <c r="A202" t="s">
        <v>556</v>
      </c>
      <c r="B202" t="s">
        <v>557</v>
      </c>
      <c r="C202" t="s">
        <v>232</v>
      </c>
      <c r="D202" t="s">
        <v>157</v>
      </c>
      <c r="E202" s="34">
        <v>6000000</v>
      </c>
      <c r="F202" s="29">
        <v>0.13320000000000001</v>
      </c>
      <c r="G202" s="30">
        <v>44357</v>
      </c>
      <c r="H202">
        <v>24</v>
      </c>
      <c r="I202">
        <v>45</v>
      </c>
      <c r="J202" s="34">
        <v>4800000</v>
      </c>
      <c r="K202" t="s">
        <v>199</v>
      </c>
      <c r="L202" s="34">
        <f>PMT(Loans[[#This Row],[InterestRate]]/12,Loans[[#This Row],[LoanTenureMonths]],-Loans[[#This Row],[LoanAmount]])</f>
        <v>286153.60450508411</v>
      </c>
      <c r="M202" s="30">
        <f>EDATE(Loans[[#This Row],[LoanStartDate]],Loans[[#This Row],[LoanTenureMonths]])</f>
        <v>45087</v>
      </c>
      <c r="N202" s="33">
        <f>IF(Loans[[#This Row],[LoanAmount]]=0,0,Loans[[#This Row],[CollateralValue]]/Loans[[#This Row],[LoanAmount]])</f>
        <v>0.8</v>
      </c>
      <c r="O202" t="str">
        <f>IF(Loans[[#This Row],[CollateralCoverageRatio]]&lt;1,"Undersecured","Secured")</f>
        <v>Undersecured</v>
      </c>
      <c r="P202" t="str">
        <f>_xlfn.XLOOKUP(Loans[[#This Row],[BranchCode]],BranchesTbl[BranchCode],BranchesTbl[BranchName])</f>
        <v>Upper Hill</v>
      </c>
      <c r="Q202">
        <f>_xlfn.XLOOKUP(Loans[[#This Row],[CustomerID]],CustomerTbl[CustomerID],CustomerTbl[RiskScore])</f>
        <v>621</v>
      </c>
      <c r="R202" t="str">
        <f>IFERROR(INDEX(RiskTbl[Risk_Category],MATCH(Loans[[#This Row],[RiskScore]],RiskTbl[Score_Min],1)),"Unknown")</f>
        <v>Medium Risk</v>
      </c>
      <c r="S202" t="str">
        <f>IF(OR(Loans[[#This Row],[LoanStatus]]="Default",Loans[[#This Row],[LoanStatus]]="Watchlist",Loans[[#This Row],[CollateralRisk]]="Undersecured",Loans[[#This Row],[RiskCategory]]="High Risk"),"High Risk Exposure","Normal")</f>
        <v>High Risk Exposure</v>
      </c>
      <c r="T202" t="str" cm="1">
        <f t="array" ref="T202">_xlfn.IFS(
Loans[[#This Row],[LoanStatus]]="Default","Critical",
OR(Loans[[#This Row],[LoanStatus]]="Watchlist",Loans[[#This Row],[CollateralRisk]]="Undersecured",Loans[[#This Row],[RiskCategory]]="High Risk"),"High",
TRUE,"Normal"
)</f>
        <v>High</v>
      </c>
    </row>
    <row r="203" spans="1:20" x14ac:dyDescent="0.35">
      <c r="A203" t="s">
        <v>558</v>
      </c>
      <c r="B203" t="s">
        <v>559</v>
      </c>
      <c r="C203" t="s">
        <v>206</v>
      </c>
      <c r="D203" t="s">
        <v>155</v>
      </c>
      <c r="E203" s="34">
        <v>250000</v>
      </c>
      <c r="F203" s="29">
        <v>0.2253</v>
      </c>
      <c r="G203" s="30">
        <v>45023</v>
      </c>
      <c r="H203">
        <v>72</v>
      </c>
      <c r="I203">
        <v>0</v>
      </c>
      <c r="J203" s="34">
        <v>0</v>
      </c>
      <c r="K203" t="s">
        <v>171</v>
      </c>
      <c r="L203" s="34">
        <f>PMT(Loans[[#This Row],[InterestRate]]/12,Loans[[#This Row],[LoanTenureMonths]],-Loans[[#This Row],[LoanAmount]])</f>
        <v>6360.4204029246857</v>
      </c>
      <c r="M203" s="30">
        <f>EDATE(Loans[[#This Row],[LoanStartDate]],Loans[[#This Row],[LoanTenureMonths]])</f>
        <v>47215</v>
      </c>
      <c r="N203" s="33">
        <f>IF(Loans[[#This Row],[LoanAmount]]=0,0,Loans[[#This Row],[CollateralValue]]/Loans[[#This Row],[LoanAmount]])</f>
        <v>0</v>
      </c>
      <c r="O203" t="str">
        <f>IF(Loans[[#This Row],[CollateralCoverageRatio]]&lt;1,"Undersecured","Secured")</f>
        <v>Undersecured</v>
      </c>
      <c r="P203" t="str">
        <f>_xlfn.XLOOKUP(Loans[[#This Row],[BranchCode]],BranchesTbl[BranchCode],BranchesTbl[BranchName])</f>
        <v>Nyahururu</v>
      </c>
      <c r="Q203">
        <f>_xlfn.XLOOKUP(Loans[[#This Row],[CustomerID]],CustomerTbl[CustomerID],CustomerTbl[RiskScore])</f>
        <v>306</v>
      </c>
      <c r="R203" t="str">
        <f>IFERROR(INDEX(RiskTbl[Risk_Category],MATCH(Loans[[#This Row],[RiskScore]],RiskTbl[Score_Min],1)),"Unknown")</f>
        <v>High Risk</v>
      </c>
      <c r="S203" t="str">
        <f>IF(OR(Loans[[#This Row],[LoanStatus]]="Default",Loans[[#This Row],[LoanStatus]]="Watchlist",Loans[[#This Row],[CollateralRisk]]="Undersecured",Loans[[#This Row],[RiskCategory]]="High Risk"),"High Risk Exposure","Normal")</f>
        <v>High Risk Exposure</v>
      </c>
      <c r="T203" t="str" cm="1">
        <f t="array" ref="T203">_xlfn.IFS(
Loans[[#This Row],[LoanStatus]]="Default","Critical",
OR(Loans[[#This Row],[LoanStatus]]="Watchlist",Loans[[#This Row],[CollateralRisk]]="Undersecured",Loans[[#This Row],[RiskCategory]]="High Risk"),"High",
TRUE,"Normal"
)</f>
        <v>High</v>
      </c>
    </row>
    <row r="204" spans="1:20" x14ac:dyDescent="0.35">
      <c r="A204" t="s">
        <v>560</v>
      </c>
      <c r="B204" t="s">
        <v>344</v>
      </c>
      <c r="C204" t="s">
        <v>177</v>
      </c>
      <c r="D204" t="s">
        <v>155</v>
      </c>
      <c r="E204" s="34">
        <v>500000</v>
      </c>
      <c r="F204" s="29">
        <v>0.22209999999999999</v>
      </c>
      <c r="G204" s="30">
        <v>45386</v>
      </c>
      <c r="H204">
        <v>72</v>
      </c>
      <c r="I204">
        <v>0</v>
      </c>
      <c r="J204" s="34">
        <v>0</v>
      </c>
      <c r="K204" t="s">
        <v>171</v>
      </c>
      <c r="L204" s="34">
        <f>PMT(Loans[[#This Row],[InterestRate]]/12,Loans[[#This Row],[LoanTenureMonths]],-Loans[[#This Row],[LoanAmount]])</f>
        <v>12625.46450955734</v>
      </c>
      <c r="M204" s="30">
        <f>EDATE(Loans[[#This Row],[LoanStartDate]],Loans[[#This Row],[LoanTenureMonths]])</f>
        <v>47577</v>
      </c>
      <c r="N204" s="33">
        <f>IF(Loans[[#This Row],[LoanAmount]]=0,0,Loans[[#This Row],[CollateralValue]]/Loans[[#This Row],[LoanAmount]])</f>
        <v>0</v>
      </c>
      <c r="O204" t="str">
        <f>IF(Loans[[#This Row],[CollateralCoverageRatio]]&lt;1,"Undersecured","Secured")</f>
        <v>Undersecured</v>
      </c>
      <c r="P204" t="str">
        <f>_xlfn.XLOOKUP(Loans[[#This Row],[BranchCode]],BranchesTbl[BranchCode],BranchesTbl[BranchName])</f>
        <v>Naivasha</v>
      </c>
      <c r="Q204">
        <f>_xlfn.XLOOKUP(Loans[[#This Row],[CustomerID]],CustomerTbl[CustomerID],CustomerTbl[RiskScore])</f>
        <v>720</v>
      </c>
      <c r="R204" t="str">
        <f>IFERROR(INDEX(RiskTbl[Risk_Category],MATCH(Loans[[#This Row],[RiskScore]],RiskTbl[Score_Min],1)),"Unknown")</f>
        <v>Low Risk</v>
      </c>
      <c r="S204" t="str">
        <f>IF(OR(Loans[[#This Row],[LoanStatus]]="Default",Loans[[#This Row],[LoanStatus]]="Watchlist",Loans[[#This Row],[CollateralRisk]]="Undersecured",Loans[[#This Row],[RiskCategory]]="High Risk"),"High Risk Exposure","Normal")</f>
        <v>High Risk Exposure</v>
      </c>
      <c r="T204" t="str" cm="1">
        <f t="array" ref="T204">_xlfn.IFS(
Loans[[#This Row],[LoanStatus]]="Default","Critical",
OR(Loans[[#This Row],[LoanStatus]]="Watchlist",Loans[[#This Row],[CollateralRisk]]="Undersecured",Loans[[#This Row],[RiskCategory]]="High Risk"),"High",
TRUE,"Normal"
)</f>
        <v>High</v>
      </c>
    </row>
    <row r="205" spans="1:20" x14ac:dyDescent="0.35">
      <c r="A205" t="s">
        <v>561</v>
      </c>
      <c r="B205" t="s">
        <v>562</v>
      </c>
      <c r="C205" t="s">
        <v>181</v>
      </c>
      <c r="D205" t="s">
        <v>156</v>
      </c>
      <c r="E205" s="34">
        <v>1000000</v>
      </c>
      <c r="F205" s="29">
        <v>0.1799</v>
      </c>
      <c r="G205" s="30">
        <v>44856</v>
      </c>
      <c r="H205">
        <v>36</v>
      </c>
      <c r="I205">
        <v>0</v>
      </c>
      <c r="J205" s="34">
        <v>1240000</v>
      </c>
      <c r="K205" t="s">
        <v>171</v>
      </c>
      <c r="L205" s="34">
        <f>PMT(Loans[[#This Row],[InterestRate]]/12,Loans[[#This Row],[LoanTenureMonths]],-Loans[[#This Row],[LoanAmount]])</f>
        <v>36147.379242366311</v>
      </c>
      <c r="M205" s="30">
        <f>EDATE(Loans[[#This Row],[LoanStartDate]],Loans[[#This Row],[LoanTenureMonths]])</f>
        <v>45952</v>
      </c>
      <c r="N205" s="33">
        <f>IF(Loans[[#This Row],[LoanAmount]]=0,0,Loans[[#This Row],[CollateralValue]]/Loans[[#This Row],[LoanAmount]])</f>
        <v>1.24</v>
      </c>
      <c r="O205" t="str">
        <f>IF(Loans[[#This Row],[CollateralCoverageRatio]]&lt;1,"Undersecured","Secured")</f>
        <v>Secured</v>
      </c>
      <c r="P205" t="str">
        <f>_xlfn.XLOOKUP(Loans[[#This Row],[BranchCode]],BranchesTbl[BranchCode],BranchesTbl[BranchName])</f>
        <v>Kitale</v>
      </c>
      <c r="Q205">
        <f>_xlfn.XLOOKUP(Loans[[#This Row],[CustomerID]],CustomerTbl[CustomerID],CustomerTbl[RiskScore])</f>
        <v>767</v>
      </c>
      <c r="R205" t="str">
        <f>IFERROR(INDEX(RiskTbl[Risk_Category],MATCH(Loans[[#This Row],[RiskScore]],RiskTbl[Score_Min],1)),"Unknown")</f>
        <v>Very Low Risk</v>
      </c>
      <c r="S205" t="str">
        <f>IF(OR(Loans[[#This Row],[LoanStatus]]="Default",Loans[[#This Row],[LoanStatus]]="Watchlist",Loans[[#This Row],[CollateralRisk]]="Undersecured",Loans[[#This Row],[RiskCategory]]="High Risk"),"High Risk Exposure","Normal")</f>
        <v>Normal</v>
      </c>
      <c r="T205" t="str" cm="1">
        <f t="array" ref="T205">_xlfn.IFS(
Loans[[#This Row],[LoanStatus]]="Default","Critical",
OR(Loans[[#This Row],[LoanStatus]]="Watchlist",Loans[[#This Row],[CollateralRisk]]="Undersecured",Loans[[#This Row],[RiskCategory]]="High Risk"),"High",
TRUE,"Normal"
)</f>
        <v>Normal</v>
      </c>
    </row>
    <row r="206" spans="1:20" x14ac:dyDescent="0.35">
      <c r="A206" t="s">
        <v>563</v>
      </c>
      <c r="B206" t="s">
        <v>436</v>
      </c>
      <c r="C206" t="s">
        <v>239</v>
      </c>
      <c r="D206" t="s">
        <v>158</v>
      </c>
      <c r="E206" s="34">
        <v>3000000</v>
      </c>
      <c r="F206" s="29">
        <v>0.18609999999999999</v>
      </c>
      <c r="G206" s="30">
        <v>44967</v>
      </c>
      <c r="H206">
        <v>48</v>
      </c>
      <c r="I206">
        <v>20</v>
      </c>
      <c r="J206" s="34">
        <v>1860000</v>
      </c>
      <c r="K206" t="s">
        <v>171</v>
      </c>
      <c r="L206" s="34">
        <f>PMT(Loans[[#This Row],[InterestRate]]/12,Loans[[#This Row],[LoanTenureMonths]],-Loans[[#This Row],[LoanAmount]])</f>
        <v>89084.130829876085</v>
      </c>
      <c r="M206" s="30">
        <f>EDATE(Loans[[#This Row],[LoanStartDate]],Loans[[#This Row],[LoanTenureMonths]])</f>
        <v>46428</v>
      </c>
      <c r="N206" s="33">
        <f>IF(Loans[[#This Row],[LoanAmount]]=0,0,Loans[[#This Row],[CollateralValue]]/Loans[[#This Row],[LoanAmount]])</f>
        <v>0.62</v>
      </c>
      <c r="O206" t="str">
        <f>IF(Loans[[#This Row],[CollateralCoverageRatio]]&lt;1,"Undersecured","Secured")</f>
        <v>Undersecured</v>
      </c>
      <c r="P206" t="str">
        <f>_xlfn.XLOOKUP(Loans[[#This Row],[BranchCode]],BranchesTbl[BranchCode],BranchesTbl[BranchName])</f>
        <v>Machakos</v>
      </c>
      <c r="Q206">
        <f>_xlfn.XLOOKUP(Loans[[#This Row],[CustomerID]],CustomerTbl[CustomerID],CustomerTbl[RiskScore])</f>
        <v>487</v>
      </c>
      <c r="R206" t="str">
        <f>IFERROR(INDEX(RiskTbl[Risk_Category],MATCH(Loans[[#This Row],[RiskScore]],RiskTbl[Score_Min],1)),"Unknown")</f>
        <v>High Risk</v>
      </c>
      <c r="S206" t="str">
        <f>IF(OR(Loans[[#This Row],[LoanStatus]]="Default",Loans[[#This Row],[LoanStatus]]="Watchlist",Loans[[#This Row],[CollateralRisk]]="Undersecured",Loans[[#This Row],[RiskCategory]]="High Risk"),"High Risk Exposure","Normal")</f>
        <v>High Risk Exposure</v>
      </c>
      <c r="T206" t="str" cm="1">
        <f t="array" ref="T206">_xlfn.IFS(
Loans[[#This Row],[LoanStatus]]="Default","Critical",
OR(Loans[[#This Row],[LoanStatus]]="Watchlist",Loans[[#This Row],[CollateralRisk]]="Undersecured",Loans[[#This Row],[RiskCategory]]="High Risk"),"High",
TRUE,"Normal"
)</f>
        <v>High</v>
      </c>
    </row>
    <row r="207" spans="1:20" x14ac:dyDescent="0.35">
      <c r="A207" t="s">
        <v>564</v>
      </c>
      <c r="B207" t="s">
        <v>565</v>
      </c>
      <c r="C207" t="s">
        <v>174</v>
      </c>
      <c r="D207" t="s">
        <v>157</v>
      </c>
      <c r="E207" s="34">
        <v>6000000</v>
      </c>
      <c r="F207" s="29">
        <v>0.1084</v>
      </c>
      <c r="G207" s="30">
        <v>45866</v>
      </c>
      <c r="H207">
        <v>36</v>
      </c>
      <c r="I207">
        <v>10</v>
      </c>
      <c r="J207" s="34">
        <v>4620000</v>
      </c>
      <c r="K207" t="s">
        <v>171</v>
      </c>
      <c r="L207" s="34">
        <f>PMT(Loans[[#This Row],[InterestRate]]/12,Loans[[#This Row],[LoanTenureMonths]],-Loans[[#This Row],[LoanAmount]])</f>
        <v>195977.99385112867</v>
      </c>
      <c r="M207" s="30">
        <f>EDATE(Loans[[#This Row],[LoanStartDate]],Loans[[#This Row],[LoanTenureMonths]])</f>
        <v>46962</v>
      </c>
      <c r="N207" s="33">
        <f>IF(Loans[[#This Row],[LoanAmount]]=0,0,Loans[[#This Row],[CollateralValue]]/Loans[[#This Row],[LoanAmount]])</f>
        <v>0.77</v>
      </c>
      <c r="O207" t="str">
        <f>IF(Loans[[#This Row],[CollateralCoverageRatio]]&lt;1,"Undersecured","Secured")</f>
        <v>Undersecured</v>
      </c>
      <c r="P207" t="str">
        <f>_xlfn.XLOOKUP(Loans[[#This Row],[BranchCode]],BranchesTbl[BranchCode],BranchesTbl[BranchName])</f>
        <v>Westlands</v>
      </c>
      <c r="Q207">
        <f>_xlfn.XLOOKUP(Loans[[#This Row],[CustomerID]],CustomerTbl[CustomerID],CustomerTbl[RiskScore])</f>
        <v>641</v>
      </c>
      <c r="R207" t="str">
        <f>IFERROR(INDEX(RiskTbl[Risk_Category],MATCH(Loans[[#This Row],[RiskScore]],RiskTbl[Score_Min],1)),"Unknown")</f>
        <v>Medium Risk</v>
      </c>
      <c r="S207" t="str">
        <f>IF(OR(Loans[[#This Row],[LoanStatus]]="Default",Loans[[#This Row],[LoanStatus]]="Watchlist",Loans[[#This Row],[CollateralRisk]]="Undersecured",Loans[[#This Row],[RiskCategory]]="High Risk"),"High Risk Exposure","Normal")</f>
        <v>High Risk Exposure</v>
      </c>
      <c r="T207" t="str" cm="1">
        <f t="array" ref="T207">_xlfn.IFS(
Loans[[#This Row],[LoanStatus]]="Default","Critical",
OR(Loans[[#This Row],[LoanStatus]]="Watchlist",Loans[[#This Row],[CollateralRisk]]="Undersecured",Loans[[#This Row],[RiskCategory]]="High Risk"),"High",
TRUE,"Normal"
)</f>
        <v>High</v>
      </c>
    </row>
    <row r="208" spans="1:20" x14ac:dyDescent="0.35">
      <c r="A208" t="s">
        <v>566</v>
      </c>
      <c r="B208" t="s">
        <v>567</v>
      </c>
      <c r="C208" t="s">
        <v>177</v>
      </c>
      <c r="D208" t="s">
        <v>155</v>
      </c>
      <c r="E208" s="34">
        <v>500000</v>
      </c>
      <c r="F208" s="29">
        <v>0.24970000000000001</v>
      </c>
      <c r="G208" s="30">
        <v>45067</v>
      </c>
      <c r="H208">
        <v>12</v>
      </c>
      <c r="I208">
        <v>0</v>
      </c>
      <c r="J208" s="34">
        <v>0</v>
      </c>
      <c r="K208" t="s">
        <v>171</v>
      </c>
      <c r="L208" s="34">
        <f>PMT(Loans[[#This Row],[InterestRate]]/12,Loans[[#This Row],[LoanTenureMonths]],-Loans[[#This Row],[LoanAmount]])</f>
        <v>47514.822857515137</v>
      </c>
      <c r="M208" s="30">
        <f>EDATE(Loans[[#This Row],[LoanStartDate]],Loans[[#This Row],[LoanTenureMonths]])</f>
        <v>45433</v>
      </c>
      <c r="N208" s="33">
        <f>IF(Loans[[#This Row],[LoanAmount]]=0,0,Loans[[#This Row],[CollateralValue]]/Loans[[#This Row],[LoanAmount]])</f>
        <v>0</v>
      </c>
      <c r="O208" t="str">
        <f>IF(Loans[[#This Row],[CollateralCoverageRatio]]&lt;1,"Undersecured","Secured")</f>
        <v>Undersecured</v>
      </c>
      <c r="P208" t="str">
        <f>_xlfn.XLOOKUP(Loans[[#This Row],[BranchCode]],BranchesTbl[BranchCode],BranchesTbl[BranchName])</f>
        <v>Naivasha</v>
      </c>
      <c r="Q208">
        <f>_xlfn.XLOOKUP(Loans[[#This Row],[CustomerID]],CustomerTbl[CustomerID],CustomerTbl[RiskScore])</f>
        <v>597</v>
      </c>
      <c r="R208" t="str">
        <f>IFERROR(INDEX(RiskTbl[Risk_Category],MATCH(Loans[[#This Row],[RiskScore]],RiskTbl[Score_Min],1)),"Unknown")</f>
        <v>Medium Risk</v>
      </c>
      <c r="S208" t="str">
        <f>IF(OR(Loans[[#This Row],[LoanStatus]]="Default",Loans[[#This Row],[LoanStatus]]="Watchlist",Loans[[#This Row],[CollateralRisk]]="Undersecured",Loans[[#This Row],[RiskCategory]]="High Risk"),"High Risk Exposure","Normal")</f>
        <v>High Risk Exposure</v>
      </c>
      <c r="T208" t="str" cm="1">
        <f t="array" ref="T208">_xlfn.IFS(
Loans[[#This Row],[LoanStatus]]="Default","Critical",
OR(Loans[[#This Row],[LoanStatus]]="Watchlist",Loans[[#This Row],[CollateralRisk]]="Undersecured",Loans[[#This Row],[RiskCategory]]="High Risk"),"High",
TRUE,"Normal"
)</f>
        <v>High</v>
      </c>
    </row>
    <row r="209" spans="1:20" x14ac:dyDescent="0.35">
      <c r="A209" t="s">
        <v>568</v>
      </c>
      <c r="B209" t="s">
        <v>569</v>
      </c>
      <c r="C209" t="s">
        <v>174</v>
      </c>
      <c r="D209" t="s">
        <v>155</v>
      </c>
      <c r="E209" s="34">
        <v>500000</v>
      </c>
      <c r="F209" s="29">
        <v>0.2001</v>
      </c>
      <c r="G209" s="30">
        <v>45133</v>
      </c>
      <c r="H209">
        <v>72</v>
      </c>
      <c r="I209">
        <v>45</v>
      </c>
      <c r="J209" s="34">
        <v>0</v>
      </c>
      <c r="K209" t="s">
        <v>199</v>
      </c>
      <c r="L209" s="34">
        <f>PMT(Loans[[#This Row],[InterestRate]]/12,Loans[[#This Row],[LoanTenureMonths]],-Loans[[#This Row],[LoanAmount]])</f>
        <v>11979.31147675972</v>
      </c>
      <c r="M209" s="30">
        <f>EDATE(Loans[[#This Row],[LoanStartDate]],Loans[[#This Row],[LoanTenureMonths]])</f>
        <v>47325</v>
      </c>
      <c r="N209" s="33">
        <f>IF(Loans[[#This Row],[LoanAmount]]=0,0,Loans[[#This Row],[CollateralValue]]/Loans[[#This Row],[LoanAmount]])</f>
        <v>0</v>
      </c>
      <c r="O209" t="str">
        <f>IF(Loans[[#This Row],[CollateralCoverageRatio]]&lt;1,"Undersecured","Secured")</f>
        <v>Undersecured</v>
      </c>
      <c r="P209" t="str">
        <f>_xlfn.XLOOKUP(Loans[[#This Row],[BranchCode]],BranchesTbl[BranchCode],BranchesTbl[BranchName])</f>
        <v>Westlands</v>
      </c>
      <c r="Q209">
        <f>_xlfn.XLOOKUP(Loans[[#This Row],[CustomerID]],CustomerTbl[CustomerID],CustomerTbl[RiskScore])</f>
        <v>347</v>
      </c>
      <c r="R209" t="str">
        <f>IFERROR(INDEX(RiskTbl[Risk_Category],MATCH(Loans[[#This Row],[RiskScore]],RiskTbl[Score_Min],1)),"Unknown")</f>
        <v>High Risk</v>
      </c>
      <c r="S209" t="str">
        <f>IF(OR(Loans[[#This Row],[LoanStatus]]="Default",Loans[[#This Row],[LoanStatus]]="Watchlist",Loans[[#This Row],[CollateralRisk]]="Undersecured",Loans[[#This Row],[RiskCategory]]="High Risk"),"High Risk Exposure","Normal")</f>
        <v>High Risk Exposure</v>
      </c>
      <c r="T209" t="str" cm="1">
        <f t="array" ref="T209">_xlfn.IFS(
Loans[[#This Row],[LoanStatus]]="Default","Critical",
OR(Loans[[#This Row],[LoanStatus]]="Watchlist",Loans[[#This Row],[CollateralRisk]]="Undersecured",Loans[[#This Row],[RiskCategory]]="High Risk"),"High",
TRUE,"Normal"
)</f>
        <v>High</v>
      </c>
    </row>
    <row r="210" spans="1:20" x14ac:dyDescent="0.35">
      <c r="A210" t="s">
        <v>570</v>
      </c>
      <c r="B210" t="s">
        <v>571</v>
      </c>
      <c r="C210" t="s">
        <v>190</v>
      </c>
      <c r="D210" t="s">
        <v>156</v>
      </c>
      <c r="E210" s="34">
        <v>25000000</v>
      </c>
      <c r="F210" s="29">
        <v>0.1479</v>
      </c>
      <c r="G210" s="30">
        <v>45431</v>
      </c>
      <c r="H210">
        <v>48</v>
      </c>
      <c r="I210">
        <v>120</v>
      </c>
      <c r="J210" s="34">
        <v>20250000</v>
      </c>
      <c r="K210" t="s">
        <v>178</v>
      </c>
      <c r="L210" s="34">
        <f>PMT(Loans[[#This Row],[InterestRate]]/12,Loans[[#This Row],[LoanTenureMonths]],-Loans[[#This Row],[LoanAmount]])</f>
        <v>693110.34438732208</v>
      </c>
      <c r="M210" s="30">
        <f>EDATE(Loans[[#This Row],[LoanStartDate]],Loans[[#This Row],[LoanTenureMonths]])</f>
        <v>46892</v>
      </c>
      <c r="N210" s="33">
        <f>IF(Loans[[#This Row],[LoanAmount]]=0,0,Loans[[#This Row],[CollateralValue]]/Loans[[#This Row],[LoanAmount]])</f>
        <v>0.81</v>
      </c>
      <c r="O210" t="str">
        <f>IF(Loans[[#This Row],[CollateralCoverageRatio]]&lt;1,"Undersecured","Secured")</f>
        <v>Undersecured</v>
      </c>
      <c r="P210" t="str">
        <f>_xlfn.XLOOKUP(Loans[[#This Row],[BranchCode]],BranchesTbl[BranchCode],BranchesTbl[BranchName])</f>
        <v>Nyeri</v>
      </c>
      <c r="Q210">
        <f>_xlfn.XLOOKUP(Loans[[#This Row],[CustomerID]],CustomerTbl[CustomerID],CustomerTbl[RiskScore])</f>
        <v>544</v>
      </c>
      <c r="R210" t="str">
        <f>IFERROR(INDEX(RiskTbl[Risk_Category],MATCH(Loans[[#This Row],[RiskScore]],RiskTbl[Score_Min],1)),"Unknown")</f>
        <v>High Risk</v>
      </c>
      <c r="S210" t="str">
        <f>IF(OR(Loans[[#This Row],[LoanStatus]]="Default",Loans[[#This Row],[LoanStatus]]="Watchlist",Loans[[#This Row],[CollateralRisk]]="Undersecured",Loans[[#This Row],[RiskCategory]]="High Risk"),"High Risk Exposure","Normal")</f>
        <v>High Risk Exposure</v>
      </c>
      <c r="T210" t="str" cm="1">
        <f t="array" ref="T210">_xlfn.IFS(
Loans[[#This Row],[LoanStatus]]="Default","Critical",
OR(Loans[[#This Row],[LoanStatus]]="Watchlist",Loans[[#This Row],[CollateralRisk]]="Undersecured",Loans[[#This Row],[RiskCategory]]="High Risk"),"High",
TRUE,"Normal"
)</f>
        <v>Critical</v>
      </c>
    </row>
    <row r="211" spans="1:20" x14ac:dyDescent="0.35">
      <c r="A211" t="s">
        <v>572</v>
      </c>
      <c r="B211" t="s">
        <v>408</v>
      </c>
      <c r="C211" t="s">
        <v>270</v>
      </c>
      <c r="D211" t="s">
        <v>157</v>
      </c>
      <c r="E211" s="34">
        <v>6000000</v>
      </c>
      <c r="F211" s="29">
        <v>9.2200000000000004E-2</v>
      </c>
      <c r="G211" s="30">
        <v>44723</v>
      </c>
      <c r="H211">
        <v>12</v>
      </c>
      <c r="I211">
        <v>10</v>
      </c>
      <c r="J211" s="34">
        <v>7560000</v>
      </c>
      <c r="K211" t="s">
        <v>171</v>
      </c>
      <c r="L211" s="34">
        <f>PMT(Loans[[#This Row],[InterestRate]]/12,Loans[[#This Row],[LoanTenureMonths]],-Loans[[#This Row],[LoanAmount]])</f>
        <v>525321.18127488531</v>
      </c>
      <c r="M211" s="30">
        <f>EDATE(Loans[[#This Row],[LoanStartDate]],Loans[[#This Row],[LoanTenureMonths]])</f>
        <v>45088</v>
      </c>
      <c r="N211" s="33">
        <f>IF(Loans[[#This Row],[LoanAmount]]=0,0,Loans[[#This Row],[CollateralValue]]/Loans[[#This Row],[LoanAmount]])</f>
        <v>1.26</v>
      </c>
      <c r="O211" t="str">
        <f>IF(Loans[[#This Row],[CollateralCoverageRatio]]&lt;1,"Undersecured","Secured")</f>
        <v>Secured</v>
      </c>
      <c r="P211" t="str">
        <f>_xlfn.XLOOKUP(Loans[[#This Row],[BranchCode]],BranchesTbl[BranchCode],BranchesTbl[BranchName])</f>
        <v>Nakuru</v>
      </c>
      <c r="Q211">
        <f>_xlfn.XLOOKUP(Loans[[#This Row],[CustomerID]],CustomerTbl[CustomerID],CustomerTbl[RiskScore])</f>
        <v>744</v>
      </c>
      <c r="R211" t="str">
        <f>IFERROR(INDEX(RiskTbl[Risk_Category],MATCH(Loans[[#This Row],[RiskScore]],RiskTbl[Score_Min],1)),"Unknown")</f>
        <v>Very Low Risk</v>
      </c>
      <c r="S211" t="str">
        <f>IF(OR(Loans[[#This Row],[LoanStatus]]="Default",Loans[[#This Row],[LoanStatus]]="Watchlist",Loans[[#This Row],[CollateralRisk]]="Undersecured",Loans[[#This Row],[RiskCategory]]="High Risk"),"High Risk Exposure","Normal")</f>
        <v>Normal</v>
      </c>
      <c r="T211" t="str" cm="1">
        <f t="array" ref="T211">_xlfn.IFS(
Loans[[#This Row],[LoanStatus]]="Default","Critical",
OR(Loans[[#This Row],[LoanStatus]]="Watchlist",Loans[[#This Row],[CollateralRisk]]="Undersecured",Loans[[#This Row],[RiskCategory]]="High Risk"),"High",
TRUE,"Normal"
)</f>
        <v>Normal</v>
      </c>
    </row>
    <row r="212" spans="1:20" x14ac:dyDescent="0.35">
      <c r="A212" t="s">
        <v>573</v>
      </c>
      <c r="B212" t="s">
        <v>574</v>
      </c>
      <c r="C212" t="s">
        <v>170</v>
      </c>
      <c r="D212" t="s">
        <v>155</v>
      </c>
      <c r="E212" s="34">
        <v>250000</v>
      </c>
      <c r="F212" s="29">
        <v>0.24890000000000001</v>
      </c>
      <c r="G212" s="30">
        <v>44609</v>
      </c>
      <c r="H212">
        <v>72</v>
      </c>
      <c r="I212">
        <v>10</v>
      </c>
      <c r="J212" s="34">
        <v>0</v>
      </c>
      <c r="K212" t="s">
        <v>171</v>
      </c>
      <c r="L212" s="34">
        <f>PMT(Loans[[#This Row],[InterestRate]]/12,Loans[[#This Row],[LoanTenureMonths]],-Loans[[#This Row],[LoanAmount]])</f>
        <v>6717.4295717760924</v>
      </c>
      <c r="M212" s="30">
        <f>EDATE(Loans[[#This Row],[LoanStartDate]],Loans[[#This Row],[LoanTenureMonths]])</f>
        <v>46800</v>
      </c>
      <c r="N212" s="33">
        <f>IF(Loans[[#This Row],[LoanAmount]]=0,0,Loans[[#This Row],[CollateralValue]]/Loans[[#This Row],[LoanAmount]])</f>
        <v>0</v>
      </c>
      <c r="O212" t="str">
        <f>IF(Loans[[#This Row],[CollateralCoverageRatio]]&lt;1,"Undersecured","Secured")</f>
        <v>Undersecured</v>
      </c>
      <c r="P212" t="str">
        <f>_xlfn.XLOOKUP(Loans[[#This Row],[BranchCode]],BranchesTbl[BranchCode],BranchesTbl[BranchName])</f>
        <v>Thika</v>
      </c>
      <c r="Q212">
        <f>_xlfn.XLOOKUP(Loans[[#This Row],[CustomerID]],CustomerTbl[CustomerID],CustomerTbl[RiskScore])</f>
        <v>695</v>
      </c>
      <c r="R212" t="str">
        <f>IFERROR(INDEX(RiskTbl[Risk_Category],MATCH(Loans[[#This Row],[RiskScore]],RiskTbl[Score_Min],1)),"Unknown")</f>
        <v>Low Risk</v>
      </c>
      <c r="S212" t="str">
        <f>IF(OR(Loans[[#This Row],[LoanStatus]]="Default",Loans[[#This Row],[LoanStatus]]="Watchlist",Loans[[#This Row],[CollateralRisk]]="Undersecured",Loans[[#This Row],[RiskCategory]]="High Risk"),"High Risk Exposure","Normal")</f>
        <v>High Risk Exposure</v>
      </c>
      <c r="T212" t="str" cm="1">
        <f t="array" ref="T212">_xlfn.IFS(
Loans[[#This Row],[LoanStatus]]="Default","Critical",
OR(Loans[[#This Row],[LoanStatus]]="Watchlist",Loans[[#This Row],[CollateralRisk]]="Undersecured",Loans[[#This Row],[RiskCategory]]="High Risk"),"High",
TRUE,"Normal"
)</f>
        <v>High</v>
      </c>
    </row>
    <row r="213" spans="1:20" x14ac:dyDescent="0.35">
      <c r="A213" t="s">
        <v>575</v>
      </c>
      <c r="B213" t="s">
        <v>218</v>
      </c>
      <c r="C213" t="s">
        <v>177</v>
      </c>
      <c r="D213" t="s">
        <v>156</v>
      </c>
      <c r="E213" s="34">
        <v>25000000</v>
      </c>
      <c r="F213" s="29">
        <v>0.157</v>
      </c>
      <c r="G213" s="30">
        <v>44785</v>
      </c>
      <c r="H213">
        <v>48</v>
      </c>
      <c r="I213">
        <v>0</v>
      </c>
      <c r="J213" s="34">
        <v>32500000</v>
      </c>
      <c r="K213" t="s">
        <v>171</v>
      </c>
      <c r="L213" s="34">
        <f>PMT(Loans[[#This Row],[InterestRate]]/12,Loans[[#This Row],[LoanTenureMonths]],-Loans[[#This Row],[LoanAmount]])</f>
        <v>704671.76320844819</v>
      </c>
      <c r="M213" s="30">
        <f>EDATE(Loans[[#This Row],[LoanStartDate]],Loans[[#This Row],[LoanTenureMonths]])</f>
        <v>46246</v>
      </c>
      <c r="N213" s="33">
        <f>IF(Loans[[#This Row],[LoanAmount]]=0,0,Loans[[#This Row],[CollateralValue]]/Loans[[#This Row],[LoanAmount]])</f>
        <v>1.3</v>
      </c>
      <c r="O213" t="str">
        <f>IF(Loans[[#This Row],[CollateralCoverageRatio]]&lt;1,"Undersecured","Secured")</f>
        <v>Secured</v>
      </c>
      <c r="P213" t="str">
        <f>_xlfn.XLOOKUP(Loans[[#This Row],[BranchCode]],BranchesTbl[BranchCode],BranchesTbl[BranchName])</f>
        <v>Naivasha</v>
      </c>
      <c r="Q213">
        <f>_xlfn.XLOOKUP(Loans[[#This Row],[CustomerID]],CustomerTbl[CustomerID],CustomerTbl[RiskScore])</f>
        <v>576</v>
      </c>
      <c r="R213" t="str">
        <f>IFERROR(INDEX(RiskTbl[Risk_Category],MATCH(Loans[[#This Row],[RiskScore]],RiskTbl[Score_Min],1)),"Unknown")</f>
        <v>High Risk</v>
      </c>
      <c r="S213" t="str">
        <f>IF(OR(Loans[[#This Row],[LoanStatus]]="Default",Loans[[#This Row],[LoanStatus]]="Watchlist",Loans[[#This Row],[CollateralRisk]]="Undersecured",Loans[[#This Row],[RiskCategory]]="High Risk"),"High Risk Exposure","Normal")</f>
        <v>High Risk Exposure</v>
      </c>
      <c r="T213" t="str" cm="1">
        <f t="array" ref="T213">_xlfn.IFS(
Loans[[#This Row],[LoanStatus]]="Default","Critical",
OR(Loans[[#This Row],[LoanStatus]]="Watchlist",Loans[[#This Row],[CollateralRisk]]="Undersecured",Loans[[#This Row],[RiskCategory]]="High Risk"),"High",
TRUE,"Normal"
)</f>
        <v>High</v>
      </c>
    </row>
    <row r="214" spans="1:20" x14ac:dyDescent="0.35">
      <c r="A214" t="s">
        <v>576</v>
      </c>
      <c r="B214" t="s">
        <v>577</v>
      </c>
      <c r="C214" t="s">
        <v>193</v>
      </c>
      <c r="D214" t="s">
        <v>158</v>
      </c>
      <c r="E214" s="34">
        <v>1000000</v>
      </c>
      <c r="F214" s="29">
        <v>0.15740000000000001</v>
      </c>
      <c r="G214" s="30">
        <v>44553</v>
      </c>
      <c r="H214">
        <v>12</v>
      </c>
      <c r="I214">
        <v>20</v>
      </c>
      <c r="J214" s="34">
        <v>1060000</v>
      </c>
      <c r="K214" t="s">
        <v>171</v>
      </c>
      <c r="L214" s="34">
        <f>PMT(Loans[[#This Row],[InterestRate]]/12,Loans[[#This Row],[LoanTenureMonths]],-Loans[[#This Row],[LoanAmount]])</f>
        <v>90607.866195901661</v>
      </c>
      <c r="M214" s="30">
        <f>EDATE(Loans[[#This Row],[LoanStartDate]],Loans[[#This Row],[LoanTenureMonths]])</f>
        <v>44918</v>
      </c>
      <c r="N214" s="33">
        <f>IF(Loans[[#This Row],[LoanAmount]]=0,0,Loans[[#This Row],[CollateralValue]]/Loans[[#This Row],[LoanAmount]])</f>
        <v>1.06</v>
      </c>
      <c r="O214" t="str">
        <f>IF(Loans[[#This Row],[CollateralCoverageRatio]]&lt;1,"Undersecured","Secured")</f>
        <v>Secured</v>
      </c>
      <c r="P214" t="str">
        <f>_xlfn.XLOOKUP(Loans[[#This Row],[BranchCode]],BranchesTbl[BranchCode],BranchesTbl[BranchName])</f>
        <v>Mombasa</v>
      </c>
      <c r="Q214">
        <f>_xlfn.XLOOKUP(Loans[[#This Row],[CustomerID]],CustomerTbl[CustomerID],CustomerTbl[RiskScore])</f>
        <v>428</v>
      </c>
      <c r="R214" t="str">
        <f>IFERROR(INDEX(RiskTbl[Risk_Category],MATCH(Loans[[#This Row],[RiskScore]],RiskTbl[Score_Min],1)),"Unknown")</f>
        <v>High Risk</v>
      </c>
      <c r="S214" t="str">
        <f>IF(OR(Loans[[#This Row],[LoanStatus]]="Default",Loans[[#This Row],[LoanStatus]]="Watchlist",Loans[[#This Row],[CollateralRisk]]="Undersecured",Loans[[#This Row],[RiskCategory]]="High Risk"),"High Risk Exposure","Normal")</f>
        <v>High Risk Exposure</v>
      </c>
      <c r="T214" t="str" cm="1">
        <f t="array" ref="T214">_xlfn.IFS(
Loans[[#This Row],[LoanStatus]]="Default","Critical",
OR(Loans[[#This Row],[LoanStatus]]="Watchlist",Loans[[#This Row],[CollateralRisk]]="Undersecured",Loans[[#This Row],[RiskCategory]]="High Risk"),"High",
TRUE,"Normal"
)</f>
        <v>High</v>
      </c>
    </row>
    <row r="215" spans="1:20" x14ac:dyDescent="0.35">
      <c r="A215" t="s">
        <v>578</v>
      </c>
      <c r="B215" t="s">
        <v>579</v>
      </c>
      <c r="C215" t="s">
        <v>193</v>
      </c>
      <c r="D215" t="s">
        <v>155</v>
      </c>
      <c r="E215" s="34">
        <v>1000000</v>
      </c>
      <c r="F215" s="29">
        <v>0.26939999999999997</v>
      </c>
      <c r="G215" s="30">
        <v>44892</v>
      </c>
      <c r="H215">
        <v>48</v>
      </c>
      <c r="I215">
        <v>45</v>
      </c>
      <c r="J215" s="34">
        <v>0</v>
      </c>
      <c r="K215" t="s">
        <v>199</v>
      </c>
      <c r="L215" s="34">
        <f>PMT(Loans[[#This Row],[InterestRate]]/12,Loans[[#This Row],[LoanTenureMonths]],-Loans[[#This Row],[LoanAmount]])</f>
        <v>34248.290855325053</v>
      </c>
      <c r="M215" s="30">
        <f>EDATE(Loans[[#This Row],[LoanStartDate]],Loans[[#This Row],[LoanTenureMonths]])</f>
        <v>46353</v>
      </c>
      <c r="N215" s="33">
        <f>IF(Loans[[#This Row],[LoanAmount]]=0,0,Loans[[#This Row],[CollateralValue]]/Loans[[#This Row],[LoanAmount]])</f>
        <v>0</v>
      </c>
      <c r="O215" t="str">
        <f>IF(Loans[[#This Row],[CollateralCoverageRatio]]&lt;1,"Undersecured","Secured")</f>
        <v>Undersecured</v>
      </c>
      <c r="P215" t="str">
        <f>_xlfn.XLOOKUP(Loans[[#This Row],[BranchCode]],BranchesTbl[BranchCode],BranchesTbl[BranchName])</f>
        <v>Mombasa</v>
      </c>
      <c r="Q215">
        <f>_xlfn.XLOOKUP(Loans[[#This Row],[CustomerID]],CustomerTbl[CustomerID],CustomerTbl[RiskScore])</f>
        <v>334</v>
      </c>
      <c r="R215" t="str">
        <f>IFERROR(INDEX(RiskTbl[Risk_Category],MATCH(Loans[[#This Row],[RiskScore]],RiskTbl[Score_Min],1)),"Unknown")</f>
        <v>High Risk</v>
      </c>
      <c r="S215" t="str">
        <f>IF(OR(Loans[[#This Row],[LoanStatus]]="Default",Loans[[#This Row],[LoanStatus]]="Watchlist",Loans[[#This Row],[CollateralRisk]]="Undersecured",Loans[[#This Row],[RiskCategory]]="High Risk"),"High Risk Exposure","Normal")</f>
        <v>High Risk Exposure</v>
      </c>
      <c r="T215" t="str" cm="1">
        <f t="array" ref="T215">_xlfn.IFS(
Loans[[#This Row],[LoanStatus]]="Default","Critical",
OR(Loans[[#This Row],[LoanStatus]]="Watchlist",Loans[[#This Row],[CollateralRisk]]="Undersecured",Loans[[#This Row],[RiskCategory]]="High Risk"),"High",
TRUE,"Normal"
)</f>
        <v>High</v>
      </c>
    </row>
    <row r="216" spans="1:20" x14ac:dyDescent="0.35">
      <c r="A216" t="s">
        <v>580</v>
      </c>
      <c r="B216" t="s">
        <v>581</v>
      </c>
      <c r="C216" t="s">
        <v>239</v>
      </c>
      <c r="D216" t="s">
        <v>156</v>
      </c>
      <c r="E216" s="34">
        <v>1000000</v>
      </c>
      <c r="F216" s="29">
        <v>0.1855</v>
      </c>
      <c r="G216" s="30">
        <v>44696</v>
      </c>
      <c r="H216">
        <v>24</v>
      </c>
      <c r="I216">
        <v>120</v>
      </c>
      <c r="J216" s="34">
        <v>930000</v>
      </c>
      <c r="K216" t="s">
        <v>178</v>
      </c>
      <c r="L216" s="34">
        <f>PMT(Loans[[#This Row],[InterestRate]]/12,Loans[[#This Row],[LoanTenureMonths]],-Loans[[#This Row],[LoanAmount]])</f>
        <v>50190.254479328752</v>
      </c>
      <c r="M216" s="30">
        <f>EDATE(Loans[[#This Row],[LoanStartDate]],Loans[[#This Row],[LoanTenureMonths]])</f>
        <v>45427</v>
      </c>
      <c r="N216" s="33">
        <f>IF(Loans[[#This Row],[LoanAmount]]=0,0,Loans[[#This Row],[CollateralValue]]/Loans[[#This Row],[LoanAmount]])</f>
        <v>0.93</v>
      </c>
      <c r="O216" t="str">
        <f>IF(Loans[[#This Row],[CollateralCoverageRatio]]&lt;1,"Undersecured","Secured")</f>
        <v>Undersecured</v>
      </c>
      <c r="P216" t="str">
        <f>_xlfn.XLOOKUP(Loans[[#This Row],[BranchCode]],BranchesTbl[BranchCode],BranchesTbl[BranchName])</f>
        <v>Machakos</v>
      </c>
      <c r="Q216">
        <f>_xlfn.XLOOKUP(Loans[[#This Row],[CustomerID]],CustomerTbl[CustomerID],CustomerTbl[RiskScore])</f>
        <v>673</v>
      </c>
      <c r="R216" t="str">
        <f>IFERROR(INDEX(RiskTbl[Risk_Category],MATCH(Loans[[#This Row],[RiskScore]],RiskTbl[Score_Min],1)),"Unknown")</f>
        <v>Low Risk</v>
      </c>
      <c r="S216" t="str">
        <f>IF(OR(Loans[[#This Row],[LoanStatus]]="Default",Loans[[#This Row],[LoanStatus]]="Watchlist",Loans[[#This Row],[CollateralRisk]]="Undersecured",Loans[[#This Row],[RiskCategory]]="High Risk"),"High Risk Exposure","Normal")</f>
        <v>High Risk Exposure</v>
      </c>
      <c r="T216" t="str" cm="1">
        <f t="array" ref="T216">_xlfn.IFS(
Loans[[#This Row],[LoanStatus]]="Default","Critical",
OR(Loans[[#This Row],[LoanStatus]]="Watchlist",Loans[[#This Row],[CollateralRisk]]="Undersecured",Loans[[#This Row],[RiskCategory]]="High Risk"),"High",
TRUE,"Normal"
)</f>
        <v>Critical</v>
      </c>
    </row>
    <row r="217" spans="1:20" x14ac:dyDescent="0.35">
      <c r="A217" t="s">
        <v>582</v>
      </c>
      <c r="B217" t="s">
        <v>583</v>
      </c>
      <c r="C217" t="s">
        <v>267</v>
      </c>
      <c r="D217" t="s">
        <v>155</v>
      </c>
      <c r="E217" s="34">
        <v>250000</v>
      </c>
      <c r="F217" s="29">
        <v>0.22320000000000001</v>
      </c>
      <c r="G217" s="30">
        <v>45392</v>
      </c>
      <c r="H217">
        <v>24</v>
      </c>
      <c r="I217">
        <v>20</v>
      </c>
      <c r="J217" s="34">
        <v>0</v>
      </c>
      <c r="K217" t="s">
        <v>171</v>
      </c>
      <c r="L217" s="34">
        <f>PMT(Loans[[#This Row],[InterestRate]]/12,Loans[[#This Row],[LoanTenureMonths]],-Loans[[#This Row],[LoanAmount]])</f>
        <v>13009.078848353516</v>
      </c>
      <c r="M217" s="30">
        <f>EDATE(Loans[[#This Row],[LoanStartDate]],Loans[[#This Row],[LoanTenureMonths]])</f>
        <v>46122</v>
      </c>
      <c r="N217" s="33">
        <f>IF(Loans[[#This Row],[LoanAmount]]=0,0,Loans[[#This Row],[CollateralValue]]/Loans[[#This Row],[LoanAmount]])</f>
        <v>0</v>
      </c>
      <c r="O217" t="str">
        <f>IF(Loans[[#This Row],[CollateralCoverageRatio]]&lt;1,"Undersecured","Secured")</f>
        <v>Undersecured</v>
      </c>
      <c r="P217" t="str">
        <f>_xlfn.XLOOKUP(Loans[[#This Row],[BranchCode]],BranchesTbl[BranchCode],BranchesTbl[BranchName])</f>
        <v>Malindi</v>
      </c>
      <c r="Q217">
        <f>_xlfn.XLOOKUP(Loans[[#This Row],[CustomerID]],CustomerTbl[CustomerID],CustomerTbl[RiskScore])</f>
        <v>717</v>
      </c>
      <c r="R217" t="str">
        <f>IFERROR(INDEX(RiskTbl[Risk_Category],MATCH(Loans[[#This Row],[RiskScore]],RiskTbl[Score_Min],1)),"Unknown")</f>
        <v>Low Risk</v>
      </c>
      <c r="S217" t="str">
        <f>IF(OR(Loans[[#This Row],[LoanStatus]]="Default",Loans[[#This Row],[LoanStatus]]="Watchlist",Loans[[#This Row],[CollateralRisk]]="Undersecured",Loans[[#This Row],[RiskCategory]]="High Risk"),"High Risk Exposure","Normal")</f>
        <v>High Risk Exposure</v>
      </c>
      <c r="T217" t="str" cm="1">
        <f t="array" ref="T217">_xlfn.IFS(
Loans[[#This Row],[LoanStatus]]="Default","Critical",
OR(Loans[[#This Row],[LoanStatus]]="Watchlist",Loans[[#This Row],[CollateralRisk]]="Undersecured",Loans[[#This Row],[RiskCategory]]="High Risk"),"High",
TRUE,"Normal"
)</f>
        <v>High</v>
      </c>
    </row>
    <row r="218" spans="1:20" x14ac:dyDescent="0.35">
      <c r="A218" t="s">
        <v>584</v>
      </c>
      <c r="B218" t="s">
        <v>585</v>
      </c>
      <c r="C218" t="s">
        <v>232</v>
      </c>
      <c r="D218" t="s">
        <v>156</v>
      </c>
      <c r="E218" s="34">
        <v>3000000</v>
      </c>
      <c r="F218" s="29">
        <v>0.1507</v>
      </c>
      <c r="G218" s="30">
        <v>45862</v>
      </c>
      <c r="H218">
        <v>48</v>
      </c>
      <c r="I218">
        <v>90</v>
      </c>
      <c r="J218" s="34">
        <v>4380000</v>
      </c>
      <c r="K218" t="s">
        <v>199</v>
      </c>
      <c r="L218" s="34">
        <f>PMT(Loans[[#This Row],[InterestRate]]/12,Loans[[#This Row],[LoanTenureMonths]],-Loans[[#This Row],[LoanAmount]])</f>
        <v>83598.73400295488</v>
      </c>
      <c r="M218" s="30">
        <f>EDATE(Loans[[#This Row],[LoanStartDate]],Loans[[#This Row],[LoanTenureMonths]])</f>
        <v>47323</v>
      </c>
      <c r="N218" s="33">
        <f>IF(Loans[[#This Row],[LoanAmount]]=0,0,Loans[[#This Row],[CollateralValue]]/Loans[[#This Row],[LoanAmount]])</f>
        <v>1.46</v>
      </c>
      <c r="O218" t="str">
        <f>IF(Loans[[#This Row],[CollateralCoverageRatio]]&lt;1,"Undersecured","Secured")</f>
        <v>Secured</v>
      </c>
      <c r="P218" t="str">
        <f>_xlfn.XLOOKUP(Loans[[#This Row],[BranchCode]],BranchesTbl[BranchCode],BranchesTbl[BranchName])</f>
        <v>Upper Hill</v>
      </c>
      <c r="Q218">
        <f>_xlfn.XLOOKUP(Loans[[#This Row],[CustomerID]],CustomerTbl[CustomerID],CustomerTbl[RiskScore])</f>
        <v>623</v>
      </c>
      <c r="R218" t="str">
        <f>IFERROR(INDEX(RiskTbl[Risk_Category],MATCH(Loans[[#This Row],[RiskScore]],RiskTbl[Score_Min],1)),"Unknown")</f>
        <v>Medium Risk</v>
      </c>
      <c r="S218" t="str">
        <f>IF(OR(Loans[[#This Row],[LoanStatus]]="Default",Loans[[#This Row],[LoanStatus]]="Watchlist",Loans[[#This Row],[CollateralRisk]]="Undersecured",Loans[[#This Row],[RiskCategory]]="High Risk"),"High Risk Exposure","Normal")</f>
        <v>High Risk Exposure</v>
      </c>
      <c r="T218" t="str" cm="1">
        <f t="array" ref="T218">_xlfn.IFS(
Loans[[#This Row],[LoanStatus]]="Default","Critical",
OR(Loans[[#This Row],[LoanStatus]]="Watchlist",Loans[[#This Row],[CollateralRisk]]="Undersecured",Loans[[#This Row],[RiskCategory]]="High Risk"),"High",
TRUE,"Normal"
)</f>
        <v>High</v>
      </c>
    </row>
    <row r="219" spans="1:20" x14ac:dyDescent="0.35">
      <c r="A219" t="s">
        <v>586</v>
      </c>
      <c r="B219" t="s">
        <v>587</v>
      </c>
      <c r="C219" t="s">
        <v>219</v>
      </c>
      <c r="D219" t="s">
        <v>158</v>
      </c>
      <c r="E219" s="34">
        <v>6000000</v>
      </c>
      <c r="F219" s="29">
        <v>0.12139999999999999</v>
      </c>
      <c r="G219" s="30">
        <v>45172</v>
      </c>
      <c r="H219">
        <v>48</v>
      </c>
      <c r="I219">
        <v>45</v>
      </c>
      <c r="J219" s="34">
        <v>6960000</v>
      </c>
      <c r="K219" t="s">
        <v>199</v>
      </c>
      <c r="L219" s="34">
        <f>PMT(Loans[[#This Row],[InterestRate]]/12,Loans[[#This Row],[LoanTenureMonths]],-Loans[[#This Row],[LoanAmount]])</f>
        <v>158415.75949140856</v>
      </c>
      <c r="M219" s="30">
        <f>EDATE(Loans[[#This Row],[LoanStartDate]],Loans[[#This Row],[LoanTenureMonths]])</f>
        <v>46633</v>
      </c>
      <c r="N219" s="33">
        <f>IF(Loans[[#This Row],[LoanAmount]]=0,0,Loans[[#This Row],[CollateralValue]]/Loans[[#This Row],[LoanAmount]])</f>
        <v>1.1599999999999999</v>
      </c>
      <c r="O219" t="str">
        <f>IF(Loans[[#This Row],[CollateralCoverageRatio]]&lt;1,"Undersecured","Secured")</f>
        <v>Secured</v>
      </c>
      <c r="P219" t="str">
        <f>_xlfn.XLOOKUP(Loans[[#This Row],[BranchCode]],BranchesTbl[BranchCode],BranchesTbl[BranchName])</f>
        <v>Meru</v>
      </c>
      <c r="Q219">
        <f>_xlfn.XLOOKUP(Loans[[#This Row],[CustomerID]],CustomerTbl[CustomerID],CustomerTbl[RiskScore])</f>
        <v>490</v>
      </c>
      <c r="R219" t="str">
        <f>IFERROR(INDEX(RiskTbl[Risk_Category],MATCH(Loans[[#This Row],[RiskScore]],RiskTbl[Score_Min],1)),"Unknown")</f>
        <v>High Risk</v>
      </c>
      <c r="S219" t="str">
        <f>IF(OR(Loans[[#This Row],[LoanStatus]]="Default",Loans[[#This Row],[LoanStatus]]="Watchlist",Loans[[#This Row],[CollateralRisk]]="Undersecured",Loans[[#This Row],[RiskCategory]]="High Risk"),"High Risk Exposure","Normal")</f>
        <v>High Risk Exposure</v>
      </c>
      <c r="T219" t="str" cm="1">
        <f t="array" ref="T219">_xlfn.IFS(
Loans[[#This Row],[LoanStatus]]="Default","Critical",
OR(Loans[[#This Row],[LoanStatus]]="Watchlist",Loans[[#This Row],[CollateralRisk]]="Undersecured",Loans[[#This Row],[RiskCategory]]="High Risk"),"High",
TRUE,"Normal"
)</f>
        <v>High</v>
      </c>
    </row>
    <row r="220" spans="1:20" x14ac:dyDescent="0.35">
      <c r="A220" t="s">
        <v>588</v>
      </c>
      <c r="B220" t="s">
        <v>306</v>
      </c>
      <c r="C220" t="s">
        <v>187</v>
      </c>
      <c r="D220" t="s">
        <v>157</v>
      </c>
      <c r="E220" s="34">
        <v>80000000</v>
      </c>
      <c r="F220" s="29">
        <v>0.1179</v>
      </c>
      <c r="G220" s="30">
        <v>45399</v>
      </c>
      <c r="H220">
        <v>12</v>
      </c>
      <c r="I220">
        <v>10</v>
      </c>
      <c r="J220" s="34">
        <v>68000000</v>
      </c>
      <c r="K220" t="s">
        <v>171</v>
      </c>
      <c r="L220" s="34">
        <f>PMT(Loans[[#This Row],[InterestRate]]/12,Loans[[#This Row],[LoanTenureMonths]],-Loans[[#This Row],[LoanAmount]])</f>
        <v>7100046.2980520064</v>
      </c>
      <c r="M220" s="30">
        <f>EDATE(Loans[[#This Row],[LoanStartDate]],Loans[[#This Row],[LoanTenureMonths]])</f>
        <v>45764</v>
      </c>
      <c r="N220" s="33">
        <f>IF(Loans[[#This Row],[LoanAmount]]=0,0,Loans[[#This Row],[CollateralValue]]/Loans[[#This Row],[LoanAmount]])</f>
        <v>0.85</v>
      </c>
      <c r="O220" t="str">
        <f>IF(Loans[[#This Row],[CollateralCoverageRatio]]&lt;1,"Undersecured","Secured")</f>
        <v>Undersecured</v>
      </c>
      <c r="P220" t="str">
        <f>_xlfn.XLOOKUP(Loans[[#This Row],[BranchCode]],BranchesTbl[BranchCode],BranchesTbl[BranchName])</f>
        <v>Eldoret</v>
      </c>
      <c r="Q220">
        <f>_xlfn.XLOOKUP(Loans[[#This Row],[CustomerID]],CustomerTbl[CustomerID],CustomerTbl[RiskScore])</f>
        <v>400</v>
      </c>
      <c r="R220" t="str">
        <f>IFERROR(INDEX(RiskTbl[Risk_Category],MATCH(Loans[[#This Row],[RiskScore]],RiskTbl[Score_Min],1)),"Unknown")</f>
        <v>High Risk</v>
      </c>
      <c r="S220" t="str">
        <f>IF(OR(Loans[[#This Row],[LoanStatus]]="Default",Loans[[#This Row],[LoanStatus]]="Watchlist",Loans[[#This Row],[CollateralRisk]]="Undersecured",Loans[[#This Row],[RiskCategory]]="High Risk"),"High Risk Exposure","Normal")</f>
        <v>High Risk Exposure</v>
      </c>
      <c r="T220" t="str" cm="1">
        <f t="array" ref="T220">_xlfn.IFS(
Loans[[#This Row],[LoanStatus]]="Default","Critical",
OR(Loans[[#This Row],[LoanStatus]]="Watchlist",Loans[[#This Row],[CollateralRisk]]="Undersecured",Loans[[#This Row],[RiskCategory]]="High Risk"),"High",
TRUE,"Normal"
)</f>
        <v>High</v>
      </c>
    </row>
    <row r="221" spans="1:20" x14ac:dyDescent="0.35">
      <c r="A221" t="s">
        <v>589</v>
      </c>
      <c r="B221" t="s">
        <v>590</v>
      </c>
      <c r="C221" t="s">
        <v>181</v>
      </c>
      <c r="D221" t="s">
        <v>157</v>
      </c>
      <c r="E221" s="34">
        <v>25000000</v>
      </c>
      <c r="F221" s="29">
        <v>9.9699999999999997E-2</v>
      </c>
      <c r="G221" s="30">
        <v>45590</v>
      </c>
      <c r="H221">
        <v>24</v>
      </c>
      <c r="I221">
        <v>5</v>
      </c>
      <c r="J221" s="34">
        <v>18250000</v>
      </c>
      <c r="K221" t="s">
        <v>171</v>
      </c>
      <c r="L221" s="34">
        <f>PMT(Loans[[#This Row],[InterestRate]]/12,Loans[[#This Row],[LoanTenureMonths]],-Loans[[#This Row],[LoanAmount]])</f>
        <v>1153277.0274656978</v>
      </c>
      <c r="M221" s="30">
        <f>EDATE(Loans[[#This Row],[LoanStartDate]],Loans[[#This Row],[LoanTenureMonths]])</f>
        <v>46320</v>
      </c>
      <c r="N221" s="33">
        <f>IF(Loans[[#This Row],[LoanAmount]]=0,0,Loans[[#This Row],[CollateralValue]]/Loans[[#This Row],[LoanAmount]])</f>
        <v>0.73</v>
      </c>
      <c r="O221" t="str">
        <f>IF(Loans[[#This Row],[CollateralCoverageRatio]]&lt;1,"Undersecured","Secured")</f>
        <v>Undersecured</v>
      </c>
      <c r="P221" t="str">
        <f>_xlfn.XLOOKUP(Loans[[#This Row],[BranchCode]],BranchesTbl[BranchCode],BranchesTbl[BranchName])</f>
        <v>Kitale</v>
      </c>
      <c r="Q221">
        <f>_xlfn.XLOOKUP(Loans[[#This Row],[CustomerID]],CustomerTbl[CustomerID],CustomerTbl[RiskScore])</f>
        <v>434</v>
      </c>
      <c r="R221" t="str">
        <f>IFERROR(INDEX(RiskTbl[Risk_Category],MATCH(Loans[[#This Row],[RiskScore]],RiskTbl[Score_Min],1)),"Unknown")</f>
        <v>High Risk</v>
      </c>
      <c r="S221" t="str">
        <f>IF(OR(Loans[[#This Row],[LoanStatus]]="Default",Loans[[#This Row],[LoanStatus]]="Watchlist",Loans[[#This Row],[CollateralRisk]]="Undersecured",Loans[[#This Row],[RiskCategory]]="High Risk"),"High Risk Exposure","Normal")</f>
        <v>High Risk Exposure</v>
      </c>
      <c r="T221" t="str" cm="1">
        <f t="array" ref="T221">_xlfn.IFS(
Loans[[#This Row],[LoanStatus]]="Default","Critical",
OR(Loans[[#This Row],[LoanStatus]]="Watchlist",Loans[[#This Row],[CollateralRisk]]="Undersecured",Loans[[#This Row],[RiskCategory]]="High Risk"),"High",
TRUE,"Normal"
)</f>
        <v>High</v>
      </c>
    </row>
    <row r="222" spans="1:20" x14ac:dyDescent="0.35">
      <c r="A222" t="s">
        <v>591</v>
      </c>
      <c r="B222" t="s">
        <v>592</v>
      </c>
      <c r="C222" t="s">
        <v>206</v>
      </c>
      <c r="D222" t="s">
        <v>157</v>
      </c>
      <c r="E222" s="34">
        <v>25000000</v>
      </c>
      <c r="F222" s="29">
        <v>9.5100000000000004E-2</v>
      </c>
      <c r="G222" s="30">
        <v>44116</v>
      </c>
      <c r="H222">
        <v>12</v>
      </c>
      <c r="I222">
        <v>120</v>
      </c>
      <c r="J222" s="34">
        <v>15000000</v>
      </c>
      <c r="K222" t="s">
        <v>178</v>
      </c>
      <c r="L222" s="34">
        <f>PMT(Loans[[#This Row],[InterestRate]]/12,Loans[[#This Row],[LoanTenureMonths]],-Loans[[#This Row],[LoanAmount]])</f>
        <v>2192203.8986874735</v>
      </c>
      <c r="M222" s="30">
        <f>EDATE(Loans[[#This Row],[LoanStartDate]],Loans[[#This Row],[LoanTenureMonths]])</f>
        <v>44481</v>
      </c>
      <c r="N222" s="33">
        <f>IF(Loans[[#This Row],[LoanAmount]]=0,0,Loans[[#This Row],[CollateralValue]]/Loans[[#This Row],[LoanAmount]])</f>
        <v>0.6</v>
      </c>
      <c r="O222" t="str">
        <f>IF(Loans[[#This Row],[CollateralCoverageRatio]]&lt;1,"Undersecured","Secured")</f>
        <v>Undersecured</v>
      </c>
      <c r="P222" t="str">
        <f>_xlfn.XLOOKUP(Loans[[#This Row],[BranchCode]],BranchesTbl[BranchCode],BranchesTbl[BranchName])</f>
        <v>Nyahururu</v>
      </c>
      <c r="Q222">
        <f>_xlfn.XLOOKUP(Loans[[#This Row],[CustomerID]],CustomerTbl[CustomerID],CustomerTbl[RiskScore])</f>
        <v>559</v>
      </c>
      <c r="R222" t="str">
        <f>IFERROR(INDEX(RiskTbl[Risk_Category],MATCH(Loans[[#This Row],[RiskScore]],RiskTbl[Score_Min],1)),"Unknown")</f>
        <v>High Risk</v>
      </c>
      <c r="S222" t="str">
        <f>IF(OR(Loans[[#This Row],[LoanStatus]]="Default",Loans[[#This Row],[LoanStatus]]="Watchlist",Loans[[#This Row],[CollateralRisk]]="Undersecured",Loans[[#This Row],[RiskCategory]]="High Risk"),"High Risk Exposure","Normal")</f>
        <v>High Risk Exposure</v>
      </c>
      <c r="T222" t="str" cm="1">
        <f t="array" ref="T222">_xlfn.IFS(
Loans[[#This Row],[LoanStatus]]="Default","Critical",
OR(Loans[[#This Row],[LoanStatus]]="Watchlist",Loans[[#This Row],[CollateralRisk]]="Undersecured",Loans[[#This Row],[RiskCategory]]="High Risk"),"High",
TRUE,"Normal"
)</f>
        <v>Critical</v>
      </c>
    </row>
    <row r="223" spans="1:20" x14ac:dyDescent="0.35">
      <c r="A223" t="s">
        <v>593</v>
      </c>
      <c r="B223" t="s">
        <v>594</v>
      </c>
      <c r="C223" t="s">
        <v>184</v>
      </c>
      <c r="D223" t="s">
        <v>156</v>
      </c>
      <c r="E223" s="34">
        <v>6000000</v>
      </c>
      <c r="F223" s="29">
        <v>0.1938</v>
      </c>
      <c r="G223" s="30">
        <v>45065</v>
      </c>
      <c r="H223">
        <v>48</v>
      </c>
      <c r="I223">
        <v>45</v>
      </c>
      <c r="J223" s="34">
        <v>7800000</v>
      </c>
      <c r="K223" t="s">
        <v>199</v>
      </c>
      <c r="L223" s="34">
        <f>PMT(Loans[[#This Row],[InterestRate]]/12,Loans[[#This Row],[LoanTenureMonths]],-Loans[[#This Row],[LoanAmount]])</f>
        <v>180606.05505875876</v>
      </c>
      <c r="M223" s="30">
        <f>EDATE(Loans[[#This Row],[LoanStartDate]],Loans[[#This Row],[LoanTenureMonths]])</f>
        <v>46526</v>
      </c>
      <c r="N223" s="33">
        <f>IF(Loans[[#This Row],[LoanAmount]]=0,0,Loans[[#This Row],[CollateralValue]]/Loans[[#This Row],[LoanAmount]])</f>
        <v>1.3</v>
      </c>
      <c r="O223" t="str">
        <f>IF(Loans[[#This Row],[CollateralCoverageRatio]]&lt;1,"Undersecured","Secured")</f>
        <v>Secured</v>
      </c>
      <c r="P223" t="str">
        <f>_xlfn.XLOOKUP(Loans[[#This Row],[BranchCode]],BranchesTbl[BranchCode],BranchesTbl[BranchName])</f>
        <v>Kisumu</v>
      </c>
      <c r="Q223">
        <f>_xlfn.XLOOKUP(Loans[[#This Row],[CustomerID]],CustomerTbl[CustomerID],CustomerTbl[RiskScore])</f>
        <v>789</v>
      </c>
      <c r="R223" t="str">
        <f>IFERROR(INDEX(RiskTbl[Risk_Category],MATCH(Loans[[#This Row],[RiskScore]],RiskTbl[Score_Min],1)),"Unknown")</f>
        <v>Very Low Risk</v>
      </c>
      <c r="S223" t="str">
        <f>IF(OR(Loans[[#This Row],[LoanStatus]]="Default",Loans[[#This Row],[LoanStatus]]="Watchlist",Loans[[#This Row],[CollateralRisk]]="Undersecured",Loans[[#This Row],[RiskCategory]]="High Risk"),"High Risk Exposure","Normal")</f>
        <v>High Risk Exposure</v>
      </c>
      <c r="T223" t="str" cm="1">
        <f t="array" ref="T223">_xlfn.IFS(
Loans[[#This Row],[LoanStatus]]="Default","Critical",
OR(Loans[[#This Row],[LoanStatus]]="Watchlist",Loans[[#This Row],[CollateralRisk]]="Undersecured",Loans[[#This Row],[RiskCategory]]="High Risk"),"High",
TRUE,"Normal"
)</f>
        <v>High</v>
      </c>
    </row>
    <row r="224" spans="1:20" x14ac:dyDescent="0.35">
      <c r="A224" t="s">
        <v>595</v>
      </c>
      <c r="B224" t="s">
        <v>596</v>
      </c>
      <c r="C224" t="s">
        <v>239</v>
      </c>
      <c r="D224" t="s">
        <v>155</v>
      </c>
      <c r="E224" s="34">
        <v>100000</v>
      </c>
      <c r="F224" s="29">
        <v>0.20849999999999999</v>
      </c>
      <c r="G224" s="30">
        <v>45060</v>
      </c>
      <c r="H224">
        <v>48</v>
      </c>
      <c r="I224">
        <v>5</v>
      </c>
      <c r="J224" s="34">
        <v>0</v>
      </c>
      <c r="K224" t="s">
        <v>171</v>
      </c>
      <c r="L224" s="34">
        <f>PMT(Loans[[#This Row],[InterestRate]]/12,Loans[[#This Row],[LoanTenureMonths]],-Loans[[#This Row],[LoanAmount]])</f>
        <v>3088.5072170675717</v>
      </c>
      <c r="M224" s="30">
        <f>EDATE(Loans[[#This Row],[LoanStartDate]],Loans[[#This Row],[LoanTenureMonths]])</f>
        <v>46521</v>
      </c>
      <c r="N224" s="33">
        <f>IF(Loans[[#This Row],[LoanAmount]]=0,0,Loans[[#This Row],[CollateralValue]]/Loans[[#This Row],[LoanAmount]])</f>
        <v>0</v>
      </c>
      <c r="O224" t="str">
        <f>IF(Loans[[#This Row],[CollateralCoverageRatio]]&lt;1,"Undersecured","Secured")</f>
        <v>Undersecured</v>
      </c>
      <c r="P224" t="str">
        <f>_xlfn.XLOOKUP(Loans[[#This Row],[BranchCode]],BranchesTbl[BranchCode],BranchesTbl[BranchName])</f>
        <v>Machakos</v>
      </c>
      <c r="Q224">
        <f>_xlfn.XLOOKUP(Loans[[#This Row],[CustomerID]],CustomerTbl[CustomerID],CustomerTbl[RiskScore])</f>
        <v>444</v>
      </c>
      <c r="R224" t="str">
        <f>IFERROR(INDEX(RiskTbl[Risk_Category],MATCH(Loans[[#This Row],[RiskScore]],RiskTbl[Score_Min],1)),"Unknown")</f>
        <v>High Risk</v>
      </c>
      <c r="S224" t="str">
        <f>IF(OR(Loans[[#This Row],[LoanStatus]]="Default",Loans[[#This Row],[LoanStatus]]="Watchlist",Loans[[#This Row],[CollateralRisk]]="Undersecured",Loans[[#This Row],[RiskCategory]]="High Risk"),"High Risk Exposure","Normal")</f>
        <v>High Risk Exposure</v>
      </c>
      <c r="T224" t="str" cm="1">
        <f t="array" ref="T224">_xlfn.IFS(
Loans[[#This Row],[LoanStatus]]="Default","Critical",
OR(Loans[[#This Row],[LoanStatus]]="Watchlist",Loans[[#This Row],[CollateralRisk]]="Undersecured",Loans[[#This Row],[RiskCategory]]="High Risk"),"High",
TRUE,"Normal"
)</f>
        <v>High</v>
      </c>
    </row>
    <row r="225" spans="1:20" x14ac:dyDescent="0.35">
      <c r="A225" t="s">
        <v>597</v>
      </c>
      <c r="B225" t="s">
        <v>598</v>
      </c>
      <c r="C225" t="s">
        <v>190</v>
      </c>
      <c r="D225" t="s">
        <v>155</v>
      </c>
      <c r="E225" s="34">
        <v>250000</v>
      </c>
      <c r="F225" s="29">
        <v>0.18990000000000001</v>
      </c>
      <c r="G225" s="30">
        <v>44493</v>
      </c>
      <c r="H225">
        <v>60</v>
      </c>
      <c r="I225">
        <v>0</v>
      </c>
      <c r="J225" s="34">
        <v>0</v>
      </c>
      <c r="K225" t="s">
        <v>171</v>
      </c>
      <c r="L225" s="34">
        <f>PMT(Loans[[#This Row],[InterestRate]]/12,Loans[[#This Row],[LoanTenureMonths]],-Loans[[#This Row],[LoanAmount]])</f>
        <v>6483.7622660229272</v>
      </c>
      <c r="M225" s="30">
        <f>EDATE(Loans[[#This Row],[LoanStartDate]],Loans[[#This Row],[LoanTenureMonths]])</f>
        <v>46319</v>
      </c>
      <c r="N225" s="33">
        <f>IF(Loans[[#This Row],[LoanAmount]]=0,0,Loans[[#This Row],[CollateralValue]]/Loans[[#This Row],[LoanAmount]])</f>
        <v>0</v>
      </c>
      <c r="O225" t="str">
        <f>IF(Loans[[#This Row],[CollateralCoverageRatio]]&lt;1,"Undersecured","Secured")</f>
        <v>Undersecured</v>
      </c>
      <c r="P225" t="str">
        <f>_xlfn.XLOOKUP(Loans[[#This Row],[BranchCode]],BranchesTbl[BranchCode],BranchesTbl[BranchName])</f>
        <v>Nyeri</v>
      </c>
      <c r="Q225">
        <f>_xlfn.XLOOKUP(Loans[[#This Row],[CustomerID]],CustomerTbl[CustomerID],CustomerTbl[RiskScore])</f>
        <v>329</v>
      </c>
      <c r="R225" t="str">
        <f>IFERROR(INDEX(RiskTbl[Risk_Category],MATCH(Loans[[#This Row],[RiskScore]],RiskTbl[Score_Min],1)),"Unknown")</f>
        <v>High Risk</v>
      </c>
      <c r="S225" t="str">
        <f>IF(OR(Loans[[#This Row],[LoanStatus]]="Default",Loans[[#This Row],[LoanStatus]]="Watchlist",Loans[[#This Row],[CollateralRisk]]="Undersecured",Loans[[#This Row],[RiskCategory]]="High Risk"),"High Risk Exposure","Normal")</f>
        <v>High Risk Exposure</v>
      </c>
      <c r="T225" t="str" cm="1">
        <f t="array" ref="T225">_xlfn.IFS(
Loans[[#This Row],[LoanStatus]]="Default","Critical",
OR(Loans[[#This Row],[LoanStatus]]="Watchlist",Loans[[#This Row],[CollateralRisk]]="Undersecured",Loans[[#This Row],[RiskCategory]]="High Risk"),"High",
TRUE,"Normal"
)</f>
        <v>High</v>
      </c>
    </row>
    <row r="226" spans="1:20" x14ac:dyDescent="0.35">
      <c r="A226" t="s">
        <v>599</v>
      </c>
      <c r="B226" t="s">
        <v>600</v>
      </c>
      <c r="C226" t="s">
        <v>184</v>
      </c>
      <c r="D226" t="s">
        <v>158</v>
      </c>
      <c r="E226" s="34">
        <v>3000000</v>
      </c>
      <c r="F226" s="29">
        <v>0.18279999999999999</v>
      </c>
      <c r="G226" s="30">
        <v>44013</v>
      </c>
      <c r="H226">
        <v>60</v>
      </c>
      <c r="I226">
        <v>0</v>
      </c>
      <c r="J226" s="34">
        <v>2130000</v>
      </c>
      <c r="K226" t="s">
        <v>171</v>
      </c>
      <c r="L226" s="34">
        <f>PMT(Loans[[#This Row],[InterestRate]]/12,Loans[[#This Row],[LoanTenureMonths]],-Loans[[#This Row],[LoanAmount]])</f>
        <v>76637.977564610148</v>
      </c>
      <c r="M226" s="30">
        <f>EDATE(Loans[[#This Row],[LoanStartDate]],Loans[[#This Row],[LoanTenureMonths]])</f>
        <v>45839</v>
      </c>
      <c r="N226" s="33">
        <f>IF(Loans[[#This Row],[LoanAmount]]=0,0,Loans[[#This Row],[CollateralValue]]/Loans[[#This Row],[LoanAmount]])</f>
        <v>0.71</v>
      </c>
      <c r="O226" t="str">
        <f>IF(Loans[[#This Row],[CollateralCoverageRatio]]&lt;1,"Undersecured","Secured")</f>
        <v>Undersecured</v>
      </c>
      <c r="P226" t="str">
        <f>_xlfn.XLOOKUP(Loans[[#This Row],[BranchCode]],BranchesTbl[BranchCode],BranchesTbl[BranchName])</f>
        <v>Kisumu</v>
      </c>
      <c r="Q226">
        <f>_xlfn.XLOOKUP(Loans[[#This Row],[CustomerID]],CustomerTbl[CustomerID],CustomerTbl[RiskScore])</f>
        <v>503</v>
      </c>
      <c r="R226" t="str">
        <f>IFERROR(INDEX(RiskTbl[Risk_Category],MATCH(Loans[[#This Row],[RiskScore]],RiskTbl[Score_Min],1)),"Unknown")</f>
        <v>High Risk</v>
      </c>
      <c r="S226" t="str">
        <f>IF(OR(Loans[[#This Row],[LoanStatus]]="Default",Loans[[#This Row],[LoanStatus]]="Watchlist",Loans[[#This Row],[CollateralRisk]]="Undersecured",Loans[[#This Row],[RiskCategory]]="High Risk"),"High Risk Exposure","Normal")</f>
        <v>High Risk Exposure</v>
      </c>
      <c r="T226" t="str" cm="1">
        <f t="array" ref="T226">_xlfn.IFS(
Loans[[#This Row],[LoanStatus]]="Default","Critical",
OR(Loans[[#This Row],[LoanStatus]]="Watchlist",Loans[[#This Row],[CollateralRisk]]="Undersecured",Loans[[#This Row],[RiskCategory]]="High Risk"),"High",
TRUE,"Normal"
)</f>
        <v>High</v>
      </c>
    </row>
    <row r="227" spans="1:20" x14ac:dyDescent="0.35">
      <c r="A227" t="s">
        <v>601</v>
      </c>
      <c r="B227" t="s">
        <v>602</v>
      </c>
      <c r="C227" t="s">
        <v>181</v>
      </c>
      <c r="D227" t="s">
        <v>155</v>
      </c>
      <c r="E227" s="34">
        <v>500000</v>
      </c>
      <c r="F227" s="29">
        <v>0.27710000000000001</v>
      </c>
      <c r="G227" s="30">
        <v>44886</v>
      </c>
      <c r="H227">
        <v>48</v>
      </c>
      <c r="I227">
        <v>5</v>
      </c>
      <c r="J227" s="34">
        <v>0</v>
      </c>
      <c r="K227" t="s">
        <v>171</v>
      </c>
      <c r="L227" s="34">
        <f>PMT(Loans[[#This Row],[InterestRate]]/12,Loans[[#This Row],[LoanTenureMonths]],-Loans[[#This Row],[LoanAmount]])</f>
        <v>17343.203920077973</v>
      </c>
      <c r="M227" s="30">
        <f>EDATE(Loans[[#This Row],[LoanStartDate]],Loans[[#This Row],[LoanTenureMonths]])</f>
        <v>46347</v>
      </c>
      <c r="N227" s="33">
        <f>IF(Loans[[#This Row],[LoanAmount]]=0,0,Loans[[#This Row],[CollateralValue]]/Loans[[#This Row],[LoanAmount]])</f>
        <v>0</v>
      </c>
      <c r="O227" t="str">
        <f>IF(Loans[[#This Row],[CollateralCoverageRatio]]&lt;1,"Undersecured","Secured")</f>
        <v>Undersecured</v>
      </c>
      <c r="P227" t="str">
        <f>_xlfn.XLOOKUP(Loans[[#This Row],[BranchCode]],BranchesTbl[BranchCode],BranchesTbl[BranchName])</f>
        <v>Kitale</v>
      </c>
      <c r="Q227">
        <f>_xlfn.XLOOKUP(Loans[[#This Row],[CustomerID]],CustomerTbl[CustomerID],CustomerTbl[RiskScore])</f>
        <v>469</v>
      </c>
      <c r="R227" t="str">
        <f>IFERROR(INDEX(RiskTbl[Risk_Category],MATCH(Loans[[#This Row],[RiskScore]],RiskTbl[Score_Min],1)),"Unknown")</f>
        <v>High Risk</v>
      </c>
      <c r="S227" t="str">
        <f>IF(OR(Loans[[#This Row],[LoanStatus]]="Default",Loans[[#This Row],[LoanStatus]]="Watchlist",Loans[[#This Row],[CollateralRisk]]="Undersecured",Loans[[#This Row],[RiskCategory]]="High Risk"),"High Risk Exposure","Normal")</f>
        <v>High Risk Exposure</v>
      </c>
      <c r="T227" t="str" cm="1">
        <f t="array" ref="T227">_xlfn.IFS(
Loans[[#This Row],[LoanStatus]]="Default","Critical",
OR(Loans[[#This Row],[LoanStatus]]="Watchlist",Loans[[#This Row],[CollateralRisk]]="Undersecured",Loans[[#This Row],[RiskCategory]]="High Risk"),"High",
TRUE,"Normal"
)</f>
        <v>High</v>
      </c>
    </row>
    <row r="228" spans="1:20" x14ac:dyDescent="0.35">
      <c r="A228" t="s">
        <v>603</v>
      </c>
      <c r="B228" t="s">
        <v>604</v>
      </c>
      <c r="C228" t="s">
        <v>181</v>
      </c>
      <c r="D228" t="s">
        <v>158</v>
      </c>
      <c r="E228" s="34">
        <v>6000000</v>
      </c>
      <c r="F228" s="29">
        <v>0.1729</v>
      </c>
      <c r="G228" s="30">
        <v>44214</v>
      </c>
      <c r="H228">
        <v>24</v>
      </c>
      <c r="I228">
        <v>120</v>
      </c>
      <c r="J228" s="34">
        <v>3600000</v>
      </c>
      <c r="K228" t="s">
        <v>178</v>
      </c>
      <c r="L228" s="34">
        <f>PMT(Loans[[#This Row],[InterestRate]]/12,Loans[[#This Row],[LoanTenureMonths]],-Loans[[#This Row],[LoanAmount]])</f>
        <v>297490.32615833083</v>
      </c>
      <c r="M228" s="30">
        <f>EDATE(Loans[[#This Row],[LoanStartDate]],Loans[[#This Row],[LoanTenureMonths]])</f>
        <v>44944</v>
      </c>
      <c r="N228" s="33">
        <f>IF(Loans[[#This Row],[LoanAmount]]=0,0,Loans[[#This Row],[CollateralValue]]/Loans[[#This Row],[LoanAmount]])</f>
        <v>0.6</v>
      </c>
      <c r="O228" t="str">
        <f>IF(Loans[[#This Row],[CollateralCoverageRatio]]&lt;1,"Undersecured","Secured")</f>
        <v>Undersecured</v>
      </c>
      <c r="P228" t="str">
        <f>_xlfn.XLOOKUP(Loans[[#This Row],[BranchCode]],BranchesTbl[BranchCode],BranchesTbl[BranchName])</f>
        <v>Kitale</v>
      </c>
      <c r="Q228">
        <f>_xlfn.XLOOKUP(Loans[[#This Row],[CustomerID]],CustomerTbl[CustomerID],CustomerTbl[RiskScore])</f>
        <v>563</v>
      </c>
      <c r="R228" t="str">
        <f>IFERROR(INDEX(RiskTbl[Risk_Category],MATCH(Loans[[#This Row],[RiskScore]],RiskTbl[Score_Min],1)),"Unknown")</f>
        <v>High Risk</v>
      </c>
      <c r="S228" t="str">
        <f>IF(OR(Loans[[#This Row],[LoanStatus]]="Default",Loans[[#This Row],[LoanStatus]]="Watchlist",Loans[[#This Row],[CollateralRisk]]="Undersecured",Loans[[#This Row],[RiskCategory]]="High Risk"),"High Risk Exposure","Normal")</f>
        <v>High Risk Exposure</v>
      </c>
      <c r="T228" t="str" cm="1">
        <f t="array" ref="T228">_xlfn.IFS(
Loans[[#This Row],[LoanStatus]]="Default","Critical",
OR(Loans[[#This Row],[LoanStatus]]="Watchlist",Loans[[#This Row],[CollateralRisk]]="Undersecured",Loans[[#This Row],[RiskCategory]]="High Risk"),"High",
TRUE,"Normal"
)</f>
        <v>Critical</v>
      </c>
    </row>
    <row r="229" spans="1:20" x14ac:dyDescent="0.35">
      <c r="A229" t="s">
        <v>605</v>
      </c>
      <c r="B229" t="s">
        <v>402</v>
      </c>
      <c r="C229" t="s">
        <v>184</v>
      </c>
      <c r="D229" t="s">
        <v>155</v>
      </c>
      <c r="E229" s="34">
        <v>500000</v>
      </c>
      <c r="F229" s="29">
        <v>0.2296</v>
      </c>
      <c r="G229" s="30">
        <v>43881</v>
      </c>
      <c r="H229">
        <v>48</v>
      </c>
      <c r="I229">
        <v>45</v>
      </c>
      <c r="J229" s="34">
        <v>0</v>
      </c>
      <c r="K229" t="s">
        <v>199</v>
      </c>
      <c r="L229" s="34">
        <f>PMT(Loans[[#This Row],[InterestRate]]/12,Loans[[#This Row],[LoanTenureMonths]],-Loans[[#This Row],[LoanAmount]])</f>
        <v>16014.780046253061</v>
      </c>
      <c r="M229" s="30">
        <f>EDATE(Loans[[#This Row],[LoanStartDate]],Loans[[#This Row],[LoanTenureMonths]])</f>
        <v>45342</v>
      </c>
      <c r="N229" s="33">
        <f>IF(Loans[[#This Row],[LoanAmount]]=0,0,Loans[[#This Row],[CollateralValue]]/Loans[[#This Row],[LoanAmount]])</f>
        <v>0</v>
      </c>
      <c r="O229" t="str">
        <f>IF(Loans[[#This Row],[CollateralCoverageRatio]]&lt;1,"Undersecured","Secured")</f>
        <v>Undersecured</v>
      </c>
      <c r="P229" t="str">
        <f>_xlfn.XLOOKUP(Loans[[#This Row],[BranchCode]],BranchesTbl[BranchCode],BranchesTbl[BranchName])</f>
        <v>Kisumu</v>
      </c>
      <c r="Q229">
        <f>_xlfn.XLOOKUP(Loans[[#This Row],[CustomerID]],CustomerTbl[CustomerID],CustomerTbl[RiskScore])</f>
        <v>376</v>
      </c>
      <c r="R229" t="str">
        <f>IFERROR(INDEX(RiskTbl[Risk_Category],MATCH(Loans[[#This Row],[RiskScore]],RiskTbl[Score_Min],1)),"Unknown")</f>
        <v>High Risk</v>
      </c>
      <c r="S229" t="str">
        <f>IF(OR(Loans[[#This Row],[LoanStatus]]="Default",Loans[[#This Row],[LoanStatus]]="Watchlist",Loans[[#This Row],[CollateralRisk]]="Undersecured",Loans[[#This Row],[RiskCategory]]="High Risk"),"High Risk Exposure","Normal")</f>
        <v>High Risk Exposure</v>
      </c>
      <c r="T229" t="str" cm="1">
        <f t="array" ref="T229">_xlfn.IFS(
Loans[[#This Row],[LoanStatus]]="Default","Critical",
OR(Loans[[#This Row],[LoanStatus]]="Watchlist",Loans[[#This Row],[CollateralRisk]]="Undersecured",Loans[[#This Row],[RiskCategory]]="High Risk"),"High",
TRUE,"Normal"
)</f>
        <v>High</v>
      </c>
    </row>
    <row r="230" spans="1:20" x14ac:dyDescent="0.35">
      <c r="A230" t="s">
        <v>606</v>
      </c>
      <c r="B230" t="s">
        <v>332</v>
      </c>
      <c r="C230" t="s">
        <v>170</v>
      </c>
      <c r="D230" t="s">
        <v>157</v>
      </c>
      <c r="E230" s="34">
        <v>6000000</v>
      </c>
      <c r="F230" s="29">
        <v>0.1298</v>
      </c>
      <c r="G230" s="30">
        <v>45357</v>
      </c>
      <c r="H230">
        <v>48</v>
      </c>
      <c r="I230">
        <v>0</v>
      </c>
      <c r="J230" s="34">
        <v>4740000</v>
      </c>
      <c r="K230" t="s">
        <v>171</v>
      </c>
      <c r="L230" s="34">
        <f>PMT(Loans[[#This Row],[InterestRate]]/12,Loans[[#This Row],[LoanTenureMonths]],-Loans[[#This Row],[LoanAmount]])</f>
        <v>160905.42271849891</v>
      </c>
      <c r="M230" s="30">
        <f>EDATE(Loans[[#This Row],[LoanStartDate]],Loans[[#This Row],[LoanTenureMonths]])</f>
        <v>46818</v>
      </c>
      <c r="N230" s="33">
        <f>IF(Loans[[#This Row],[LoanAmount]]=0,0,Loans[[#This Row],[CollateralValue]]/Loans[[#This Row],[LoanAmount]])</f>
        <v>0.79</v>
      </c>
      <c r="O230" t="str">
        <f>IF(Loans[[#This Row],[CollateralCoverageRatio]]&lt;1,"Undersecured","Secured")</f>
        <v>Undersecured</v>
      </c>
      <c r="P230" t="str">
        <f>_xlfn.XLOOKUP(Loans[[#This Row],[BranchCode]],BranchesTbl[BranchCode],BranchesTbl[BranchName])</f>
        <v>Thika</v>
      </c>
      <c r="Q230">
        <f>_xlfn.XLOOKUP(Loans[[#This Row],[CustomerID]],CustomerTbl[CustomerID],CustomerTbl[RiskScore])</f>
        <v>681</v>
      </c>
      <c r="R230" t="str">
        <f>IFERROR(INDEX(RiskTbl[Risk_Category],MATCH(Loans[[#This Row],[RiskScore]],RiskTbl[Score_Min],1)),"Unknown")</f>
        <v>Low Risk</v>
      </c>
      <c r="S230" t="str">
        <f>IF(OR(Loans[[#This Row],[LoanStatus]]="Default",Loans[[#This Row],[LoanStatus]]="Watchlist",Loans[[#This Row],[CollateralRisk]]="Undersecured",Loans[[#This Row],[RiskCategory]]="High Risk"),"High Risk Exposure","Normal")</f>
        <v>High Risk Exposure</v>
      </c>
      <c r="T230" t="str" cm="1">
        <f t="array" ref="T230">_xlfn.IFS(
Loans[[#This Row],[LoanStatus]]="Default","Critical",
OR(Loans[[#This Row],[LoanStatus]]="Watchlist",Loans[[#This Row],[CollateralRisk]]="Undersecured",Loans[[#This Row],[RiskCategory]]="High Risk"),"High",
TRUE,"Normal"
)</f>
        <v>High</v>
      </c>
    </row>
    <row r="231" spans="1:20" x14ac:dyDescent="0.35">
      <c r="A231" t="s">
        <v>607</v>
      </c>
      <c r="B231" t="s">
        <v>608</v>
      </c>
      <c r="C231" t="s">
        <v>174</v>
      </c>
      <c r="D231" t="s">
        <v>157</v>
      </c>
      <c r="E231" s="34">
        <v>80000000</v>
      </c>
      <c r="F231" s="29">
        <v>9.5899999999999999E-2</v>
      </c>
      <c r="G231" s="30">
        <v>45022</v>
      </c>
      <c r="H231">
        <v>48</v>
      </c>
      <c r="I231">
        <v>10</v>
      </c>
      <c r="J231" s="34">
        <v>67200000</v>
      </c>
      <c r="K231" t="s">
        <v>171</v>
      </c>
      <c r="L231" s="34">
        <f>PMT(Loans[[#This Row],[InterestRate]]/12,Loans[[#This Row],[LoanTenureMonths]],-Loans[[#This Row],[LoanAmount]])</f>
        <v>2013290.9887719203</v>
      </c>
      <c r="M231" s="30">
        <f>EDATE(Loans[[#This Row],[LoanStartDate]],Loans[[#This Row],[LoanTenureMonths]])</f>
        <v>46483</v>
      </c>
      <c r="N231" s="33">
        <f>IF(Loans[[#This Row],[LoanAmount]]=0,0,Loans[[#This Row],[CollateralValue]]/Loans[[#This Row],[LoanAmount]])</f>
        <v>0.84</v>
      </c>
      <c r="O231" t="str">
        <f>IF(Loans[[#This Row],[CollateralCoverageRatio]]&lt;1,"Undersecured","Secured")</f>
        <v>Undersecured</v>
      </c>
      <c r="P231" t="str">
        <f>_xlfn.XLOOKUP(Loans[[#This Row],[BranchCode]],BranchesTbl[BranchCode],BranchesTbl[BranchName])</f>
        <v>Westlands</v>
      </c>
      <c r="Q231">
        <f>_xlfn.XLOOKUP(Loans[[#This Row],[CustomerID]],CustomerTbl[CustomerID],CustomerTbl[RiskScore])</f>
        <v>557</v>
      </c>
      <c r="R231" t="str">
        <f>IFERROR(INDEX(RiskTbl[Risk_Category],MATCH(Loans[[#This Row],[RiskScore]],RiskTbl[Score_Min],1)),"Unknown")</f>
        <v>High Risk</v>
      </c>
      <c r="S231" t="str">
        <f>IF(OR(Loans[[#This Row],[LoanStatus]]="Default",Loans[[#This Row],[LoanStatus]]="Watchlist",Loans[[#This Row],[CollateralRisk]]="Undersecured",Loans[[#This Row],[RiskCategory]]="High Risk"),"High Risk Exposure","Normal")</f>
        <v>High Risk Exposure</v>
      </c>
      <c r="T231" t="str" cm="1">
        <f t="array" ref="T231">_xlfn.IFS(
Loans[[#This Row],[LoanStatus]]="Default","Critical",
OR(Loans[[#This Row],[LoanStatus]]="Watchlist",Loans[[#This Row],[CollateralRisk]]="Undersecured",Loans[[#This Row],[RiskCategory]]="High Risk"),"High",
TRUE,"Normal"
)</f>
        <v>High</v>
      </c>
    </row>
    <row r="232" spans="1:20" x14ac:dyDescent="0.35">
      <c r="A232" t="s">
        <v>609</v>
      </c>
      <c r="B232" t="s">
        <v>610</v>
      </c>
      <c r="C232" t="s">
        <v>267</v>
      </c>
      <c r="D232" t="s">
        <v>157</v>
      </c>
      <c r="E232" s="34">
        <v>25000000</v>
      </c>
      <c r="F232" s="29">
        <v>0.12790000000000001</v>
      </c>
      <c r="G232" s="30">
        <v>45195</v>
      </c>
      <c r="H232">
        <v>60</v>
      </c>
      <c r="I232">
        <v>0</v>
      </c>
      <c r="J232" s="34">
        <v>17000000</v>
      </c>
      <c r="K232" t="s">
        <v>171</v>
      </c>
      <c r="L232" s="34">
        <f>PMT(Loans[[#This Row],[InterestRate]]/12,Loans[[#This Row],[LoanTenureMonths]],-Loans[[#This Row],[LoanAmount]])</f>
        <v>566142.91340518626</v>
      </c>
      <c r="M232" s="30">
        <f>EDATE(Loans[[#This Row],[LoanStartDate]],Loans[[#This Row],[LoanTenureMonths]])</f>
        <v>47022</v>
      </c>
      <c r="N232" s="33">
        <f>IF(Loans[[#This Row],[LoanAmount]]=0,0,Loans[[#This Row],[CollateralValue]]/Loans[[#This Row],[LoanAmount]])</f>
        <v>0.68</v>
      </c>
      <c r="O232" t="str">
        <f>IF(Loans[[#This Row],[CollateralCoverageRatio]]&lt;1,"Undersecured","Secured")</f>
        <v>Undersecured</v>
      </c>
      <c r="P232" t="str">
        <f>_xlfn.XLOOKUP(Loans[[#This Row],[BranchCode]],BranchesTbl[BranchCode],BranchesTbl[BranchName])</f>
        <v>Malindi</v>
      </c>
      <c r="Q232">
        <f>_xlfn.XLOOKUP(Loans[[#This Row],[CustomerID]],CustomerTbl[CustomerID],CustomerTbl[RiskScore])</f>
        <v>602</v>
      </c>
      <c r="R232" t="str">
        <f>IFERROR(INDEX(RiskTbl[Risk_Category],MATCH(Loans[[#This Row],[RiskScore]],RiskTbl[Score_Min],1)),"Unknown")</f>
        <v>Medium Risk</v>
      </c>
      <c r="S232" t="str">
        <f>IF(OR(Loans[[#This Row],[LoanStatus]]="Default",Loans[[#This Row],[LoanStatus]]="Watchlist",Loans[[#This Row],[CollateralRisk]]="Undersecured",Loans[[#This Row],[RiskCategory]]="High Risk"),"High Risk Exposure","Normal")</f>
        <v>High Risk Exposure</v>
      </c>
      <c r="T232" t="str" cm="1">
        <f t="array" ref="T232">_xlfn.IFS(
Loans[[#This Row],[LoanStatus]]="Default","Critical",
OR(Loans[[#This Row],[LoanStatus]]="Watchlist",Loans[[#This Row],[CollateralRisk]]="Undersecured",Loans[[#This Row],[RiskCategory]]="High Risk"),"High",
TRUE,"Normal"
)</f>
        <v>High</v>
      </c>
    </row>
    <row r="233" spans="1:20" x14ac:dyDescent="0.35">
      <c r="A233" t="s">
        <v>611</v>
      </c>
      <c r="B233" t="s">
        <v>612</v>
      </c>
      <c r="C233" t="s">
        <v>239</v>
      </c>
      <c r="D233" t="s">
        <v>155</v>
      </c>
      <c r="E233" s="34">
        <v>500000</v>
      </c>
      <c r="F233" s="29">
        <v>0.27089999999999997</v>
      </c>
      <c r="G233" s="30">
        <v>43854</v>
      </c>
      <c r="H233">
        <v>12</v>
      </c>
      <c r="I233">
        <v>120</v>
      </c>
      <c r="J233" s="34">
        <v>0</v>
      </c>
      <c r="K233" t="s">
        <v>178</v>
      </c>
      <c r="L233" s="34">
        <f>PMT(Loans[[#This Row],[InterestRate]]/12,Loans[[#This Row],[LoanTenureMonths]],-Loans[[#This Row],[LoanAmount]])</f>
        <v>48030.660089053614</v>
      </c>
      <c r="M233" s="30">
        <f>EDATE(Loans[[#This Row],[LoanStartDate]],Loans[[#This Row],[LoanTenureMonths]])</f>
        <v>44220</v>
      </c>
      <c r="N233" s="33">
        <f>IF(Loans[[#This Row],[LoanAmount]]=0,0,Loans[[#This Row],[CollateralValue]]/Loans[[#This Row],[LoanAmount]])</f>
        <v>0</v>
      </c>
      <c r="O233" t="str">
        <f>IF(Loans[[#This Row],[CollateralCoverageRatio]]&lt;1,"Undersecured","Secured")</f>
        <v>Undersecured</v>
      </c>
      <c r="P233" t="str">
        <f>_xlfn.XLOOKUP(Loans[[#This Row],[BranchCode]],BranchesTbl[BranchCode],BranchesTbl[BranchName])</f>
        <v>Machakos</v>
      </c>
      <c r="Q233">
        <f>_xlfn.XLOOKUP(Loans[[#This Row],[CustomerID]],CustomerTbl[CustomerID],CustomerTbl[RiskScore])</f>
        <v>573</v>
      </c>
      <c r="R233" t="str">
        <f>IFERROR(INDEX(RiskTbl[Risk_Category],MATCH(Loans[[#This Row],[RiskScore]],RiskTbl[Score_Min],1)),"Unknown")</f>
        <v>High Risk</v>
      </c>
      <c r="S233" t="str">
        <f>IF(OR(Loans[[#This Row],[LoanStatus]]="Default",Loans[[#This Row],[LoanStatus]]="Watchlist",Loans[[#This Row],[CollateralRisk]]="Undersecured",Loans[[#This Row],[RiskCategory]]="High Risk"),"High Risk Exposure","Normal")</f>
        <v>High Risk Exposure</v>
      </c>
      <c r="T233" t="str" cm="1">
        <f t="array" ref="T233">_xlfn.IFS(
Loans[[#This Row],[LoanStatus]]="Default","Critical",
OR(Loans[[#This Row],[LoanStatus]]="Watchlist",Loans[[#This Row],[CollateralRisk]]="Undersecured",Loans[[#This Row],[RiskCategory]]="High Risk"),"High",
TRUE,"Normal"
)</f>
        <v>Critical</v>
      </c>
    </row>
    <row r="234" spans="1:20" x14ac:dyDescent="0.35">
      <c r="A234" t="s">
        <v>613</v>
      </c>
      <c r="B234" t="s">
        <v>614</v>
      </c>
      <c r="C234" t="s">
        <v>170</v>
      </c>
      <c r="D234" t="s">
        <v>158</v>
      </c>
      <c r="E234" s="34">
        <v>6000000</v>
      </c>
      <c r="F234" s="29">
        <v>0.14319999999999999</v>
      </c>
      <c r="G234" s="30">
        <v>44606</v>
      </c>
      <c r="H234">
        <v>36</v>
      </c>
      <c r="I234">
        <v>0</v>
      </c>
      <c r="J234" s="34">
        <v>3120000</v>
      </c>
      <c r="K234" t="s">
        <v>171</v>
      </c>
      <c r="L234" s="34">
        <f>PMT(Loans[[#This Row],[InterestRate]]/12,Loans[[#This Row],[LoanTenureMonths]],-Loans[[#This Row],[LoanAmount]])</f>
        <v>205999.53952933388</v>
      </c>
      <c r="M234" s="30">
        <f>EDATE(Loans[[#This Row],[LoanStartDate]],Loans[[#This Row],[LoanTenureMonths]])</f>
        <v>45702</v>
      </c>
      <c r="N234" s="33">
        <f>IF(Loans[[#This Row],[LoanAmount]]=0,0,Loans[[#This Row],[CollateralValue]]/Loans[[#This Row],[LoanAmount]])</f>
        <v>0.52</v>
      </c>
      <c r="O234" t="str">
        <f>IF(Loans[[#This Row],[CollateralCoverageRatio]]&lt;1,"Undersecured","Secured")</f>
        <v>Undersecured</v>
      </c>
      <c r="P234" t="str">
        <f>_xlfn.XLOOKUP(Loans[[#This Row],[BranchCode]],BranchesTbl[BranchCode],BranchesTbl[BranchName])</f>
        <v>Thika</v>
      </c>
      <c r="Q234">
        <f>_xlfn.XLOOKUP(Loans[[#This Row],[CustomerID]],CustomerTbl[CustomerID],CustomerTbl[RiskScore])</f>
        <v>834</v>
      </c>
      <c r="R234" t="str">
        <f>IFERROR(INDEX(RiskTbl[Risk_Category],MATCH(Loans[[#This Row],[RiskScore]],RiskTbl[Score_Min],1)),"Unknown")</f>
        <v>Prime</v>
      </c>
      <c r="S234" t="str">
        <f>IF(OR(Loans[[#This Row],[LoanStatus]]="Default",Loans[[#This Row],[LoanStatus]]="Watchlist",Loans[[#This Row],[CollateralRisk]]="Undersecured",Loans[[#This Row],[RiskCategory]]="High Risk"),"High Risk Exposure","Normal")</f>
        <v>High Risk Exposure</v>
      </c>
      <c r="T234" t="str" cm="1">
        <f t="array" ref="T234">_xlfn.IFS(
Loans[[#This Row],[LoanStatus]]="Default","Critical",
OR(Loans[[#This Row],[LoanStatus]]="Watchlist",Loans[[#This Row],[CollateralRisk]]="Undersecured",Loans[[#This Row],[RiskCategory]]="High Risk"),"High",
TRUE,"Normal"
)</f>
        <v>High</v>
      </c>
    </row>
    <row r="235" spans="1:20" x14ac:dyDescent="0.35">
      <c r="A235" t="s">
        <v>615</v>
      </c>
      <c r="B235" t="s">
        <v>616</v>
      </c>
      <c r="C235" t="s">
        <v>184</v>
      </c>
      <c r="D235" t="s">
        <v>157</v>
      </c>
      <c r="E235" s="34">
        <v>6000000</v>
      </c>
      <c r="F235" s="29">
        <v>0.1211</v>
      </c>
      <c r="G235" s="30">
        <v>45897</v>
      </c>
      <c r="H235">
        <v>24</v>
      </c>
      <c r="I235">
        <v>0</v>
      </c>
      <c r="J235" s="34">
        <v>4080000</v>
      </c>
      <c r="K235" t="s">
        <v>171</v>
      </c>
      <c r="L235" s="34">
        <f>PMT(Loans[[#This Row],[InterestRate]]/12,Loans[[#This Row],[LoanTenureMonths]],-Loans[[#This Row],[LoanAmount]])</f>
        <v>282749.14743665862</v>
      </c>
      <c r="M235" s="30">
        <f>EDATE(Loans[[#This Row],[LoanStartDate]],Loans[[#This Row],[LoanTenureMonths]])</f>
        <v>46627</v>
      </c>
      <c r="N235" s="33">
        <f>IF(Loans[[#This Row],[LoanAmount]]=0,0,Loans[[#This Row],[CollateralValue]]/Loans[[#This Row],[LoanAmount]])</f>
        <v>0.68</v>
      </c>
      <c r="O235" t="str">
        <f>IF(Loans[[#This Row],[CollateralCoverageRatio]]&lt;1,"Undersecured","Secured")</f>
        <v>Undersecured</v>
      </c>
      <c r="P235" t="str">
        <f>_xlfn.XLOOKUP(Loans[[#This Row],[BranchCode]],BranchesTbl[BranchCode],BranchesTbl[BranchName])</f>
        <v>Kisumu</v>
      </c>
      <c r="Q235">
        <f>_xlfn.XLOOKUP(Loans[[#This Row],[CustomerID]],CustomerTbl[CustomerID],CustomerTbl[RiskScore])</f>
        <v>420</v>
      </c>
      <c r="R235" t="str">
        <f>IFERROR(INDEX(RiskTbl[Risk_Category],MATCH(Loans[[#This Row],[RiskScore]],RiskTbl[Score_Min],1)),"Unknown")</f>
        <v>High Risk</v>
      </c>
      <c r="S235" t="str">
        <f>IF(OR(Loans[[#This Row],[LoanStatus]]="Default",Loans[[#This Row],[LoanStatus]]="Watchlist",Loans[[#This Row],[CollateralRisk]]="Undersecured",Loans[[#This Row],[RiskCategory]]="High Risk"),"High Risk Exposure","Normal")</f>
        <v>High Risk Exposure</v>
      </c>
      <c r="T235" t="str" cm="1">
        <f t="array" ref="T235">_xlfn.IFS(
Loans[[#This Row],[LoanStatus]]="Default","Critical",
OR(Loans[[#This Row],[LoanStatus]]="Watchlist",Loans[[#This Row],[CollateralRisk]]="Undersecured",Loans[[#This Row],[RiskCategory]]="High Risk"),"High",
TRUE,"Normal"
)</f>
        <v>High</v>
      </c>
    </row>
    <row r="236" spans="1:20" x14ac:dyDescent="0.35">
      <c r="A236" t="s">
        <v>617</v>
      </c>
      <c r="B236" t="s">
        <v>243</v>
      </c>
      <c r="C236" t="s">
        <v>177</v>
      </c>
      <c r="D236" t="s">
        <v>158</v>
      </c>
      <c r="E236" s="34">
        <v>500000</v>
      </c>
      <c r="F236" s="29">
        <v>0.16889999999999999</v>
      </c>
      <c r="G236" s="30">
        <v>45623</v>
      </c>
      <c r="H236">
        <v>60</v>
      </c>
      <c r="I236">
        <v>5</v>
      </c>
      <c r="J236" s="34">
        <v>390000</v>
      </c>
      <c r="K236" t="s">
        <v>171</v>
      </c>
      <c r="L236" s="34">
        <f>PMT(Loans[[#This Row],[InterestRate]]/12,Loans[[#This Row],[LoanTenureMonths]],-Loans[[#This Row],[LoanAmount]])</f>
        <v>12396.733816400778</v>
      </c>
      <c r="M236" s="30">
        <f>EDATE(Loans[[#This Row],[LoanStartDate]],Loans[[#This Row],[LoanTenureMonths]])</f>
        <v>47449</v>
      </c>
      <c r="N236" s="33">
        <f>IF(Loans[[#This Row],[LoanAmount]]=0,0,Loans[[#This Row],[CollateralValue]]/Loans[[#This Row],[LoanAmount]])</f>
        <v>0.78</v>
      </c>
      <c r="O236" t="str">
        <f>IF(Loans[[#This Row],[CollateralCoverageRatio]]&lt;1,"Undersecured","Secured")</f>
        <v>Undersecured</v>
      </c>
      <c r="P236" t="str">
        <f>_xlfn.XLOOKUP(Loans[[#This Row],[BranchCode]],BranchesTbl[BranchCode],BranchesTbl[BranchName])</f>
        <v>Naivasha</v>
      </c>
      <c r="Q236">
        <f>_xlfn.XLOOKUP(Loans[[#This Row],[CustomerID]],CustomerTbl[CustomerID],CustomerTbl[RiskScore])</f>
        <v>309</v>
      </c>
      <c r="R236" t="str">
        <f>IFERROR(INDEX(RiskTbl[Risk_Category],MATCH(Loans[[#This Row],[RiskScore]],RiskTbl[Score_Min],1)),"Unknown")</f>
        <v>High Risk</v>
      </c>
      <c r="S236" t="str">
        <f>IF(OR(Loans[[#This Row],[LoanStatus]]="Default",Loans[[#This Row],[LoanStatus]]="Watchlist",Loans[[#This Row],[CollateralRisk]]="Undersecured",Loans[[#This Row],[RiskCategory]]="High Risk"),"High Risk Exposure","Normal")</f>
        <v>High Risk Exposure</v>
      </c>
      <c r="T236" t="str" cm="1">
        <f t="array" ref="T236">_xlfn.IFS(
Loans[[#This Row],[LoanStatus]]="Default","Critical",
OR(Loans[[#This Row],[LoanStatus]]="Watchlist",Loans[[#This Row],[CollateralRisk]]="Undersecured",Loans[[#This Row],[RiskCategory]]="High Risk"),"High",
TRUE,"Normal"
)</f>
        <v>High</v>
      </c>
    </row>
    <row r="237" spans="1:20" x14ac:dyDescent="0.35">
      <c r="A237" t="s">
        <v>618</v>
      </c>
      <c r="B237" t="s">
        <v>619</v>
      </c>
      <c r="C237" t="s">
        <v>174</v>
      </c>
      <c r="D237" t="s">
        <v>156</v>
      </c>
      <c r="E237" s="34">
        <v>1000000</v>
      </c>
      <c r="F237" s="29">
        <v>0.1527</v>
      </c>
      <c r="G237" s="30">
        <v>44481</v>
      </c>
      <c r="H237">
        <v>60</v>
      </c>
      <c r="I237">
        <v>0</v>
      </c>
      <c r="J237" s="34">
        <v>670000</v>
      </c>
      <c r="K237" t="s">
        <v>171</v>
      </c>
      <c r="L237" s="34">
        <f>PMT(Loans[[#This Row],[InterestRate]]/12,Loans[[#This Row],[LoanTenureMonths]],-Loans[[#This Row],[LoanAmount]])</f>
        <v>23931.891252982114</v>
      </c>
      <c r="M237" s="30">
        <f>EDATE(Loans[[#This Row],[LoanStartDate]],Loans[[#This Row],[LoanTenureMonths]])</f>
        <v>46307</v>
      </c>
      <c r="N237" s="33">
        <f>IF(Loans[[#This Row],[LoanAmount]]=0,0,Loans[[#This Row],[CollateralValue]]/Loans[[#This Row],[LoanAmount]])</f>
        <v>0.67</v>
      </c>
      <c r="O237" t="str">
        <f>IF(Loans[[#This Row],[CollateralCoverageRatio]]&lt;1,"Undersecured","Secured")</f>
        <v>Undersecured</v>
      </c>
      <c r="P237" t="str">
        <f>_xlfn.XLOOKUP(Loans[[#This Row],[BranchCode]],BranchesTbl[BranchCode],BranchesTbl[BranchName])</f>
        <v>Westlands</v>
      </c>
      <c r="Q237">
        <f>_xlfn.XLOOKUP(Loans[[#This Row],[CustomerID]],CustomerTbl[CustomerID],CustomerTbl[RiskScore])</f>
        <v>850</v>
      </c>
      <c r="R237" t="str">
        <f>IFERROR(INDEX(RiskTbl[Risk_Category],MATCH(Loans[[#This Row],[RiskScore]],RiskTbl[Score_Min],1)),"Unknown")</f>
        <v>Prime</v>
      </c>
      <c r="S237" t="str">
        <f>IF(OR(Loans[[#This Row],[LoanStatus]]="Default",Loans[[#This Row],[LoanStatus]]="Watchlist",Loans[[#This Row],[CollateralRisk]]="Undersecured",Loans[[#This Row],[RiskCategory]]="High Risk"),"High Risk Exposure","Normal")</f>
        <v>High Risk Exposure</v>
      </c>
      <c r="T237" t="str" cm="1">
        <f t="array" ref="T237">_xlfn.IFS(
Loans[[#This Row],[LoanStatus]]="Default","Critical",
OR(Loans[[#This Row],[LoanStatus]]="Watchlist",Loans[[#This Row],[CollateralRisk]]="Undersecured",Loans[[#This Row],[RiskCategory]]="High Risk"),"High",
TRUE,"Normal"
)</f>
        <v>High</v>
      </c>
    </row>
    <row r="238" spans="1:20" x14ac:dyDescent="0.35">
      <c r="A238" t="s">
        <v>620</v>
      </c>
      <c r="B238" t="s">
        <v>534</v>
      </c>
      <c r="C238" t="s">
        <v>187</v>
      </c>
      <c r="D238" t="s">
        <v>156</v>
      </c>
      <c r="E238" s="34">
        <v>6000000</v>
      </c>
      <c r="F238" s="29">
        <v>0.191</v>
      </c>
      <c r="G238" s="30">
        <v>45032</v>
      </c>
      <c r="H238">
        <v>60</v>
      </c>
      <c r="I238">
        <v>10</v>
      </c>
      <c r="J238" s="34">
        <v>3660000</v>
      </c>
      <c r="K238" t="s">
        <v>171</v>
      </c>
      <c r="L238" s="34">
        <f>PMT(Loans[[#This Row],[InterestRate]]/12,Loans[[#This Row],[LoanTenureMonths]],-Loans[[#This Row],[LoanAmount]])</f>
        <v>155973.63637530332</v>
      </c>
      <c r="M238" s="30">
        <f>EDATE(Loans[[#This Row],[LoanStartDate]],Loans[[#This Row],[LoanTenureMonths]])</f>
        <v>46859</v>
      </c>
      <c r="N238" s="33">
        <f>IF(Loans[[#This Row],[LoanAmount]]=0,0,Loans[[#This Row],[CollateralValue]]/Loans[[#This Row],[LoanAmount]])</f>
        <v>0.61</v>
      </c>
      <c r="O238" t="str">
        <f>IF(Loans[[#This Row],[CollateralCoverageRatio]]&lt;1,"Undersecured","Secured")</f>
        <v>Undersecured</v>
      </c>
      <c r="P238" t="str">
        <f>_xlfn.XLOOKUP(Loans[[#This Row],[BranchCode]],BranchesTbl[BranchCode],BranchesTbl[BranchName])</f>
        <v>Eldoret</v>
      </c>
      <c r="Q238">
        <f>_xlfn.XLOOKUP(Loans[[#This Row],[CustomerID]],CustomerTbl[CustomerID],CustomerTbl[RiskScore])</f>
        <v>309</v>
      </c>
      <c r="R238" t="str">
        <f>IFERROR(INDEX(RiskTbl[Risk_Category],MATCH(Loans[[#This Row],[RiskScore]],RiskTbl[Score_Min],1)),"Unknown")</f>
        <v>High Risk</v>
      </c>
      <c r="S238" t="str">
        <f>IF(OR(Loans[[#This Row],[LoanStatus]]="Default",Loans[[#This Row],[LoanStatus]]="Watchlist",Loans[[#This Row],[CollateralRisk]]="Undersecured",Loans[[#This Row],[RiskCategory]]="High Risk"),"High Risk Exposure","Normal")</f>
        <v>High Risk Exposure</v>
      </c>
      <c r="T238" t="str" cm="1">
        <f t="array" ref="T238">_xlfn.IFS(
Loans[[#This Row],[LoanStatus]]="Default","Critical",
OR(Loans[[#This Row],[LoanStatus]]="Watchlist",Loans[[#This Row],[CollateralRisk]]="Undersecured",Loans[[#This Row],[RiskCategory]]="High Risk"),"High",
TRUE,"Normal"
)</f>
        <v>High</v>
      </c>
    </row>
    <row r="239" spans="1:20" x14ac:dyDescent="0.35">
      <c r="A239" t="s">
        <v>621</v>
      </c>
      <c r="B239" t="s">
        <v>622</v>
      </c>
      <c r="C239" t="s">
        <v>239</v>
      </c>
      <c r="D239" t="s">
        <v>158</v>
      </c>
      <c r="E239" s="34">
        <v>500000</v>
      </c>
      <c r="F239" s="29">
        <v>0.12180000000000001</v>
      </c>
      <c r="G239" s="30">
        <v>44248</v>
      </c>
      <c r="H239">
        <v>72</v>
      </c>
      <c r="I239">
        <v>0</v>
      </c>
      <c r="J239" s="34">
        <v>280000</v>
      </c>
      <c r="K239" t="s">
        <v>171</v>
      </c>
      <c r="L239" s="34">
        <f>PMT(Loans[[#This Row],[InterestRate]]/12,Loans[[#This Row],[LoanTenureMonths]],-Loans[[#This Row],[LoanAmount]])</f>
        <v>9821.9617013148636</v>
      </c>
      <c r="M239" s="30">
        <f>EDATE(Loans[[#This Row],[LoanStartDate]],Loans[[#This Row],[LoanTenureMonths]])</f>
        <v>46439</v>
      </c>
      <c r="N239" s="33">
        <f>IF(Loans[[#This Row],[LoanAmount]]=0,0,Loans[[#This Row],[CollateralValue]]/Loans[[#This Row],[LoanAmount]])</f>
        <v>0.56000000000000005</v>
      </c>
      <c r="O239" t="str">
        <f>IF(Loans[[#This Row],[CollateralCoverageRatio]]&lt;1,"Undersecured","Secured")</f>
        <v>Undersecured</v>
      </c>
      <c r="P239" t="str">
        <f>_xlfn.XLOOKUP(Loans[[#This Row],[BranchCode]],BranchesTbl[BranchCode],BranchesTbl[BranchName])</f>
        <v>Machakos</v>
      </c>
      <c r="Q239">
        <f>_xlfn.XLOOKUP(Loans[[#This Row],[CustomerID]],CustomerTbl[CustomerID],CustomerTbl[RiskScore])</f>
        <v>375</v>
      </c>
      <c r="R239" t="str">
        <f>IFERROR(INDEX(RiskTbl[Risk_Category],MATCH(Loans[[#This Row],[RiskScore]],RiskTbl[Score_Min],1)),"Unknown")</f>
        <v>High Risk</v>
      </c>
      <c r="S239" t="str">
        <f>IF(OR(Loans[[#This Row],[LoanStatus]]="Default",Loans[[#This Row],[LoanStatus]]="Watchlist",Loans[[#This Row],[CollateralRisk]]="Undersecured",Loans[[#This Row],[RiskCategory]]="High Risk"),"High Risk Exposure","Normal")</f>
        <v>High Risk Exposure</v>
      </c>
      <c r="T239" t="str" cm="1">
        <f t="array" ref="T239">_xlfn.IFS(
Loans[[#This Row],[LoanStatus]]="Default","Critical",
OR(Loans[[#This Row],[LoanStatus]]="Watchlist",Loans[[#This Row],[CollateralRisk]]="Undersecured",Loans[[#This Row],[RiskCategory]]="High Risk"),"High",
TRUE,"Normal"
)</f>
        <v>High</v>
      </c>
    </row>
    <row r="240" spans="1:20" x14ac:dyDescent="0.35">
      <c r="A240" t="s">
        <v>623</v>
      </c>
      <c r="B240" t="s">
        <v>205</v>
      </c>
      <c r="C240" t="s">
        <v>232</v>
      </c>
      <c r="D240" t="s">
        <v>156</v>
      </c>
      <c r="E240" s="34">
        <v>25000000</v>
      </c>
      <c r="F240" s="29">
        <v>0.16719999999999999</v>
      </c>
      <c r="G240" s="30">
        <v>45068</v>
      </c>
      <c r="H240">
        <v>60</v>
      </c>
      <c r="I240">
        <v>45</v>
      </c>
      <c r="J240" s="34">
        <v>21000000</v>
      </c>
      <c r="K240" t="s">
        <v>199</v>
      </c>
      <c r="L240" s="34">
        <f>PMT(Loans[[#This Row],[InterestRate]]/12,Loans[[#This Row],[LoanTenureMonths]],-Loans[[#This Row],[LoanAmount]])</f>
        <v>617556.74031684245</v>
      </c>
      <c r="M240" s="30">
        <f>EDATE(Loans[[#This Row],[LoanStartDate]],Loans[[#This Row],[LoanTenureMonths]])</f>
        <v>46895</v>
      </c>
      <c r="N240" s="33">
        <f>IF(Loans[[#This Row],[LoanAmount]]=0,0,Loans[[#This Row],[CollateralValue]]/Loans[[#This Row],[LoanAmount]])</f>
        <v>0.84</v>
      </c>
      <c r="O240" t="str">
        <f>IF(Loans[[#This Row],[CollateralCoverageRatio]]&lt;1,"Undersecured","Secured")</f>
        <v>Undersecured</v>
      </c>
      <c r="P240" t="str">
        <f>_xlfn.XLOOKUP(Loans[[#This Row],[BranchCode]],BranchesTbl[BranchCode],BranchesTbl[BranchName])</f>
        <v>Upper Hill</v>
      </c>
      <c r="Q240">
        <f>_xlfn.XLOOKUP(Loans[[#This Row],[CustomerID]],CustomerTbl[CustomerID],CustomerTbl[RiskScore])</f>
        <v>330</v>
      </c>
      <c r="R240" t="str">
        <f>IFERROR(INDEX(RiskTbl[Risk_Category],MATCH(Loans[[#This Row],[RiskScore]],RiskTbl[Score_Min],1)),"Unknown")</f>
        <v>High Risk</v>
      </c>
      <c r="S240" t="str">
        <f>IF(OR(Loans[[#This Row],[LoanStatus]]="Default",Loans[[#This Row],[LoanStatus]]="Watchlist",Loans[[#This Row],[CollateralRisk]]="Undersecured",Loans[[#This Row],[RiskCategory]]="High Risk"),"High Risk Exposure","Normal")</f>
        <v>High Risk Exposure</v>
      </c>
      <c r="T240" t="str" cm="1">
        <f t="array" ref="T240">_xlfn.IFS(
Loans[[#This Row],[LoanStatus]]="Default","Critical",
OR(Loans[[#This Row],[LoanStatus]]="Watchlist",Loans[[#This Row],[CollateralRisk]]="Undersecured",Loans[[#This Row],[RiskCategory]]="High Risk"),"High",
TRUE,"Normal"
)</f>
        <v>High</v>
      </c>
    </row>
    <row r="241" spans="1:20" x14ac:dyDescent="0.35">
      <c r="A241" t="s">
        <v>624</v>
      </c>
      <c r="B241" t="s">
        <v>625</v>
      </c>
      <c r="C241" t="s">
        <v>239</v>
      </c>
      <c r="D241" t="s">
        <v>158</v>
      </c>
      <c r="E241" s="34">
        <v>500000</v>
      </c>
      <c r="F241" s="29">
        <v>0.15</v>
      </c>
      <c r="G241" s="30">
        <v>44584</v>
      </c>
      <c r="H241">
        <v>36</v>
      </c>
      <c r="I241">
        <v>90</v>
      </c>
      <c r="J241" s="34">
        <v>275000</v>
      </c>
      <c r="K241" t="s">
        <v>199</v>
      </c>
      <c r="L241" s="34">
        <f>PMT(Loans[[#This Row],[InterestRate]]/12,Loans[[#This Row],[LoanTenureMonths]],-Loans[[#This Row],[LoanAmount]])</f>
        <v>17332.664252097064</v>
      </c>
      <c r="M241" s="30">
        <f>EDATE(Loans[[#This Row],[LoanStartDate]],Loans[[#This Row],[LoanTenureMonths]])</f>
        <v>45680</v>
      </c>
      <c r="N241" s="33">
        <f>IF(Loans[[#This Row],[LoanAmount]]=0,0,Loans[[#This Row],[CollateralValue]]/Loans[[#This Row],[LoanAmount]])</f>
        <v>0.55000000000000004</v>
      </c>
      <c r="O241" t="str">
        <f>IF(Loans[[#This Row],[CollateralCoverageRatio]]&lt;1,"Undersecured","Secured")</f>
        <v>Undersecured</v>
      </c>
      <c r="P241" t="str">
        <f>_xlfn.XLOOKUP(Loans[[#This Row],[BranchCode]],BranchesTbl[BranchCode],BranchesTbl[BranchName])</f>
        <v>Machakos</v>
      </c>
      <c r="Q241">
        <f>_xlfn.XLOOKUP(Loans[[#This Row],[CustomerID]],CustomerTbl[CustomerID],CustomerTbl[RiskScore])</f>
        <v>787</v>
      </c>
      <c r="R241" t="str">
        <f>IFERROR(INDEX(RiskTbl[Risk_Category],MATCH(Loans[[#This Row],[RiskScore]],RiskTbl[Score_Min],1)),"Unknown")</f>
        <v>Very Low Risk</v>
      </c>
      <c r="S241" t="str">
        <f>IF(OR(Loans[[#This Row],[LoanStatus]]="Default",Loans[[#This Row],[LoanStatus]]="Watchlist",Loans[[#This Row],[CollateralRisk]]="Undersecured",Loans[[#This Row],[RiskCategory]]="High Risk"),"High Risk Exposure","Normal")</f>
        <v>High Risk Exposure</v>
      </c>
      <c r="T241" t="str" cm="1">
        <f t="array" ref="T241">_xlfn.IFS(
Loans[[#This Row],[LoanStatus]]="Default","Critical",
OR(Loans[[#This Row],[LoanStatus]]="Watchlist",Loans[[#This Row],[CollateralRisk]]="Undersecured",Loans[[#This Row],[RiskCategory]]="High Risk"),"High",
TRUE,"Normal"
)</f>
        <v>High</v>
      </c>
    </row>
    <row r="242" spans="1:20" x14ac:dyDescent="0.35">
      <c r="A242" t="s">
        <v>626</v>
      </c>
      <c r="B242" t="s">
        <v>627</v>
      </c>
      <c r="C242" t="s">
        <v>232</v>
      </c>
      <c r="D242" t="s">
        <v>155</v>
      </c>
      <c r="E242" s="34">
        <v>1000000</v>
      </c>
      <c r="F242" s="29">
        <v>0.23769999999999999</v>
      </c>
      <c r="G242" s="30">
        <v>44118</v>
      </c>
      <c r="H242">
        <v>72</v>
      </c>
      <c r="I242">
        <v>0</v>
      </c>
      <c r="J242" s="34">
        <v>0</v>
      </c>
      <c r="K242" t="s">
        <v>171</v>
      </c>
      <c r="L242" s="34">
        <f>PMT(Loans[[#This Row],[InterestRate]]/12,Loans[[#This Row],[LoanTenureMonths]],-Loans[[#This Row],[LoanAmount]])</f>
        <v>26187.383982003183</v>
      </c>
      <c r="M242" s="30">
        <f>EDATE(Loans[[#This Row],[LoanStartDate]],Loans[[#This Row],[LoanTenureMonths]])</f>
        <v>46309</v>
      </c>
      <c r="N242" s="33">
        <f>IF(Loans[[#This Row],[LoanAmount]]=0,0,Loans[[#This Row],[CollateralValue]]/Loans[[#This Row],[LoanAmount]])</f>
        <v>0</v>
      </c>
      <c r="O242" t="str">
        <f>IF(Loans[[#This Row],[CollateralCoverageRatio]]&lt;1,"Undersecured","Secured")</f>
        <v>Undersecured</v>
      </c>
      <c r="P242" t="str">
        <f>_xlfn.XLOOKUP(Loans[[#This Row],[BranchCode]],BranchesTbl[BranchCode],BranchesTbl[BranchName])</f>
        <v>Upper Hill</v>
      </c>
      <c r="Q242">
        <f>_xlfn.XLOOKUP(Loans[[#This Row],[CustomerID]],CustomerTbl[CustomerID],CustomerTbl[RiskScore])</f>
        <v>659</v>
      </c>
      <c r="R242" t="str">
        <f>IFERROR(INDEX(RiskTbl[Risk_Category],MATCH(Loans[[#This Row],[RiskScore]],RiskTbl[Score_Min],1)),"Unknown")</f>
        <v>Medium Risk</v>
      </c>
      <c r="S242" t="str">
        <f>IF(OR(Loans[[#This Row],[LoanStatus]]="Default",Loans[[#This Row],[LoanStatus]]="Watchlist",Loans[[#This Row],[CollateralRisk]]="Undersecured",Loans[[#This Row],[RiskCategory]]="High Risk"),"High Risk Exposure","Normal")</f>
        <v>High Risk Exposure</v>
      </c>
      <c r="T242" t="str" cm="1">
        <f t="array" ref="T242">_xlfn.IFS(
Loans[[#This Row],[LoanStatus]]="Default","Critical",
OR(Loans[[#This Row],[LoanStatus]]="Watchlist",Loans[[#This Row],[CollateralRisk]]="Undersecured",Loans[[#This Row],[RiskCategory]]="High Risk"),"High",
TRUE,"Normal"
)</f>
        <v>High</v>
      </c>
    </row>
    <row r="243" spans="1:20" x14ac:dyDescent="0.35">
      <c r="A243" t="s">
        <v>628</v>
      </c>
      <c r="B243" t="s">
        <v>629</v>
      </c>
      <c r="C243" t="s">
        <v>187</v>
      </c>
      <c r="D243" t="s">
        <v>155</v>
      </c>
      <c r="E243" s="34">
        <v>250000</v>
      </c>
      <c r="F243" s="29">
        <v>0.2717</v>
      </c>
      <c r="G243" s="30">
        <v>44909</v>
      </c>
      <c r="H243">
        <v>12</v>
      </c>
      <c r="I243">
        <v>45</v>
      </c>
      <c r="J243" s="34">
        <v>0</v>
      </c>
      <c r="K243" t="s">
        <v>199</v>
      </c>
      <c r="L243" s="34">
        <f>PMT(Loans[[#This Row],[InterestRate]]/12,Loans[[#This Row],[LoanTenureMonths]],-Loans[[#This Row],[LoanAmount]])</f>
        <v>24025.091991680249</v>
      </c>
      <c r="M243" s="30">
        <f>EDATE(Loans[[#This Row],[LoanStartDate]],Loans[[#This Row],[LoanTenureMonths]])</f>
        <v>45274</v>
      </c>
      <c r="N243" s="33">
        <f>IF(Loans[[#This Row],[LoanAmount]]=0,0,Loans[[#This Row],[CollateralValue]]/Loans[[#This Row],[LoanAmount]])</f>
        <v>0</v>
      </c>
      <c r="O243" t="str">
        <f>IF(Loans[[#This Row],[CollateralCoverageRatio]]&lt;1,"Undersecured","Secured")</f>
        <v>Undersecured</v>
      </c>
      <c r="P243" t="str">
        <f>_xlfn.XLOOKUP(Loans[[#This Row],[BranchCode]],BranchesTbl[BranchCode],BranchesTbl[BranchName])</f>
        <v>Eldoret</v>
      </c>
      <c r="Q243">
        <f>_xlfn.XLOOKUP(Loans[[#This Row],[CustomerID]],CustomerTbl[CustomerID],CustomerTbl[RiskScore])</f>
        <v>746</v>
      </c>
      <c r="R243" t="str">
        <f>IFERROR(INDEX(RiskTbl[Risk_Category],MATCH(Loans[[#This Row],[RiskScore]],RiskTbl[Score_Min],1)),"Unknown")</f>
        <v>Very Low Risk</v>
      </c>
      <c r="S243" t="str">
        <f>IF(OR(Loans[[#This Row],[LoanStatus]]="Default",Loans[[#This Row],[LoanStatus]]="Watchlist",Loans[[#This Row],[CollateralRisk]]="Undersecured",Loans[[#This Row],[RiskCategory]]="High Risk"),"High Risk Exposure","Normal")</f>
        <v>High Risk Exposure</v>
      </c>
      <c r="T243" t="str" cm="1">
        <f t="array" ref="T243">_xlfn.IFS(
Loans[[#This Row],[LoanStatus]]="Default","Critical",
OR(Loans[[#This Row],[LoanStatus]]="Watchlist",Loans[[#This Row],[CollateralRisk]]="Undersecured",Loans[[#This Row],[RiskCategory]]="High Risk"),"High",
TRUE,"Normal"
)</f>
        <v>High</v>
      </c>
    </row>
    <row r="244" spans="1:20" x14ac:dyDescent="0.35">
      <c r="A244" t="s">
        <v>630</v>
      </c>
      <c r="B244" t="s">
        <v>631</v>
      </c>
      <c r="C244" t="s">
        <v>270</v>
      </c>
      <c r="D244" t="s">
        <v>156</v>
      </c>
      <c r="E244" s="34">
        <v>3000000</v>
      </c>
      <c r="F244" s="29">
        <v>0.17</v>
      </c>
      <c r="G244" s="30">
        <v>45005</v>
      </c>
      <c r="H244">
        <v>72</v>
      </c>
      <c r="I244">
        <v>0</v>
      </c>
      <c r="J244" s="34">
        <v>3930000</v>
      </c>
      <c r="K244" t="s">
        <v>171</v>
      </c>
      <c r="L244" s="34">
        <f>PMT(Loans[[#This Row],[InterestRate]]/12,Loans[[#This Row],[LoanTenureMonths]],-Loans[[#This Row],[LoanAmount]])</f>
        <v>66738.393444274101</v>
      </c>
      <c r="M244" s="30">
        <f>EDATE(Loans[[#This Row],[LoanStartDate]],Loans[[#This Row],[LoanTenureMonths]])</f>
        <v>47197</v>
      </c>
      <c r="N244" s="33">
        <f>IF(Loans[[#This Row],[LoanAmount]]=0,0,Loans[[#This Row],[CollateralValue]]/Loans[[#This Row],[LoanAmount]])</f>
        <v>1.31</v>
      </c>
      <c r="O244" t="str">
        <f>IF(Loans[[#This Row],[CollateralCoverageRatio]]&lt;1,"Undersecured","Secured")</f>
        <v>Secured</v>
      </c>
      <c r="P244" t="str">
        <f>_xlfn.XLOOKUP(Loans[[#This Row],[BranchCode]],BranchesTbl[BranchCode],BranchesTbl[BranchName])</f>
        <v>Nakuru</v>
      </c>
      <c r="Q244">
        <f>_xlfn.XLOOKUP(Loans[[#This Row],[CustomerID]],CustomerTbl[CustomerID],CustomerTbl[RiskScore])</f>
        <v>830</v>
      </c>
      <c r="R244" t="str">
        <f>IFERROR(INDEX(RiskTbl[Risk_Category],MATCH(Loans[[#This Row],[RiskScore]],RiskTbl[Score_Min],1)),"Unknown")</f>
        <v>Prime</v>
      </c>
      <c r="S244" t="str">
        <f>IF(OR(Loans[[#This Row],[LoanStatus]]="Default",Loans[[#This Row],[LoanStatus]]="Watchlist",Loans[[#This Row],[CollateralRisk]]="Undersecured",Loans[[#This Row],[RiskCategory]]="High Risk"),"High Risk Exposure","Normal")</f>
        <v>Normal</v>
      </c>
      <c r="T244" t="str" cm="1">
        <f t="array" ref="T244">_xlfn.IFS(
Loans[[#This Row],[LoanStatus]]="Default","Critical",
OR(Loans[[#This Row],[LoanStatus]]="Watchlist",Loans[[#This Row],[CollateralRisk]]="Undersecured",Loans[[#This Row],[RiskCategory]]="High Risk"),"High",
TRUE,"Normal"
)</f>
        <v>Normal</v>
      </c>
    </row>
    <row r="245" spans="1:20" x14ac:dyDescent="0.35">
      <c r="A245" t="s">
        <v>632</v>
      </c>
      <c r="B245" t="s">
        <v>633</v>
      </c>
      <c r="C245" t="s">
        <v>170</v>
      </c>
      <c r="D245" t="s">
        <v>155</v>
      </c>
      <c r="E245" s="34">
        <v>1000000</v>
      </c>
      <c r="F245" s="29">
        <v>0.2016</v>
      </c>
      <c r="G245" s="30">
        <v>45879</v>
      </c>
      <c r="H245">
        <v>12</v>
      </c>
      <c r="I245">
        <v>5</v>
      </c>
      <c r="J245" s="34">
        <v>0</v>
      </c>
      <c r="K245" t="s">
        <v>171</v>
      </c>
      <c r="L245" s="34">
        <f>PMT(Loans[[#This Row],[InterestRate]]/12,Loans[[#This Row],[LoanTenureMonths]],-Loans[[#This Row],[LoanAmount]])</f>
        <v>92711.098750935271</v>
      </c>
      <c r="M245" s="30">
        <f>EDATE(Loans[[#This Row],[LoanStartDate]],Loans[[#This Row],[LoanTenureMonths]])</f>
        <v>46244</v>
      </c>
      <c r="N245" s="33">
        <f>IF(Loans[[#This Row],[LoanAmount]]=0,0,Loans[[#This Row],[CollateralValue]]/Loans[[#This Row],[LoanAmount]])</f>
        <v>0</v>
      </c>
      <c r="O245" t="str">
        <f>IF(Loans[[#This Row],[CollateralCoverageRatio]]&lt;1,"Undersecured","Secured")</f>
        <v>Undersecured</v>
      </c>
      <c r="P245" t="str">
        <f>_xlfn.XLOOKUP(Loans[[#This Row],[BranchCode]],BranchesTbl[BranchCode],BranchesTbl[BranchName])</f>
        <v>Thika</v>
      </c>
      <c r="Q245">
        <f>_xlfn.XLOOKUP(Loans[[#This Row],[CustomerID]],CustomerTbl[CustomerID],CustomerTbl[RiskScore])</f>
        <v>772</v>
      </c>
      <c r="R245" t="str">
        <f>IFERROR(INDEX(RiskTbl[Risk_Category],MATCH(Loans[[#This Row],[RiskScore]],RiskTbl[Score_Min],1)),"Unknown")</f>
        <v>Very Low Risk</v>
      </c>
      <c r="S245" t="str">
        <f>IF(OR(Loans[[#This Row],[LoanStatus]]="Default",Loans[[#This Row],[LoanStatus]]="Watchlist",Loans[[#This Row],[CollateralRisk]]="Undersecured",Loans[[#This Row],[RiskCategory]]="High Risk"),"High Risk Exposure","Normal")</f>
        <v>High Risk Exposure</v>
      </c>
      <c r="T245" t="str" cm="1">
        <f t="array" ref="T245">_xlfn.IFS(
Loans[[#This Row],[LoanStatus]]="Default","Critical",
OR(Loans[[#This Row],[LoanStatus]]="Watchlist",Loans[[#This Row],[CollateralRisk]]="Undersecured",Loans[[#This Row],[RiskCategory]]="High Risk"),"High",
TRUE,"Normal"
)</f>
        <v>High</v>
      </c>
    </row>
    <row r="246" spans="1:20" x14ac:dyDescent="0.35">
      <c r="A246" t="s">
        <v>634</v>
      </c>
      <c r="B246" t="s">
        <v>635</v>
      </c>
      <c r="C246" t="s">
        <v>206</v>
      </c>
      <c r="D246" t="s">
        <v>158</v>
      </c>
      <c r="E246" s="34">
        <v>1000000</v>
      </c>
      <c r="F246" s="29">
        <v>0.12920000000000001</v>
      </c>
      <c r="G246" s="30">
        <v>45940</v>
      </c>
      <c r="H246">
        <v>60</v>
      </c>
      <c r="I246">
        <v>0</v>
      </c>
      <c r="J246" s="34">
        <v>1360000</v>
      </c>
      <c r="K246" t="s">
        <v>171</v>
      </c>
      <c r="L246" s="34">
        <f>PMT(Loans[[#This Row],[InterestRate]]/12,Loans[[#This Row],[LoanTenureMonths]],-Loans[[#This Row],[LoanAmount]])</f>
        <v>22712.141228097396</v>
      </c>
      <c r="M246" s="30">
        <f>EDATE(Loans[[#This Row],[LoanStartDate]],Loans[[#This Row],[LoanTenureMonths]])</f>
        <v>47766</v>
      </c>
      <c r="N246" s="33">
        <f>IF(Loans[[#This Row],[LoanAmount]]=0,0,Loans[[#This Row],[CollateralValue]]/Loans[[#This Row],[LoanAmount]])</f>
        <v>1.36</v>
      </c>
      <c r="O246" t="str">
        <f>IF(Loans[[#This Row],[CollateralCoverageRatio]]&lt;1,"Undersecured","Secured")</f>
        <v>Secured</v>
      </c>
      <c r="P246" t="str">
        <f>_xlfn.XLOOKUP(Loans[[#This Row],[BranchCode]],BranchesTbl[BranchCode],BranchesTbl[BranchName])</f>
        <v>Nyahururu</v>
      </c>
      <c r="Q246">
        <f>_xlfn.XLOOKUP(Loans[[#This Row],[CustomerID]],CustomerTbl[CustomerID],CustomerTbl[RiskScore])</f>
        <v>333</v>
      </c>
      <c r="R246" t="str">
        <f>IFERROR(INDEX(RiskTbl[Risk_Category],MATCH(Loans[[#This Row],[RiskScore]],RiskTbl[Score_Min],1)),"Unknown")</f>
        <v>High Risk</v>
      </c>
      <c r="S246" t="str">
        <f>IF(OR(Loans[[#This Row],[LoanStatus]]="Default",Loans[[#This Row],[LoanStatus]]="Watchlist",Loans[[#This Row],[CollateralRisk]]="Undersecured",Loans[[#This Row],[RiskCategory]]="High Risk"),"High Risk Exposure","Normal")</f>
        <v>High Risk Exposure</v>
      </c>
      <c r="T246" t="str" cm="1">
        <f t="array" ref="T246">_xlfn.IFS(
Loans[[#This Row],[LoanStatus]]="Default","Critical",
OR(Loans[[#This Row],[LoanStatus]]="Watchlist",Loans[[#This Row],[CollateralRisk]]="Undersecured",Loans[[#This Row],[RiskCategory]]="High Risk"),"High",
TRUE,"Normal"
)</f>
        <v>High</v>
      </c>
    </row>
    <row r="247" spans="1:20" x14ac:dyDescent="0.35">
      <c r="A247" t="s">
        <v>636</v>
      </c>
      <c r="B247" t="s">
        <v>637</v>
      </c>
      <c r="C247" t="s">
        <v>270</v>
      </c>
      <c r="D247" t="s">
        <v>158</v>
      </c>
      <c r="E247" s="34">
        <v>6000000</v>
      </c>
      <c r="F247" s="29">
        <v>0.17829999999999999</v>
      </c>
      <c r="G247" s="30">
        <v>45631</v>
      </c>
      <c r="H247">
        <v>72</v>
      </c>
      <c r="I247">
        <v>10</v>
      </c>
      <c r="J247" s="34">
        <v>7740000</v>
      </c>
      <c r="K247" t="s">
        <v>171</v>
      </c>
      <c r="L247" s="34">
        <f>PMT(Loans[[#This Row],[InterestRate]]/12,Loans[[#This Row],[LoanTenureMonths]],-Loans[[#This Row],[LoanAmount]])</f>
        <v>136270.75881629254</v>
      </c>
      <c r="M247" s="30">
        <f>EDATE(Loans[[#This Row],[LoanStartDate]],Loans[[#This Row],[LoanTenureMonths]])</f>
        <v>47822</v>
      </c>
      <c r="N247" s="33">
        <f>IF(Loans[[#This Row],[LoanAmount]]=0,0,Loans[[#This Row],[CollateralValue]]/Loans[[#This Row],[LoanAmount]])</f>
        <v>1.29</v>
      </c>
      <c r="O247" t="str">
        <f>IF(Loans[[#This Row],[CollateralCoverageRatio]]&lt;1,"Undersecured","Secured")</f>
        <v>Secured</v>
      </c>
      <c r="P247" t="str">
        <f>_xlfn.XLOOKUP(Loans[[#This Row],[BranchCode]],BranchesTbl[BranchCode],BranchesTbl[BranchName])</f>
        <v>Nakuru</v>
      </c>
      <c r="Q247">
        <f>_xlfn.XLOOKUP(Loans[[#This Row],[CustomerID]],CustomerTbl[CustomerID],CustomerTbl[RiskScore])</f>
        <v>380</v>
      </c>
      <c r="R247" t="str">
        <f>IFERROR(INDEX(RiskTbl[Risk_Category],MATCH(Loans[[#This Row],[RiskScore]],RiskTbl[Score_Min],1)),"Unknown")</f>
        <v>High Risk</v>
      </c>
      <c r="S247" t="str">
        <f>IF(OR(Loans[[#This Row],[LoanStatus]]="Default",Loans[[#This Row],[LoanStatus]]="Watchlist",Loans[[#This Row],[CollateralRisk]]="Undersecured",Loans[[#This Row],[RiskCategory]]="High Risk"),"High Risk Exposure","Normal")</f>
        <v>High Risk Exposure</v>
      </c>
      <c r="T247" t="str" cm="1">
        <f t="array" ref="T247">_xlfn.IFS(
Loans[[#This Row],[LoanStatus]]="Default","Critical",
OR(Loans[[#This Row],[LoanStatus]]="Watchlist",Loans[[#This Row],[CollateralRisk]]="Undersecured",Loans[[#This Row],[RiskCategory]]="High Risk"),"High",
TRUE,"Normal"
)</f>
        <v>High</v>
      </c>
    </row>
    <row r="248" spans="1:20" x14ac:dyDescent="0.35">
      <c r="A248" t="s">
        <v>638</v>
      </c>
      <c r="B248" t="s">
        <v>639</v>
      </c>
      <c r="C248" t="s">
        <v>177</v>
      </c>
      <c r="D248" t="s">
        <v>157</v>
      </c>
      <c r="E248" s="34">
        <v>80000000</v>
      </c>
      <c r="F248" s="29">
        <v>0.13750000000000001</v>
      </c>
      <c r="G248" s="30">
        <v>44911</v>
      </c>
      <c r="H248">
        <v>72</v>
      </c>
      <c r="I248">
        <v>0</v>
      </c>
      <c r="J248" s="34">
        <v>118400000</v>
      </c>
      <c r="K248" t="s">
        <v>171</v>
      </c>
      <c r="L248" s="34">
        <f>PMT(Loans[[#This Row],[InterestRate]]/12,Loans[[#This Row],[LoanTenureMonths]],-Loans[[#This Row],[LoanAmount]])</f>
        <v>1637768.9141852707</v>
      </c>
      <c r="M248" s="30">
        <f>EDATE(Loans[[#This Row],[LoanStartDate]],Loans[[#This Row],[LoanTenureMonths]])</f>
        <v>47103</v>
      </c>
      <c r="N248" s="33">
        <f>IF(Loans[[#This Row],[LoanAmount]]=0,0,Loans[[#This Row],[CollateralValue]]/Loans[[#This Row],[LoanAmount]])</f>
        <v>1.48</v>
      </c>
      <c r="O248" t="str">
        <f>IF(Loans[[#This Row],[CollateralCoverageRatio]]&lt;1,"Undersecured","Secured")</f>
        <v>Secured</v>
      </c>
      <c r="P248" t="str">
        <f>_xlfn.XLOOKUP(Loans[[#This Row],[BranchCode]],BranchesTbl[BranchCode],BranchesTbl[BranchName])</f>
        <v>Naivasha</v>
      </c>
      <c r="Q248">
        <f>_xlfn.XLOOKUP(Loans[[#This Row],[CustomerID]],CustomerTbl[CustomerID],CustomerTbl[RiskScore])</f>
        <v>749</v>
      </c>
      <c r="R248" t="str">
        <f>IFERROR(INDEX(RiskTbl[Risk_Category],MATCH(Loans[[#This Row],[RiskScore]],RiskTbl[Score_Min],1)),"Unknown")</f>
        <v>Very Low Risk</v>
      </c>
      <c r="S248" t="str">
        <f>IF(OR(Loans[[#This Row],[LoanStatus]]="Default",Loans[[#This Row],[LoanStatus]]="Watchlist",Loans[[#This Row],[CollateralRisk]]="Undersecured",Loans[[#This Row],[RiskCategory]]="High Risk"),"High Risk Exposure","Normal")</f>
        <v>Normal</v>
      </c>
      <c r="T248" t="str" cm="1">
        <f t="array" ref="T248">_xlfn.IFS(
Loans[[#This Row],[LoanStatus]]="Default","Critical",
OR(Loans[[#This Row],[LoanStatus]]="Watchlist",Loans[[#This Row],[CollateralRisk]]="Undersecured",Loans[[#This Row],[RiskCategory]]="High Risk"),"High",
TRUE,"Normal"
)</f>
        <v>Normal</v>
      </c>
    </row>
    <row r="249" spans="1:20" x14ac:dyDescent="0.35">
      <c r="A249" t="s">
        <v>640</v>
      </c>
      <c r="B249" t="s">
        <v>641</v>
      </c>
      <c r="C249" t="s">
        <v>232</v>
      </c>
      <c r="D249" t="s">
        <v>157</v>
      </c>
      <c r="E249" s="34">
        <v>6000000</v>
      </c>
      <c r="F249" s="29">
        <v>0.13439999999999999</v>
      </c>
      <c r="G249" s="30">
        <v>44318</v>
      </c>
      <c r="H249">
        <v>72</v>
      </c>
      <c r="I249">
        <v>0</v>
      </c>
      <c r="J249" s="34">
        <v>5160000</v>
      </c>
      <c r="K249" t="s">
        <v>171</v>
      </c>
      <c r="L249" s="34">
        <f>PMT(Loans[[#This Row],[InterestRate]]/12,Loans[[#This Row],[LoanTenureMonths]],-Loans[[#This Row],[LoanAmount]])</f>
        <v>121842.46644306948</v>
      </c>
      <c r="M249" s="30">
        <f>EDATE(Loans[[#This Row],[LoanStartDate]],Loans[[#This Row],[LoanTenureMonths]])</f>
        <v>46509</v>
      </c>
      <c r="N249" s="33">
        <f>IF(Loans[[#This Row],[LoanAmount]]=0,0,Loans[[#This Row],[CollateralValue]]/Loans[[#This Row],[LoanAmount]])</f>
        <v>0.86</v>
      </c>
      <c r="O249" t="str">
        <f>IF(Loans[[#This Row],[CollateralCoverageRatio]]&lt;1,"Undersecured","Secured")</f>
        <v>Undersecured</v>
      </c>
      <c r="P249" t="str">
        <f>_xlfn.XLOOKUP(Loans[[#This Row],[BranchCode]],BranchesTbl[BranchCode],BranchesTbl[BranchName])</f>
        <v>Upper Hill</v>
      </c>
      <c r="Q249">
        <f>_xlfn.XLOOKUP(Loans[[#This Row],[CustomerID]],CustomerTbl[CustomerID],CustomerTbl[RiskScore])</f>
        <v>598</v>
      </c>
      <c r="R249" t="str">
        <f>IFERROR(INDEX(RiskTbl[Risk_Category],MATCH(Loans[[#This Row],[RiskScore]],RiskTbl[Score_Min],1)),"Unknown")</f>
        <v>Medium Risk</v>
      </c>
      <c r="S249" t="str">
        <f>IF(OR(Loans[[#This Row],[LoanStatus]]="Default",Loans[[#This Row],[LoanStatus]]="Watchlist",Loans[[#This Row],[CollateralRisk]]="Undersecured",Loans[[#This Row],[RiskCategory]]="High Risk"),"High Risk Exposure","Normal")</f>
        <v>High Risk Exposure</v>
      </c>
      <c r="T249" t="str" cm="1">
        <f t="array" ref="T249">_xlfn.IFS(
Loans[[#This Row],[LoanStatus]]="Default","Critical",
OR(Loans[[#This Row],[LoanStatus]]="Watchlist",Loans[[#This Row],[CollateralRisk]]="Undersecured",Loans[[#This Row],[RiskCategory]]="High Risk"),"High",
TRUE,"Normal"
)</f>
        <v>High</v>
      </c>
    </row>
    <row r="250" spans="1:20" x14ac:dyDescent="0.35">
      <c r="A250" t="s">
        <v>642</v>
      </c>
      <c r="B250" t="s">
        <v>643</v>
      </c>
      <c r="C250" t="s">
        <v>270</v>
      </c>
      <c r="D250" t="s">
        <v>155</v>
      </c>
      <c r="E250" s="34">
        <v>100000</v>
      </c>
      <c r="F250" s="29">
        <v>0.25340000000000001</v>
      </c>
      <c r="G250" s="30">
        <v>44631</v>
      </c>
      <c r="H250">
        <v>72</v>
      </c>
      <c r="I250">
        <v>45</v>
      </c>
      <c r="J250" s="34">
        <v>0</v>
      </c>
      <c r="K250" t="s">
        <v>199</v>
      </c>
      <c r="L250" s="34">
        <f>PMT(Loans[[#This Row],[InterestRate]]/12,Loans[[#This Row],[LoanTenureMonths]],-Loans[[#This Row],[LoanAmount]])</f>
        <v>2714.6183545537565</v>
      </c>
      <c r="M250" s="30">
        <f>EDATE(Loans[[#This Row],[LoanStartDate]],Loans[[#This Row],[LoanTenureMonths]])</f>
        <v>46823</v>
      </c>
      <c r="N250" s="33">
        <f>IF(Loans[[#This Row],[LoanAmount]]=0,0,Loans[[#This Row],[CollateralValue]]/Loans[[#This Row],[LoanAmount]])</f>
        <v>0</v>
      </c>
      <c r="O250" t="str">
        <f>IF(Loans[[#This Row],[CollateralCoverageRatio]]&lt;1,"Undersecured","Secured")</f>
        <v>Undersecured</v>
      </c>
      <c r="P250" t="str">
        <f>_xlfn.XLOOKUP(Loans[[#This Row],[BranchCode]],BranchesTbl[BranchCode],BranchesTbl[BranchName])</f>
        <v>Nakuru</v>
      </c>
      <c r="Q250">
        <f>_xlfn.XLOOKUP(Loans[[#This Row],[CustomerID]],CustomerTbl[CustomerID],CustomerTbl[RiskScore])</f>
        <v>568</v>
      </c>
      <c r="R250" t="str">
        <f>IFERROR(INDEX(RiskTbl[Risk_Category],MATCH(Loans[[#This Row],[RiskScore]],RiskTbl[Score_Min],1)),"Unknown")</f>
        <v>High Risk</v>
      </c>
      <c r="S250" t="str">
        <f>IF(OR(Loans[[#This Row],[LoanStatus]]="Default",Loans[[#This Row],[LoanStatus]]="Watchlist",Loans[[#This Row],[CollateralRisk]]="Undersecured",Loans[[#This Row],[RiskCategory]]="High Risk"),"High Risk Exposure","Normal")</f>
        <v>High Risk Exposure</v>
      </c>
      <c r="T250" t="str" cm="1">
        <f t="array" ref="T250">_xlfn.IFS(
Loans[[#This Row],[LoanStatus]]="Default","Critical",
OR(Loans[[#This Row],[LoanStatus]]="Watchlist",Loans[[#This Row],[CollateralRisk]]="Undersecured",Loans[[#This Row],[RiskCategory]]="High Risk"),"High",
TRUE,"Normal"
)</f>
        <v>High</v>
      </c>
    </row>
    <row r="251" spans="1:20" x14ac:dyDescent="0.35">
      <c r="A251" t="s">
        <v>644</v>
      </c>
      <c r="B251" t="s">
        <v>645</v>
      </c>
      <c r="C251" t="s">
        <v>270</v>
      </c>
      <c r="D251" t="s">
        <v>157</v>
      </c>
      <c r="E251" s="34">
        <v>25000000</v>
      </c>
      <c r="F251" s="29">
        <v>0.13370000000000001</v>
      </c>
      <c r="G251" s="30">
        <v>44187</v>
      </c>
      <c r="H251">
        <v>72</v>
      </c>
      <c r="I251">
        <v>10</v>
      </c>
      <c r="J251" s="34">
        <v>25750000</v>
      </c>
      <c r="K251" t="s">
        <v>171</v>
      </c>
      <c r="L251" s="34">
        <f>PMT(Loans[[#This Row],[InterestRate]]/12,Loans[[#This Row],[LoanTenureMonths]],-Loans[[#This Row],[LoanAmount]])</f>
        <v>506747.85526868328</v>
      </c>
      <c r="M251" s="30">
        <f>EDATE(Loans[[#This Row],[LoanStartDate]],Loans[[#This Row],[LoanTenureMonths]])</f>
        <v>46378</v>
      </c>
      <c r="N251" s="33">
        <f>IF(Loans[[#This Row],[LoanAmount]]=0,0,Loans[[#This Row],[CollateralValue]]/Loans[[#This Row],[LoanAmount]])</f>
        <v>1.03</v>
      </c>
      <c r="O251" t="str">
        <f>IF(Loans[[#This Row],[CollateralCoverageRatio]]&lt;1,"Undersecured","Secured")</f>
        <v>Secured</v>
      </c>
      <c r="P251" t="str">
        <f>_xlfn.XLOOKUP(Loans[[#This Row],[BranchCode]],BranchesTbl[BranchCode],BranchesTbl[BranchName])</f>
        <v>Nakuru</v>
      </c>
      <c r="Q251">
        <f>_xlfn.XLOOKUP(Loans[[#This Row],[CustomerID]],CustomerTbl[CustomerID],CustomerTbl[RiskScore])</f>
        <v>723</v>
      </c>
      <c r="R251" t="str">
        <f>IFERROR(INDEX(RiskTbl[Risk_Category],MATCH(Loans[[#This Row],[RiskScore]],RiskTbl[Score_Min],1)),"Unknown")</f>
        <v>Low Risk</v>
      </c>
      <c r="S251" t="str">
        <f>IF(OR(Loans[[#This Row],[LoanStatus]]="Default",Loans[[#This Row],[LoanStatus]]="Watchlist",Loans[[#This Row],[CollateralRisk]]="Undersecured",Loans[[#This Row],[RiskCategory]]="High Risk"),"High Risk Exposure","Normal")</f>
        <v>Normal</v>
      </c>
      <c r="T251" t="str" cm="1">
        <f t="array" ref="T251">_xlfn.IFS(
Loans[[#This Row],[LoanStatus]]="Default","Critical",
OR(Loans[[#This Row],[LoanStatus]]="Watchlist",Loans[[#This Row],[CollateralRisk]]="Undersecured",Loans[[#This Row],[RiskCategory]]="High Risk"),"High",
TRUE,"Normal"
)</f>
        <v>Normal</v>
      </c>
    </row>
    <row r="252" spans="1:20" x14ac:dyDescent="0.35">
      <c r="A252" t="s">
        <v>646</v>
      </c>
      <c r="B252" t="s">
        <v>647</v>
      </c>
      <c r="C252" t="s">
        <v>181</v>
      </c>
      <c r="D252" t="s">
        <v>158</v>
      </c>
      <c r="E252" s="34">
        <v>3000000</v>
      </c>
      <c r="F252" s="29">
        <v>0.1686</v>
      </c>
      <c r="G252" s="30">
        <v>44336</v>
      </c>
      <c r="H252">
        <v>36</v>
      </c>
      <c r="I252">
        <v>20</v>
      </c>
      <c r="J252" s="34">
        <v>3690000</v>
      </c>
      <c r="K252" t="s">
        <v>171</v>
      </c>
      <c r="L252" s="34">
        <f>PMT(Loans[[#This Row],[InterestRate]]/12,Loans[[#This Row],[LoanTenureMonths]],-Loans[[#This Row],[LoanAmount]])</f>
        <v>106749.27212924552</v>
      </c>
      <c r="M252" s="30">
        <f>EDATE(Loans[[#This Row],[LoanStartDate]],Loans[[#This Row],[LoanTenureMonths]])</f>
        <v>45432</v>
      </c>
      <c r="N252" s="33">
        <f>IF(Loans[[#This Row],[LoanAmount]]=0,0,Loans[[#This Row],[CollateralValue]]/Loans[[#This Row],[LoanAmount]])</f>
        <v>1.23</v>
      </c>
      <c r="O252" t="str">
        <f>IF(Loans[[#This Row],[CollateralCoverageRatio]]&lt;1,"Undersecured","Secured")</f>
        <v>Secured</v>
      </c>
      <c r="P252" t="str">
        <f>_xlfn.XLOOKUP(Loans[[#This Row],[BranchCode]],BranchesTbl[BranchCode],BranchesTbl[BranchName])</f>
        <v>Kitale</v>
      </c>
      <c r="Q252">
        <f>_xlfn.XLOOKUP(Loans[[#This Row],[CustomerID]],CustomerTbl[CustomerID],CustomerTbl[RiskScore])</f>
        <v>599</v>
      </c>
      <c r="R252" t="str">
        <f>IFERROR(INDEX(RiskTbl[Risk_Category],MATCH(Loans[[#This Row],[RiskScore]],RiskTbl[Score_Min],1)),"Unknown")</f>
        <v>Medium Risk</v>
      </c>
      <c r="S252" t="str">
        <f>IF(OR(Loans[[#This Row],[LoanStatus]]="Default",Loans[[#This Row],[LoanStatus]]="Watchlist",Loans[[#This Row],[CollateralRisk]]="Undersecured",Loans[[#This Row],[RiskCategory]]="High Risk"),"High Risk Exposure","Normal")</f>
        <v>Normal</v>
      </c>
      <c r="T252" t="str" cm="1">
        <f t="array" ref="T252">_xlfn.IFS(
Loans[[#This Row],[LoanStatus]]="Default","Critical",
OR(Loans[[#This Row],[LoanStatus]]="Watchlist",Loans[[#This Row],[CollateralRisk]]="Undersecured",Loans[[#This Row],[RiskCategory]]="High Risk"),"High",
TRUE,"Normal"
)</f>
        <v>Normal</v>
      </c>
    </row>
    <row r="253" spans="1:20" x14ac:dyDescent="0.35">
      <c r="A253" t="s">
        <v>648</v>
      </c>
      <c r="B253" t="s">
        <v>649</v>
      </c>
      <c r="C253" t="s">
        <v>184</v>
      </c>
      <c r="D253" t="s">
        <v>158</v>
      </c>
      <c r="E253" s="34">
        <v>500000</v>
      </c>
      <c r="F253" s="29">
        <v>0.18690000000000001</v>
      </c>
      <c r="G253" s="30">
        <v>44111</v>
      </c>
      <c r="H253">
        <v>24</v>
      </c>
      <c r="I253">
        <v>0</v>
      </c>
      <c r="J253" s="34">
        <v>465000</v>
      </c>
      <c r="K253" t="s">
        <v>171</v>
      </c>
      <c r="L253" s="34">
        <f>PMT(Loans[[#This Row],[InterestRate]]/12,Loans[[#This Row],[LoanTenureMonths]],-Loans[[#This Row],[LoanAmount]])</f>
        <v>25129.065782987782</v>
      </c>
      <c r="M253" s="30">
        <f>EDATE(Loans[[#This Row],[LoanStartDate]],Loans[[#This Row],[LoanTenureMonths]])</f>
        <v>44841</v>
      </c>
      <c r="N253" s="33">
        <f>IF(Loans[[#This Row],[LoanAmount]]=0,0,Loans[[#This Row],[CollateralValue]]/Loans[[#This Row],[LoanAmount]])</f>
        <v>0.93</v>
      </c>
      <c r="O253" t="str">
        <f>IF(Loans[[#This Row],[CollateralCoverageRatio]]&lt;1,"Undersecured","Secured")</f>
        <v>Undersecured</v>
      </c>
      <c r="P253" t="str">
        <f>_xlfn.XLOOKUP(Loans[[#This Row],[BranchCode]],BranchesTbl[BranchCode],BranchesTbl[BranchName])</f>
        <v>Kisumu</v>
      </c>
      <c r="Q253">
        <f>_xlfn.XLOOKUP(Loans[[#This Row],[CustomerID]],CustomerTbl[CustomerID],CustomerTbl[RiskScore])</f>
        <v>474</v>
      </c>
      <c r="R253" t="str">
        <f>IFERROR(INDEX(RiskTbl[Risk_Category],MATCH(Loans[[#This Row],[RiskScore]],RiskTbl[Score_Min],1)),"Unknown")</f>
        <v>High Risk</v>
      </c>
      <c r="S253" t="str">
        <f>IF(OR(Loans[[#This Row],[LoanStatus]]="Default",Loans[[#This Row],[LoanStatus]]="Watchlist",Loans[[#This Row],[CollateralRisk]]="Undersecured",Loans[[#This Row],[RiskCategory]]="High Risk"),"High Risk Exposure","Normal")</f>
        <v>High Risk Exposure</v>
      </c>
      <c r="T253" t="str" cm="1">
        <f t="array" ref="T253">_xlfn.IFS(
Loans[[#This Row],[LoanStatus]]="Default","Critical",
OR(Loans[[#This Row],[LoanStatus]]="Watchlist",Loans[[#This Row],[CollateralRisk]]="Undersecured",Loans[[#This Row],[RiskCategory]]="High Risk"),"High",
TRUE,"Normal"
)</f>
        <v>High</v>
      </c>
    </row>
    <row r="254" spans="1:20" x14ac:dyDescent="0.35">
      <c r="A254" t="s">
        <v>650</v>
      </c>
      <c r="B254" t="s">
        <v>651</v>
      </c>
      <c r="C254" t="s">
        <v>190</v>
      </c>
      <c r="D254" t="s">
        <v>157</v>
      </c>
      <c r="E254" s="34">
        <v>25000000</v>
      </c>
      <c r="F254" s="29">
        <v>0.1168</v>
      </c>
      <c r="G254" s="30">
        <v>44818</v>
      </c>
      <c r="H254">
        <v>60</v>
      </c>
      <c r="I254">
        <v>10</v>
      </c>
      <c r="J254" s="34">
        <v>37000000</v>
      </c>
      <c r="K254" t="s">
        <v>171</v>
      </c>
      <c r="L254" s="34">
        <f>PMT(Loans[[#This Row],[InterestRate]]/12,Loans[[#This Row],[LoanTenureMonths]],-Loans[[#This Row],[LoanAmount]])</f>
        <v>552076.98530810198</v>
      </c>
      <c r="M254" s="30">
        <f>EDATE(Loans[[#This Row],[LoanStartDate]],Loans[[#This Row],[LoanTenureMonths]])</f>
        <v>46644</v>
      </c>
      <c r="N254" s="33">
        <f>IF(Loans[[#This Row],[LoanAmount]]=0,0,Loans[[#This Row],[CollateralValue]]/Loans[[#This Row],[LoanAmount]])</f>
        <v>1.48</v>
      </c>
      <c r="O254" t="str">
        <f>IF(Loans[[#This Row],[CollateralCoverageRatio]]&lt;1,"Undersecured","Secured")</f>
        <v>Secured</v>
      </c>
      <c r="P254" t="str">
        <f>_xlfn.XLOOKUP(Loans[[#This Row],[BranchCode]],BranchesTbl[BranchCode],BranchesTbl[BranchName])</f>
        <v>Nyeri</v>
      </c>
      <c r="Q254">
        <f>_xlfn.XLOOKUP(Loans[[#This Row],[CustomerID]],CustomerTbl[CustomerID],CustomerTbl[RiskScore])</f>
        <v>539</v>
      </c>
      <c r="R254" t="str">
        <f>IFERROR(INDEX(RiskTbl[Risk_Category],MATCH(Loans[[#This Row],[RiskScore]],RiskTbl[Score_Min],1)),"Unknown")</f>
        <v>High Risk</v>
      </c>
      <c r="S254" t="str">
        <f>IF(OR(Loans[[#This Row],[LoanStatus]]="Default",Loans[[#This Row],[LoanStatus]]="Watchlist",Loans[[#This Row],[CollateralRisk]]="Undersecured",Loans[[#This Row],[RiskCategory]]="High Risk"),"High Risk Exposure","Normal")</f>
        <v>High Risk Exposure</v>
      </c>
      <c r="T254" t="str" cm="1">
        <f t="array" ref="T254">_xlfn.IFS(
Loans[[#This Row],[LoanStatus]]="Default","Critical",
OR(Loans[[#This Row],[LoanStatus]]="Watchlist",Loans[[#This Row],[CollateralRisk]]="Undersecured",Loans[[#This Row],[RiskCategory]]="High Risk"),"High",
TRUE,"Normal"
)</f>
        <v>High</v>
      </c>
    </row>
    <row r="255" spans="1:20" x14ac:dyDescent="0.35">
      <c r="A255" t="s">
        <v>652</v>
      </c>
      <c r="B255" t="s">
        <v>335</v>
      </c>
      <c r="C255" t="s">
        <v>184</v>
      </c>
      <c r="D255" t="s">
        <v>156</v>
      </c>
      <c r="E255" s="34">
        <v>6000000</v>
      </c>
      <c r="F255" s="29">
        <v>0.1454</v>
      </c>
      <c r="G255" s="30">
        <v>44005</v>
      </c>
      <c r="H255">
        <v>24</v>
      </c>
      <c r="I255">
        <v>90</v>
      </c>
      <c r="J255" s="34">
        <v>8340000</v>
      </c>
      <c r="K255" t="s">
        <v>199</v>
      </c>
      <c r="L255" s="34">
        <f>PMT(Loans[[#This Row],[InterestRate]]/12,Loans[[#This Row],[LoanTenureMonths]],-Loans[[#This Row],[LoanAmount]])</f>
        <v>289610.28482286475</v>
      </c>
      <c r="M255" s="30">
        <f>EDATE(Loans[[#This Row],[LoanStartDate]],Loans[[#This Row],[LoanTenureMonths]])</f>
        <v>44735</v>
      </c>
      <c r="N255" s="33">
        <f>IF(Loans[[#This Row],[LoanAmount]]=0,0,Loans[[#This Row],[CollateralValue]]/Loans[[#This Row],[LoanAmount]])</f>
        <v>1.39</v>
      </c>
      <c r="O255" t="str">
        <f>IF(Loans[[#This Row],[CollateralCoverageRatio]]&lt;1,"Undersecured","Secured")</f>
        <v>Secured</v>
      </c>
      <c r="P255" t="str">
        <f>_xlfn.XLOOKUP(Loans[[#This Row],[BranchCode]],BranchesTbl[BranchCode],BranchesTbl[BranchName])</f>
        <v>Kisumu</v>
      </c>
      <c r="Q255">
        <f>_xlfn.XLOOKUP(Loans[[#This Row],[CustomerID]],CustomerTbl[CustomerID],CustomerTbl[RiskScore])</f>
        <v>656</v>
      </c>
      <c r="R255" t="str">
        <f>IFERROR(INDEX(RiskTbl[Risk_Category],MATCH(Loans[[#This Row],[RiskScore]],RiskTbl[Score_Min],1)),"Unknown")</f>
        <v>Medium Risk</v>
      </c>
      <c r="S255" t="str">
        <f>IF(OR(Loans[[#This Row],[LoanStatus]]="Default",Loans[[#This Row],[LoanStatus]]="Watchlist",Loans[[#This Row],[CollateralRisk]]="Undersecured",Loans[[#This Row],[RiskCategory]]="High Risk"),"High Risk Exposure","Normal")</f>
        <v>High Risk Exposure</v>
      </c>
      <c r="T255" t="str" cm="1">
        <f t="array" ref="T255">_xlfn.IFS(
Loans[[#This Row],[LoanStatus]]="Default","Critical",
OR(Loans[[#This Row],[LoanStatus]]="Watchlist",Loans[[#This Row],[CollateralRisk]]="Undersecured",Loans[[#This Row],[RiskCategory]]="High Risk"),"High",
TRUE,"Normal"
)</f>
        <v>High</v>
      </c>
    </row>
    <row r="256" spans="1:20" x14ac:dyDescent="0.35">
      <c r="A256" t="s">
        <v>653</v>
      </c>
      <c r="B256" t="s">
        <v>654</v>
      </c>
      <c r="C256" t="s">
        <v>170</v>
      </c>
      <c r="D256" t="s">
        <v>156</v>
      </c>
      <c r="E256" s="34">
        <v>3000000</v>
      </c>
      <c r="F256" s="29">
        <v>0.222</v>
      </c>
      <c r="G256" s="30">
        <v>44891</v>
      </c>
      <c r="H256">
        <v>48</v>
      </c>
      <c r="I256">
        <v>0</v>
      </c>
      <c r="J256" s="34">
        <v>1920000</v>
      </c>
      <c r="K256" t="s">
        <v>171</v>
      </c>
      <c r="L256" s="34">
        <f>PMT(Loans[[#This Row],[InterestRate]]/12,Loans[[#This Row],[LoanTenureMonths]],-Loans[[#This Row],[LoanAmount]])</f>
        <v>94844.270976119675</v>
      </c>
      <c r="M256" s="30">
        <f>EDATE(Loans[[#This Row],[LoanStartDate]],Loans[[#This Row],[LoanTenureMonths]])</f>
        <v>46352</v>
      </c>
      <c r="N256" s="33">
        <f>IF(Loans[[#This Row],[LoanAmount]]=0,0,Loans[[#This Row],[CollateralValue]]/Loans[[#This Row],[LoanAmount]])</f>
        <v>0.64</v>
      </c>
      <c r="O256" t="str">
        <f>IF(Loans[[#This Row],[CollateralCoverageRatio]]&lt;1,"Undersecured","Secured")</f>
        <v>Undersecured</v>
      </c>
      <c r="P256" t="str">
        <f>_xlfn.XLOOKUP(Loans[[#This Row],[BranchCode]],BranchesTbl[BranchCode],BranchesTbl[BranchName])</f>
        <v>Thika</v>
      </c>
      <c r="Q256">
        <f>_xlfn.XLOOKUP(Loans[[#This Row],[CustomerID]],CustomerTbl[CustomerID],CustomerTbl[RiskScore])</f>
        <v>482</v>
      </c>
      <c r="R256" t="str">
        <f>IFERROR(INDEX(RiskTbl[Risk_Category],MATCH(Loans[[#This Row],[RiskScore]],RiskTbl[Score_Min],1)),"Unknown")</f>
        <v>High Risk</v>
      </c>
      <c r="S256" t="str">
        <f>IF(OR(Loans[[#This Row],[LoanStatus]]="Default",Loans[[#This Row],[LoanStatus]]="Watchlist",Loans[[#This Row],[CollateralRisk]]="Undersecured",Loans[[#This Row],[RiskCategory]]="High Risk"),"High Risk Exposure","Normal")</f>
        <v>High Risk Exposure</v>
      </c>
      <c r="T256" t="str" cm="1">
        <f t="array" ref="T256">_xlfn.IFS(
Loans[[#This Row],[LoanStatus]]="Default","Critical",
OR(Loans[[#This Row],[LoanStatus]]="Watchlist",Loans[[#This Row],[CollateralRisk]]="Undersecured",Loans[[#This Row],[RiskCategory]]="High Risk"),"High",
TRUE,"Normal"
)</f>
        <v>High</v>
      </c>
    </row>
    <row r="257" spans="1:20" x14ac:dyDescent="0.35">
      <c r="A257" t="s">
        <v>655</v>
      </c>
      <c r="B257" t="s">
        <v>519</v>
      </c>
      <c r="C257" t="s">
        <v>190</v>
      </c>
      <c r="D257" t="s">
        <v>155</v>
      </c>
      <c r="E257" s="34">
        <v>250000</v>
      </c>
      <c r="F257" s="29">
        <v>0.16919999999999999</v>
      </c>
      <c r="G257" s="30">
        <v>46004</v>
      </c>
      <c r="H257">
        <v>36</v>
      </c>
      <c r="I257">
        <v>5</v>
      </c>
      <c r="J257" s="34">
        <v>0</v>
      </c>
      <c r="K257" t="s">
        <v>171</v>
      </c>
      <c r="L257" s="34">
        <f>PMT(Loans[[#This Row],[InterestRate]]/12,Loans[[#This Row],[LoanTenureMonths]],-Loans[[#This Row],[LoanAmount]])</f>
        <v>8903.2313800955617</v>
      </c>
      <c r="M257" s="30">
        <f>EDATE(Loans[[#This Row],[LoanStartDate]],Loans[[#This Row],[LoanTenureMonths]])</f>
        <v>47100</v>
      </c>
      <c r="N257" s="33">
        <f>IF(Loans[[#This Row],[LoanAmount]]=0,0,Loans[[#This Row],[CollateralValue]]/Loans[[#This Row],[LoanAmount]])</f>
        <v>0</v>
      </c>
      <c r="O257" t="str">
        <f>IF(Loans[[#This Row],[CollateralCoverageRatio]]&lt;1,"Undersecured","Secured")</f>
        <v>Undersecured</v>
      </c>
      <c r="P257" t="str">
        <f>_xlfn.XLOOKUP(Loans[[#This Row],[BranchCode]],BranchesTbl[BranchCode],BranchesTbl[BranchName])</f>
        <v>Nyeri</v>
      </c>
      <c r="Q257">
        <f>_xlfn.XLOOKUP(Loans[[#This Row],[CustomerID]],CustomerTbl[CustomerID],CustomerTbl[RiskScore])</f>
        <v>336</v>
      </c>
      <c r="R257" t="str">
        <f>IFERROR(INDEX(RiskTbl[Risk_Category],MATCH(Loans[[#This Row],[RiskScore]],RiskTbl[Score_Min],1)),"Unknown")</f>
        <v>High Risk</v>
      </c>
      <c r="S257" t="str">
        <f>IF(OR(Loans[[#This Row],[LoanStatus]]="Default",Loans[[#This Row],[LoanStatus]]="Watchlist",Loans[[#This Row],[CollateralRisk]]="Undersecured",Loans[[#This Row],[RiskCategory]]="High Risk"),"High Risk Exposure","Normal")</f>
        <v>High Risk Exposure</v>
      </c>
      <c r="T257" t="str" cm="1">
        <f t="array" ref="T257">_xlfn.IFS(
Loans[[#This Row],[LoanStatus]]="Default","Critical",
OR(Loans[[#This Row],[LoanStatus]]="Watchlist",Loans[[#This Row],[CollateralRisk]]="Undersecured",Loans[[#This Row],[RiskCategory]]="High Risk"),"High",
TRUE,"Normal"
)</f>
        <v>High</v>
      </c>
    </row>
    <row r="258" spans="1:20" x14ac:dyDescent="0.35">
      <c r="A258" t="s">
        <v>656</v>
      </c>
      <c r="B258" t="s">
        <v>657</v>
      </c>
      <c r="C258" t="s">
        <v>184</v>
      </c>
      <c r="D258" t="s">
        <v>155</v>
      </c>
      <c r="E258" s="34">
        <v>1000000</v>
      </c>
      <c r="F258" s="29">
        <v>0.2208</v>
      </c>
      <c r="G258" s="30">
        <v>44023</v>
      </c>
      <c r="H258">
        <v>72</v>
      </c>
      <c r="I258">
        <v>0</v>
      </c>
      <c r="J258" s="34">
        <v>0</v>
      </c>
      <c r="K258" t="s">
        <v>171</v>
      </c>
      <c r="L258" s="34">
        <f>PMT(Loans[[#This Row],[InterestRate]]/12,Loans[[#This Row],[LoanTenureMonths]],-Loans[[#This Row],[LoanAmount]])</f>
        <v>25173.635291264913</v>
      </c>
      <c r="M258" s="30">
        <f>EDATE(Loans[[#This Row],[LoanStartDate]],Loans[[#This Row],[LoanTenureMonths]])</f>
        <v>46214</v>
      </c>
      <c r="N258" s="33">
        <f>IF(Loans[[#This Row],[LoanAmount]]=0,0,Loans[[#This Row],[CollateralValue]]/Loans[[#This Row],[LoanAmount]])</f>
        <v>0</v>
      </c>
      <c r="O258" t="str">
        <f>IF(Loans[[#This Row],[CollateralCoverageRatio]]&lt;1,"Undersecured","Secured")</f>
        <v>Undersecured</v>
      </c>
      <c r="P258" t="str">
        <f>_xlfn.XLOOKUP(Loans[[#This Row],[BranchCode]],BranchesTbl[BranchCode],BranchesTbl[BranchName])</f>
        <v>Kisumu</v>
      </c>
      <c r="Q258">
        <f>_xlfn.XLOOKUP(Loans[[#This Row],[CustomerID]],CustomerTbl[CustomerID],CustomerTbl[RiskScore])</f>
        <v>359</v>
      </c>
      <c r="R258" t="str">
        <f>IFERROR(INDEX(RiskTbl[Risk_Category],MATCH(Loans[[#This Row],[RiskScore]],RiskTbl[Score_Min],1)),"Unknown")</f>
        <v>High Risk</v>
      </c>
      <c r="S258" t="str">
        <f>IF(OR(Loans[[#This Row],[LoanStatus]]="Default",Loans[[#This Row],[LoanStatus]]="Watchlist",Loans[[#This Row],[CollateralRisk]]="Undersecured",Loans[[#This Row],[RiskCategory]]="High Risk"),"High Risk Exposure","Normal")</f>
        <v>High Risk Exposure</v>
      </c>
      <c r="T258" t="str" cm="1">
        <f t="array" ref="T258">_xlfn.IFS(
Loans[[#This Row],[LoanStatus]]="Default","Critical",
OR(Loans[[#This Row],[LoanStatus]]="Watchlist",Loans[[#This Row],[CollateralRisk]]="Undersecured",Loans[[#This Row],[RiskCategory]]="High Risk"),"High",
TRUE,"Normal"
)</f>
        <v>High</v>
      </c>
    </row>
    <row r="259" spans="1:20" x14ac:dyDescent="0.35">
      <c r="A259" t="s">
        <v>658</v>
      </c>
      <c r="B259" t="s">
        <v>659</v>
      </c>
      <c r="C259" t="s">
        <v>170</v>
      </c>
      <c r="D259" t="s">
        <v>157</v>
      </c>
      <c r="E259" s="34">
        <v>80000000</v>
      </c>
      <c r="F259" s="29">
        <v>9.8400000000000001E-2</v>
      </c>
      <c r="G259" s="30">
        <v>45052</v>
      </c>
      <c r="H259">
        <v>24</v>
      </c>
      <c r="I259">
        <v>0</v>
      </c>
      <c r="J259" s="34">
        <v>56800000</v>
      </c>
      <c r="K259" t="s">
        <v>171</v>
      </c>
      <c r="L259" s="34">
        <f>PMT(Loans[[#This Row],[InterestRate]]/12,Loans[[#This Row],[LoanTenureMonths]],-Loans[[#This Row],[LoanAmount]])</f>
        <v>3685689.0749106146</v>
      </c>
      <c r="M259" s="30">
        <f>EDATE(Loans[[#This Row],[LoanStartDate]],Loans[[#This Row],[LoanTenureMonths]])</f>
        <v>45783</v>
      </c>
      <c r="N259" s="33">
        <f>IF(Loans[[#This Row],[LoanAmount]]=0,0,Loans[[#This Row],[CollateralValue]]/Loans[[#This Row],[LoanAmount]])</f>
        <v>0.71</v>
      </c>
      <c r="O259" t="str">
        <f>IF(Loans[[#This Row],[CollateralCoverageRatio]]&lt;1,"Undersecured","Secured")</f>
        <v>Undersecured</v>
      </c>
      <c r="P259" t="str">
        <f>_xlfn.XLOOKUP(Loans[[#This Row],[BranchCode]],BranchesTbl[BranchCode],BranchesTbl[BranchName])</f>
        <v>Thika</v>
      </c>
      <c r="Q259">
        <f>_xlfn.XLOOKUP(Loans[[#This Row],[CustomerID]],CustomerTbl[CustomerID],CustomerTbl[RiskScore])</f>
        <v>320</v>
      </c>
      <c r="R259" t="str">
        <f>IFERROR(INDEX(RiskTbl[Risk_Category],MATCH(Loans[[#This Row],[RiskScore]],RiskTbl[Score_Min],1)),"Unknown")</f>
        <v>High Risk</v>
      </c>
      <c r="S259" t="str">
        <f>IF(OR(Loans[[#This Row],[LoanStatus]]="Default",Loans[[#This Row],[LoanStatus]]="Watchlist",Loans[[#This Row],[CollateralRisk]]="Undersecured",Loans[[#This Row],[RiskCategory]]="High Risk"),"High Risk Exposure","Normal")</f>
        <v>High Risk Exposure</v>
      </c>
      <c r="T259" t="str" cm="1">
        <f t="array" ref="T259">_xlfn.IFS(
Loans[[#This Row],[LoanStatus]]="Default","Critical",
OR(Loans[[#This Row],[LoanStatus]]="Watchlist",Loans[[#This Row],[CollateralRisk]]="Undersecured",Loans[[#This Row],[RiskCategory]]="High Risk"),"High",
TRUE,"Normal"
)</f>
        <v>High</v>
      </c>
    </row>
    <row r="260" spans="1:20" x14ac:dyDescent="0.35">
      <c r="A260" t="s">
        <v>660</v>
      </c>
      <c r="B260" t="s">
        <v>661</v>
      </c>
      <c r="C260" t="s">
        <v>270</v>
      </c>
      <c r="D260" t="s">
        <v>157</v>
      </c>
      <c r="E260" s="34">
        <v>6000000</v>
      </c>
      <c r="F260" s="29">
        <v>0.1227</v>
      </c>
      <c r="G260" s="30">
        <v>45338</v>
      </c>
      <c r="H260">
        <v>48</v>
      </c>
      <c r="I260">
        <v>0</v>
      </c>
      <c r="J260" s="34">
        <v>3420000</v>
      </c>
      <c r="K260" t="s">
        <v>171</v>
      </c>
      <c r="L260" s="34">
        <f>PMT(Loans[[#This Row],[InterestRate]]/12,Loans[[#This Row],[LoanTenureMonths]],-Loans[[#This Row],[LoanAmount]])</f>
        <v>158799.58720281225</v>
      </c>
      <c r="M260" s="30">
        <f>EDATE(Loans[[#This Row],[LoanStartDate]],Loans[[#This Row],[LoanTenureMonths]])</f>
        <v>46799</v>
      </c>
      <c r="N260" s="33">
        <f>IF(Loans[[#This Row],[LoanAmount]]=0,0,Loans[[#This Row],[CollateralValue]]/Loans[[#This Row],[LoanAmount]])</f>
        <v>0.56999999999999995</v>
      </c>
      <c r="O260" t="str">
        <f>IF(Loans[[#This Row],[CollateralCoverageRatio]]&lt;1,"Undersecured","Secured")</f>
        <v>Undersecured</v>
      </c>
      <c r="P260" t="str">
        <f>_xlfn.XLOOKUP(Loans[[#This Row],[BranchCode]],BranchesTbl[BranchCode],BranchesTbl[BranchName])</f>
        <v>Nakuru</v>
      </c>
      <c r="Q260">
        <f>_xlfn.XLOOKUP(Loans[[#This Row],[CustomerID]],CustomerTbl[CustomerID],CustomerTbl[RiskScore])</f>
        <v>732</v>
      </c>
      <c r="R260" t="str">
        <f>IFERROR(INDEX(RiskTbl[Risk_Category],MATCH(Loans[[#This Row],[RiskScore]],RiskTbl[Score_Min],1)),"Unknown")</f>
        <v>Low Risk</v>
      </c>
      <c r="S260" t="str">
        <f>IF(OR(Loans[[#This Row],[LoanStatus]]="Default",Loans[[#This Row],[LoanStatus]]="Watchlist",Loans[[#This Row],[CollateralRisk]]="Undersecured",Loans[[#This Row],[RiskCategory]]="High Risk"),"High Risk Exposure","Normal")</f>
        <v>High Risk Exposure</v>
      </c>
      <c r="T260" t="str" cm="1">
        <f t="array" ref="T260">_xlfn.IFS(
Loans[[#This Row],[LoanStatus]]="Default","Critical",
OR(Loans[[#This Row],[LoanStatus]]="Watchlist",Loans[[#This Row],[CollateralRisk]]="Undersecured",Loans[[#This Row],[RiskCategory]]="High Risk"),"High",
TRUE,"Normal"
)</f>
        <v>High</v>
      </c>
    </row>
    <row r="261" spans="1:20" x14ac:dyDescent="0.35">
      <c r="A261" t="s">
        <v>662</v>
      </c>
      <c r="B261" t="s">
        <v>663</v>
      </c>
      <c r="C261" t="s">
        <v>239</v>
      </c>
      <c r="D261" t="s">
        <v>158</v>
      </c>
      <c r="E261" s="34">
        <v>3000000</v>
      </c>
      <c r="F261" s="29">
        <v>0.19059999999999999</v>
      </c>
      <c r="G261" s="30">
        <v>44521</v>
      </c>
      <c r="H261">
        <v>72</v>
      </c>
      <c r="I261">
        <v>0</v>
      </c>
      <c r="J261" s="34">
        <v>2100000</v>
      </c>
      <c r="K261" t="s">
        <v>171</v>
      </c>
      <c r="L261" s="34">
        <f>PMT(Loans[[#This Row],[InterestRate]]/12,Loans[[#This Row],[LoanTenureMonths]],-Loans[[#This Row],[LoanAmount]])</f>
        <v>70233.263866422451</v>
      </c>
      <c r="M261" s="30">
        <f>EDATE(Loans[[#This Row],[LoanStartDate]],Loans[[#This Row],[LoanTenureMonths]])</f>
        <v>46712</v>
      </c>
      <c r="N261" s="33">
        <f>IF(Loans[[#This Row],[LoanAmount]]=0,0,Loans[[#This Row],[CollateralValue]]/Loans[[#This Row],[LoanAmount]])</f>
        <v>0.7</v>
      </c>
      <c r="O261" t="str">
        <f>IF(Loans[[#This Row],[CollateralCoverageRatio]]&lt;1,"Undersecured","Secured")</f>
        <v>Undersecured</v>
      </c>
      <c r="P261" t="str">
        <f>_xlfn.XLOOKUP(Loans[[#This Row],[BranchCode]],BranchesTbl[BranchCode],BranchesTbl[BranchName])</f>
        <v>Machakos</v>
      </c>
      <c r="Q261">
        <f>_xlfn.XLOOKUP(Loans[[#This Row],[CustomerID]],CustomerTbl[CustomerID],CustomerTbl[RiskScore])</f>
        <v>823</v>
      </c>
      <c r="R261" t="str">
        <f>IFERROR(INDEX(RiskTbl[Risk_Category],MATCH(Loans[[#This Row],[RiskScore]],RiskTbl[Score_Min],1)),"Unknown")</f>
        <v>Prime</v>
      </c>
      <c r="S261" t="str">
        <f>IF(OR(Loans[[#This Row],[LoanStatus]]="Default",Loans[[#This Row],[LoanStatus]]="Watchlist",Loans[[#This Row],[CollateralRisk]]="Undersecured",Loans[[#This Row],[RiskCategory]]="High Risk"),"High Risk Exposure","Normal")</f>
        <v>High Risk Exposure</v>
      </c>
      <c r="T261" t="str" cm="1">
        <f t="array" ref="T261">_xlfn.IFS(
Loans[[#This Row],[LoanStatus]]="Default","Critical",
OR(Loans[[#This Row],[LoanStatus]]="Watchlist",Loans[[#This Row],[CollateralRisk]]="Undersecured",Loans[[#This Row],[RiskCategory]]="High Risk"),"High",
TRUE,"Normal"
)</f>
        <v>High</v>
      </c>
    </row>
    <row r="262" spans="1:20" x14ac:dyDescent="0.35">
      <c r="A262" t="s">
        <v>664</v>
      </c>
      <c r="B262" t="s">
        <v>665</v>
      </c>
      <c r="C262" t="s">
        <v>219</v>
      </c>
      <c r="D262" t="s">
        <v>155</v>
      </c>
      <c r="E262" s="34">
        <v>100000</v>
      </c>
      <c r="F262" s="29">
        <v>0.2452</v>
      </c>
      <c r="G262" s="30">
        <v>45369</v>
      </c>
      <c r="H262">
        <v>36</v>
      </c>
      <c r="I262">
        <v>0</v>
      </c>
      <c r="J262" s="34">
        <v>0</v>
      </c>
      <c r="K262" t="s">
        <v>171</v>
      </c>
      <c r="L262" s="34">
        <f>PMT(Loans[[#This Row],[InterestRate]]/12,Loans[[#This Row],[LoanTenureMonths]],-Loans[[#This Row],[LoanAmount]])</f>
        <v>3950.640051218882</v>
      </c>
      <c r="M262" s="30">
        <f>EDATE(Loans[[#This Row],[LoanStartDate]],Loans[[#This Row],[LoanTenureMonths]])</f>
        <v>46464</v>
      </c>
      <c r="N262" s="33">
        <f>IF(Loans[[#This Row],[LoanAmount]]=0,0,Loans[[#This Row],[CollateralValue]]/Loans[[#This Row],[LoanAmount]])</f>
        <v>0</v>
      </c>
      <c r="O262" t="str">
        <f>IF(Loans[[#This Row],[CollateralCoverageRatio]]&lt;1,"Undersecured","Secured")</f>
        <v>Undersecured</v>
      </c>
      <c r="P262" t="str">
        <f>_xlfn.XLOOKUP(Loans[[#This Row],[BranchCode]],BranchesTbl[BranchCode],BranchesTbl[BranchName])</f>
        <v>Meru</v>
      </c>
      <c r="Q262">
        <f>_xlfn.XLOOKUP(Loans[[#This Row],[CustomerID]],CustomerTbl[CustomerID],CustomerTbl[RiskScore])</f>
        <v>376</v>
      </c>
      <c r="R262" t="str">
        <f>IFERROR(INDEX(RiskTbl[Risk_Category],MATCH(Loans[[#This Row],[RiskScore]],RiskTbl[Score_Min],1)),"Unknown")</f>
        <v>High Risk</v>
      </c>
      <c r="S262" t="str">
        <f>IF(OR(Loans[[#This Row],[LoanStatus]]="Default",Loans[[#This Row],[LoanStatus]]="Watchlist",Loans[[#This Row],[CollateralRisk]]="Undersecured",Loans[[#This Row],[RiskCategory]]="High Risk"),"High Risk Exposure","Normal")</f>
        <v>High Risk Exposure</v>
      </c>
      <c r="T262" t="str" cm="1">
        <f t="array" ref="T262">_xlfn.IFS(
Loans[[#This Row],[LoanStatus]]="Default","Critical",
OR(Loans[[#This Row],[LoanStatus]]="Watchlist",Loans[[#This Row],[CollateralRisk]]="Undersecured",Loans[[#This Row],[RiskCategory]]="High Risk"),"High",
TRUE,"Normal"
)</f>
        <v>High</v>
      </c>
    </row>
    <row r="263" spans="1:20" x14ac:dyDescent="0.35">
      <c r="A263" t="s">
        <v>666</v>
      </c>
      <c r="B263" t="s">
        <v>667</v>
      </c>
      <c r="C263" t="s">
        <v>206</v>
      </c>
      <c r="D263" t="s">
        <v>158</v>
      </c>
      <c r="E263" s="34">
        <v>1000000</v>
      </c>
      <c r="F263" s="29">
        <v>0.1249</v>
      </c>
      <c r="G263" s="30">
        <v>45202</v>
      </c>
      <c r="H263">
        <v>48</v>
      </c>
      <c r="I263">
        <v>20</v>
      </c>
      <c r="J263" s="34">
        <v>1280000</v>
      </c>
      <c r="K263" t="s">
        <v>171</v>
      </c>
      <c r="L263" s="34">
        <f>PMT(Loans[[#This Row],[InterestRate]]/12,Loans[[#This Row],[LoanTenureMonths]],-Loans[[#This Row],[LoanAmount]])</f>
        <v>26575.06254240674</v>
      </c>
      <c r="M263" s="30">
        <f>EDATE(Loans[[#This Row],[LoanStartDate]],Loans[[#This Row],[LoanTenureMonths]])</f>
        <v>46663</v>
      </c>
      <c r="N263" s="33">
        <f>IF(Loans[[#This Row],[LoanAmount]]=0,0,Loans[[#This Row],[CollateralValue]]/Loans[[#This Row],[LoanAmount]])</f>
        <v>1.28</v>
      </c>
      <c r="O263" t="str">
        <f>IF(Loans[[#This Row],[CollateralCoverageRatio]]&lt;1,"Undersecured","Secured")</f>
        <v>Secured</v>
      </c>
      <c r="P263" t="str">
        <f>_xlfn.XLOOKUP(Loans[[#This Row],[BranchCode]],BranchesTbl[BranchCode],BranchesTbl[BranchName])</f>
        <v>Nyahururu</v>
      </c>
      <c r="Q263">
        <f>_xlfn.XLOOKUP(Loans[[#This Row],[CustomerID]],CustomerTbl[CustomerID],CustomerTbl[RiskScore])</f>
        <v>690</v>
      </c>
      <c r="R263" t="str">
        <f>IFERROR(INDEX(RiskTbl[Risk_Category],MATCH(Loans[[#This Row],[RiskScore]],RiskTbl[Score_Min],1)),"Unknown")</f>
        <v>Low Risk</v>
      </c>
      <c r="S263" t="str">
        <f>IF(OR(Loans[[#This Row],[LoanStatus]]="Default",Loans[[#This Row],[LoanStatus]]="Watchlist",Loans[[#This Row],[CollateralRisk]]="Undersecured",Loans[[#This Row],[RiskCategory]]="High Risk"),"High Risk Exposure","Normal")</f>
        <v>Normal</v>
      </c>
      <c r="T263" t="str" cm="1">
        <f t="array" ref="T263">_xlfn.IFS(
Loans[[#This Row],[LoanStatus]]="Default","Critical",
OR(Loans[[#This Row],[LoanStatus]]="Watchlist",Loans[[#This Row],[CollateralRisk]]="Undersecured",Loans[[#This Row],[RiskCategory]]="High Risk"),"High",
TRUE,"Normal"
)</f>
        <v>Normal</v>
      </c>
    </row>
    <row r="264" spans="1:20" x14ac:dyDescent="0.35">
      <c r="A264" t="s">
        <v>668</v>
      </c>
      <c r="B264" t="s">
        <v>600</v>
      </c>
      <c r="C264" t="s">
        <v>174</v>
      </c>
      <c r="D264" t="s">
        <v>156</v>
      </c>
      <c r="E264" s="34">
        <v>25000000</v>
      </c>
      <c r="F264" s="29">
        <v>0.18840000000000001</v>
      </c>
      <c r="G264" s="30">
        <v>45903</v>
      </c>
      <c r="H264">
        <v>72</v>
      </c>
      <c r="I264">
        <v>20</v>
      </c>
      <c r="J264" s="34">
        <v>34750000</v>
      </c>
      <c r="K264" t="s">
        <v>171</v>
      </c>
      <c r="L264" s="34">
        <f>PMT(Loans[[#This Row],[InterestRate]]/12,Loans[[#This Row],[LoanTenureMonths]],-Loans[[#This Row],[LoanAmount]])</f>
        <v>582130.23286537128</v>
      </c>
      <c r="M264" s="30">
        <f>EDATE(Loans[[#This Row],[LoanStartDate]],Loans[[#This Row],[LoanTenureMonths]])</f>
        <v>48094</v>
      </c>
      <c r="N264" s="33">
        <f>IF(Loans[[#This Row],[LoanAmount]]=0,0,Loans[[#This Row],[CollateralValue]]/Loans[[#This Row],[LoanAmount]])</f>
        <v>1.39</v>
      </c>
      <c r="O264" t="str">
        <f>IF(Loans[[#This Row],[CollateralCoverageRatio]]&lt;1,"Undersecured","Secured")</f>
        <v>Secured</v>
      </c>
      <c r="P264" t="str">
        <f>_xlfn.XLOOKUP(Loans[[#This Row],[BranchCode]],BranchesTbl[BranchCode],BranchesTbl[BranchName])</f>
        <v>Westlands</v>
      </c>
      <c r="Q264">
        <f>_xlfn.XLOOKUP(Loans[[#This Row],[CustomerID]],CustomerTbl[CustomerID],CustomerTbl[RiskScore])</f>
        <v>503</v>
      </c>
      <c r="R264" t="str">
        <f>IFERROR(INDEX(RiskTbl[Risk_Category],MATCH(Loans[[#This Row],[RiskScore]],RiskTbl[Score_Min],1)),"Unknown")</f>
        <v>High Risk</v>
      </c>
      <c r="S264" t="str">
        <f>IF(OR(Loans[[#This Row],[LoanStatus]]="Default",Loans[[#This Row],[LoanStatus]]="Watchlist",Loans[[#This Row],[CollateralRisk]]="Undersecured",Loans[[#This Row],[RiskCategory]]="High Risk"),"High Risk Exposure","Normal")</f>
        <v>High Risk Exposure</v>
      </c>
      <c r="T264" t="str" cm="1">
        <f t="array" ref="T264">_xlfn.IFS(
Loans[[#This Row],[LoanStatus]]="Default","Critical",
OR(Loans[[#This Row],[LoanStatus]]="Watchlist",Loans[[#This Row],[CollateralRisk]]="Undersecured",Loans[[#This Row],[RiskCategory]]="High Risk"),"High",
TRUE,"Normal"
)</f>
        <v>High</v>
      </c>
    </row>
    <row r="265" spans="1:20" x14ac:dyDescent="0.35">
      <c r="A265" t="s">
        <v>669</v>
      </c>
      <c r="B265" t="s">
        <v>670</v>
      </c>
      <c r="C265" t="s">
        <v>196</v>
      </c>
      <c r="D265" t="s">
        <v>157</v>
      </c>
      <c r="E265" s="34">
        <v>6000000</v>
      </c>
      <c r="F265" s="29">
        <v>0.12479999999999999</v>
      </c>
      <c r="G265" s="30">
        <v>45890</v>
      </c>
      <c r="H265">
        <v>48</v>
      </c>
      <c r="I265">
        <v>90</v>
      </c>
      <c r="J265" s="34">
        <v>7740000</v>
      </c>
      <c r="K265" t="s">
        <v>199</v>
      </c>
      <c r="L265" s="34">
        <f>PMT(Loans[[#This Row],[InterestRate]]/12,Loans[[#This Row],[LoanTenureMonths]],-Loans[[#This Row],[LoanAmount]])</f>
        <v>159420.76035893845</v>
      </c>
      <c r="M265" s="30">
        <f>EDATE(Loans[[#This Row],[LoanStartDate]],Loans[[#This Row],[LoanTenureMonths]])</f>
        <v>47351</v>
      </c>
      <c r="N265" s="33">
        <f>IF(Loans[[#This Row],[LoanAmount]]=0,0,Loans[[#This Row],[CollateralValue]]/Loans[[#This Row],[LoanAmount]])</f>
        <v>1.29</v>
      </c>
      <c r="O265" t="str">
        <f>IF(Loans[[#This Row],[CollateralCoverageRatio]]&lt;1,"Undersecured","Secured")</f>
        <v>Secured</v>
      </c>
      <c r="P265" t="str">
        <f>_xlfn.XLOOKUP(Loans[[#This Row],[BranchCode]],BranchesTbl[BranchCode],BranchesTbl[BranchName])</f>
        <v>Karen</v>
      </c>
      <c r="Q265">
        <f>_xlfn.XLOOKUP(Loans[[#This Row],[CustomerID]],CustomerTbl[CustomerID],CustomerTbl[RiskScore])</f>
        <v>595</v>
      </c>
      <c r="R265" t="str">
        <f>IFERROR(INDEX(RiskTbl[Risk_Category],MATCH(Loans[[#This Row],[RiskScore]],RiskTbl[Score_Min],1)),"Unknown")</f>
        <v>Medium Risk</v>
      </c>
      <c r="S265" t="str">
        <f>IF(OR(Loans[[#This Row],[LoanStatus]]="Default",Loans[[#This Row],[LoanStatus]]="Watchlist",Loans[[#This Row],[CollateralRisk]]="Undersecured",Loans[[#This Row],[RiskCategory]]="High Risk"),"High Risk Exposure","Normal")</f>
        <v>High Risk Exposure</v>
      </c>
      <c r="T265" t="str" cm="1">
        <f t="array" ref="T265">_xlfn.IFS(
Loans[[#This Row],[LoanStatus]]="Default","Critical",
OR(Loans[[#This Row],[LoanStatus]]="Watchlist",Loans[[#This Row],[CollateralRisk]]="Undersecured",Loans[[#This Row],[RiskCategory]]="High Risk"),"High",
TRUE,"Normal"
)</f>
        <v>High</v>
      </c>
    </row>
    <row r="266" spans="1:20" x14ac:dyDescent="0.35">
      <c r="A266" t="s">
        <v>671</v>
      </c>
      <c r="B266" t="s">
        <v>517</v>
      </c>
      <c r="C266" t="s">
        <v>184</v>
      </c>
      <c r="D266" t="s">
        <v>157</v>
      </c>
      <c r="E266" s="34">
        <v>25000000</v>
      </c>
      <c r="F266" s="29">
        <v>0.10290000000000001</v>
      </c>
      <c r="G266" s="30">
        <v>45778</v>
      </c>
      <c r="H266">
        <v>12</v>
      </c>
      <c r="I266">
        <v>90</v>
      </c>
      <c r="J266" s="34">
        <v>37250000</v>
      </c>
      <c r="K266" t="s">
        <v>199</v>
      </c>
      <c r="L266" s="34">
        <f>PMT(Loans[[#This Row],[InterestRate]]/12,Loans[[#This Row],[LoanTenureMonths]],-Loans[[#This Row],[LoanAmount]])</f>
        <v>2201270.5223399037</v>
      </c>
      <c r="M266" s="30">
        <f>EDATE(Loans[[#This Row],[LoanStartDate]],Loans[[#This Row],[LoanTenureMonths]])</f>
        <v>46143</v>
      </c>
      <c r="N266" s="33">
        <f>IF(Loans[[#This Row],[LoanAmount]]=0,0,Loans[[#This Row],[CollateralValue]]/Loans[[#This Row],[LoanAmount]])</f>
        <v>1.49</v>
      </c>
      <c r="O266" t="str">
        <f>IF(Loans[[#This Row],[CollateralCoverageRatio]]&lt;1,"Undersecured","Secured")</f>
        <v>Secured</v>
      </c>
      <c r="P266" t="str">
        <f>_xlfn.XLOOKUP(Loans[[#This Row],[BranchCode]],BranchesTbl[BranchCode],BranchesTbl[BranchName])</f>
        <v>Kisumu</v>
      </c>
      <c r="Q266">
        <f>_xlfn.XLOOKUP(Loans[[#This Row],[CustomerID]],CustomerTbl[CustomerID],CustomerTbl[RiskScore])</f>
        <v>474</v>
      </c>
      <c r="R266" t="str">
        <f>IFERROR(INDEX(RiskTbl[Risk_Category],MATCH(Loans[[#This Row],[RiskScore]],RiskTbl[Score_Min],1)),"Unknown")</f>
        <v>High Risk</v>
      </c>
      <c r="S266" t="str">
        <f>IF(OR(Loans[[#This Row],[LoanStatus]]="Default",Loans[[#This Row],[LoanStatus]]="Watchlist",Loans[[#This Row],[CollateralRisk]]="Undersecured",Loans[[#This Row],[RiskCategory]]="High Risk"),"High Risk Exposure","Normal")</f>
        <v>High Risk Exposure</v>
      </c>
      <c r="T266" t="str" cm="1">
        <f t="array" ref="T266">_xlfn.IFS(
Loans[[#This Row],[LoanStatus]]="Default","Critical",
OR(Loans[[#This Row],[LoanStatus]]="Watchlist",Loans[[#This Row],[CollateralRisk]]="Undersecured",Loans[[#This Row],[RiskCategory]]="High Risk"),"High",
TRUE,"Normal"
)</f>
        <v>High</v>
      </c>
    </row>
    <row r="267" spans="1:20" x14ac:dyDescent="0.35">
      <c r="A267" t="s">
        <v>672</v>
      </c>
      <c r="B267" t="s">
        <v>290</v>
      </c>
      <c r="C267" t="s">
        <v>170</v>
      </c>
      <c r="D267" t="s">
        <v>156</v>
      </c>
      <c r="E267" s="34">
        <v>1000000</v>
      </c>
      <c r="F267" s="29">
        <v>0.2374</v>
      </c>
      <c r="G267" s="30">
        <v>45789</v>
      </c>
      <c r="H267">
        <v>48</v>
      </c>
      <c r="I267">
        <v>10</v>
      </c>
      <c r="J267" s="34">
        <v>1160000</v>
      </c>
      <c r="K267" t="s">
        <v>171</v>
      </c>
      <c r="L267" s="34">
        <f>PMT(Loans[[#This Row],[InterestRate]]/12,Loans[[#This Row],[LoanTenureMonths]],-Loans[[#This Row],[LoanAmount]])</f>
        <v>32458.265067994809</v>
      </c>
      <c r="M267" s="30">
        <f>EDATE(Loans[[#This Row],[LoanStartDate]],Loans[[#This Row],[LoanTenureMonths]])</f>
        <v>47250</v>
      </c>
      <c r="N267" s="33">
        <f>IF(Loans[[#This Row],[LoanAmount]]=0,0,Loans[[#This Row],[CollateralValue]]/Loans[[#This Row],[LoanAmount]])</f>
        <v>1.1599999999999999</v>
      </c>
      <c r="O267" t="str">
        <f>IF(Loans[[#This Row],[CollateralCoverageRatio]]&lt;1,"Undersecured","Secured")</f>
        <v>Secured</v>
      </c>
      <c r="P267" t="str">
        <f>_xlfn.XLOOKUP(Loans[[#This Row],[BranchCode]],BranchesTbl[BranchCode],BranchesTbl[BranchName])</f>
        <v>Thika</v>
      </c>
      <c r="Q267">
        <f>_xlfn.XLOOKUP(Loans[[#This Row],[CustomerID]],CustomerTbl[CustomerID],CustomerTbl[RiskScore])</f>
        <v>572</v>
      </c>
      <c r="R267" t="str">
        <f>IFERROR(INDEX(RiskTbl[Risk_Category],MATCH(Loans[[#This Row],[RiskScore]],RiskTbl[Score_Min],1)),"Unknown")</f>
        <v>High Risk</v>
      </c>
      <c r="S267" t="str">
        <f>IF(OR(Loans[[#This Row],[LoanStatus]]="Default",Loans[[#This Row],[LoanStatus]]="Watchlist",Loans[[#This Row],[CollateralRisk]]="Undersecured",Loans[[#This Row],[RiskCategory]]="High Risk"),"High Risk Exposure","Normal")</f>
        <v>High Risk Exposure</v>
      </c>
      <c r="T267" t="str" cm="1">
        <f t="array" ref="T267">_xlfn.IFS(
Loans[[#This Row],[LoanStatus]]="Default","Critical",
OR(Loans[[#This Row],[LoanStatus]]="Watchlist",Loans[[#This Row],[CollateralRisk]]="Undersecured",Loans[[#This Row],[RiskCategory]]="High Risk"),"High",
TRUE,"Normal"
)</f>
        <v>High</v>
      </c>
    </row>
    <row r="268" spans="1:20" x14ac:dyDescent="0.35">
      <c r="A268" t="s">
        <v>673</v>
      </c>
      <c r="B268" t="s">
        <v>335</v>
      </c>
      <c r="C268" t="s">
        <v>196</v>
      </c>
      <c r="D268" t="s">
        <v>155</v>
      </c>
      <c r="E268" s="34">
        <v>100000</v>
      </c>
      <c r="F268" s="29">
        <v>0.26019999999999999</v>
      </c>
      <c r="G268" s="30">
        <v>44237</v>
      </c>
      <c r="H268">
        <v>24</v>
      </c>
      <c r="I268">
        <v>0</v>
      </c>
      <c r="J268" s="34">
        <v>0</v>
      </c>
      <c r="K268" t="s">
        <v>171</v>
      </c>
      <c r="L268" s="34">
        <f>PMT(Loans[[#This Row],[InterestRate]]/12,Loans[[#This Row],[LoanTenureMonths]],-Loans[[#This Row],[LoanAmount]])</f>
        <v>5388.4654602344835</v>
      </c>
      <c r="M268" s="30">
        <f>EDATE(Loans[[#This Row],[LoanStartDate]],Loans[[#This Row],[LoanTenureMonths]])</f>
        <v>44967</v>
      </c>
      <c r="N268" s="33">
        <f>IF(Loans[[#This Row],[LoanAmount]]=0,0,Loans[[#This Row],[CollateralValue]]/Loans[[#This Row],[LoanAmount]])</f>
        <v>0</v>
      </c>
      <c r="O268" t="str">
        <f>IF(Loans[[#This Row],[CollateralCoverageRatio]]&lt;1,"Undersecured","Secured")</f>
        <v>Undersecured</v>
      </c>
      <c r="P268" t="str">
        <f>_xlfn.XLOOKUP(Loans[[#This Row],[BranchCode]],BranchesTbl[BranchCode],BranchesTbl[BranchName])</f>
        <v>Karen</v>
      </c>
      <c r="Q268">
        <f>_xlfn.XLOOKUP(Loans[[#This Row],[CustomerID]],CustomerTbl[CustomerID],CustomerTbl[RiskScore])</f>
        <v>656</v>
      </c>
      <c r="R268" t="str">
        <f>IFERROR(INDEX(RiskTbl[Risk_Category],MATCH(Loans[[#This Row],[RiskScore]],RiskTbl[Score_Min],1)),"Unknown")</f>
        <v>Medium Risk</v>
      </c>
      <c r="S268" t="str">
        <f>IF(OR(Loans[[#This Row],[LoanStatus]]="Default",Loans[[#This Row],[LoanStatus]]="Watchlist",Loans[[#This Row],[CollateralRisk]]="Undersecured",Loans[[#This Row],[RiskCategory]]="High Risk"),"High Risk Exposure","Normal")</f>
        <v>High Risk Exposure</v>
      </c>
      <c r="T268" t="str" cm="1">
        <f t="array" ref="T268">_xlfn.IFS(
Loans[[#This Row],[LoanStatus]]="Default","Critical",
OR(Loans[[#This Row],[LoanStatus]]="Watchlist",Loans[[#This Row],[CollateralRisk]]="Undersecured",Loans[[#This Row],[RiskCategory]]="High Risk"),"High",
TRUE,"Normal"
)</f>
        <v>High</v>
      </c>
    </row>
    <row r="269" spans="1:20" x14ac:dyDescent="0.35">
      <c r="A269" t="s">
        <v>674</v>
      </c>
      <c r="B269" t="s">
        <v>567</v>
      </c>
      <c r="C269" t="s">
        <v>196</v>
      </c>
      <c r="D269" t="s">
        <v>155</v>
      </c>
      <c r="E269" s="34">
        <v>250000</v>
      </c>
      <c r="F269" s="29">
        <v>0.19570000000000001</v>
      </c>
      <c r="G269" s="30">
        <v>44054</v>
      </c>
      <c r="H269">
        <v>24</v>
      </c>
      <c r="I269">
        <v>0</v>
      </c>
      <c r="J269" s="34">
        <v>0</v>
      </c>
      <c r="K269" t="s">
        <v>171</v>
      </c>
      <c r="L269" s="34">
        <f>PMT(Loans[[#This Row],[InterestRate]]/12,Loans[[#This Row],[LoanTenureMonths]],-Loans[[#This Row],[LoanAmount]])</f>
        <v>12671.49653422202</v>
      </c>
      <c r="M269" s="30">
        <f>EDATE(Loans[[#This Row],[LoanStartDate]],Loans[[#This Row],[LoanTenureMonths]])</f>
        <v>44784</v>
      </c>
      <c r="N269" s="33">
        <f>IF(Loans[[#This Row],[LoanAmount]]=0,0,Loans[[#This Row],[CollateralValue]]/Loans[[#This Row],[LoanAmount]])</f>
        <v>0</v>
      </c>
      <c r="O269" t="str">
        <f>IF(Loans[[#This Row],[CollateralCoverageRatio]]&lt;1,"Undersecured","Secured")</f>
        <v>Undersecured</v>
      </c>
      <c r="P269" t="str">
        <f>_xlfn.XLOOKUP(Loans[[#This Row],[BranchCode]],BranchesTbl[BranchCode],BranchesTbl[BranchName])</f>
        <v>Karen</v>
      </c>
      <c r="Q269">
        <f>_xlfn.XLOOKUP(Loans[[#This Row],[CustomerID]],CustomerTbl[CustomerID],CustomerTbl[RiskScore])</f>
        <v>597</v>
      </c>
      <c r="R269" t="str">
        <f>IFERROR(INDEX(RiskTbl[Risk_Category],MATCH(Loans[[#This Row],[RiskScore]],RiskTbl[Score_Min],1)),"Unknown")</f>
        <v>Medium Risk</v>
      </c>
      <c r="S269" t="str">
        <f>IF(OR(Loans[[#This Row],[LoanStatus]]="Default",Loans[[#This Row],[LoanStatus]]="Watchlist",Loans[[#This Row],[CollateralRisk]]="Undersecured",Loans[[#This Row],[RiskCategory]]="High Risk"),"High Risk Exposure","Normal")</f>
        <v>High Risk Exposure</v>
      </c>
      <c r="T269" t="str" cm="1">
        <f t="array" ref="T269">_xlfn.IFS(
Loans[[#This Row],[LoanStatus]]="Default","Critical",
OR(Loans[[#This Row],[LoanStatus]]="Watchlist",Loans[[#This Row],[CollateralRisk]]="Undersecured",Loans[[#This Row],[RiskCategory]]="High Risk"),"High",
TRUE,"Normal"
)</f>
        <v>High</v>
      </c>
    </row>
    <row r="270" spans="1:20" x14ac:dyDescent="0.35">
      <c r="A270" t="s">
        <v>675</v>
      </c>
      <c r="B270" t="s">
        <v>676</v>
      </c>
      <c r="C270" t="s">
        <v>184</v>
      </c>
      <c r="D270" t="s">
        <v>158</v>
      </c>
      <c r="E270" s="34">
        <v>3000000</v>
      </c>
      <c r="F270" s="29">
        <v>0.1313</v>
      </c>
      <c r="G270" s="30">
        <v>45478</v>
      </c>
      <c r="H270">
        <v>48</v>
      </c>
      <c r="I270">
        <v>0</v>
      </c>
      <c r="J270" s="34">
        <v>1500000</v>
      </c>
      <c r="K270" t="s">
        <v>171</v>
      </c>
      <c r="L270" s="34">
        <f>PMT(Loans[[#This Row],[InterestRate]]/12,Loans[[#This Row],[LoanTenureMonths]],-Loans[[#This Row],[LoanAmount]])</f>
        <v>80676.1893619006</v>
      </c>
      <c r="M270" s="30">
        <f>EDATE(Loans[[#This Row],[LoanStartDate]],Loans[[#This Row],[LoanTenureMonths]])</f>
        <v>46939</v>
      </c>
      <c r="N270" s="33">
        <f>IF(Loans[[#This Row],[LoanAmount]]=0,0,Loans[[#This Row],[CollateralValue]]/Loans[[#This Row],[LoanAmount]])</f>
        <v>0.5</v>
      </c>
      <c r="O270" t="str">
        <f>IF(Loans[[#This Row],[CollateralCoverageRatio]]&lt;1,"Undersecured","Secured")</f>
        <v>Undersecured</v>
      </c>
      <c r="P270" t="str">
        <f>_xlfn.XLOOKUP(Loans[[#This Row],[BranchCode]],BranchesTbl[BranchCode],BranchesTbl[BranchName])</f>
        <v>Kisumu</v>
      </c>
      <c r="Q270">
        <f>_xlfn.XLOOKUP(Loans[[#This Row],[CustomerID]],CustomerTbl[CustomerID],CustomerTbl[RiskScore])</f>
        <v>830</v>
      </c>
      <c r="R270" t="str">
        <f>IFERROR(INDEX(RiskTbl[Risk_Category],MATCH(Loans[[#This Row],[RiskScore]],RiskTbl[Score_Min],1)),"Unknown")</f>
        <v>Prime</v>
      </c>
      <c r="S270" t="str">
        <f>IF(OR(Loans[[#This Row],[LoanStatus]]="Default",Loans[[#This Row],[LoanStatus]]="Watchlist",Loans[[#This Row],[CollateralRisk]]="Undersecured",Loans[[#This Row],[RiskCategory]]="High Risk"),"High Risk Exposure","Normal")</f>
        <v>High Risk Exposure</v>
      </c>
      <c r="T270" t="str" cm="1">
        <f t="array" ref="T270">_xlfn.IFS(
Loans[[#This Row],[LoanStatus]]="Default","Critical",
OR(Loans[[#This Row],[LoanStatus]]="Watchlist",Loans[[#This Row],[CollateralRisk]]="Undersecured",Loans[[#This Row],[RiskCategory]]="High Risk"),"High",
TRUE,"Normal"
)</f>
        <v>High</v>
      </c>
    </row>
    <row r="271" spans="1:20" x14ac:dyDescent="0.35">
      <c r="A271" t="s">
        <v>677</v>
      </c>
      <c r="B271" t="s">
        <v>481</v>
      </c>
      <c r="C271" t="s">
        <v>206</v>
      </c>
      <c r="D271" t="s">
        <v>156</v>
      </c>
      <c r="E271" s="34">
        <v>25000000</v>
      </c>
      <c r="F271" s="29">
        <v>0.1757</v>
      </c>
      <c r="G271" s="30">
        <v>45487</v>
      </c>
      <c r="H271">
        <v>60</v>
      </c>
      <c r="I271">
        <v>0</v>
      </c>
      <c r="J271" s="34">
        <v>13250000</v>
      </c>
      <c r="K271" t="s">
        <v>171</v>
      </c>
      <c r="L271" s="34">
        <f>PMT(Loans[[#This Row],[InterestRate]]/12,Loans[[#This Row],[LoanTenureMonths]],-Loans[[#This Row],[LoanAmount]])</f>
        <v>629002.22399369557</v>
      </c>
      <c r="M271" s="30">
        <f>EDATE(Loans[[#This Row],[LoanStartDate]],Loans[[#This Row],[LoanTenureMonths]])</f>
        <v>47313</v>
      </c>
      <c r="N271" s="33">
        <f>IF(Loans[[#This Row],[LoanAmount]]=0,0,Loans[[#This Row],[CollateralValue]]/Loans[[#This Row],[LoanAmount]])</f>
        <v>0.53</v>
      </c>
      <c r="O271" t="str">
        <f>IF(Loans[[#This Row],[CollateralCoverageRatio]]&lt;1,"Undersecured","Secured")</f>
        <v>Undersecured</v>
      </c>
      <c r="P271" t="str">
        <f>_xlfn.XLOOKUP(Loans[[#This Row],[BranchCode]],BranchesTbl[BranchCode],BranchesTbl[BranchName])</f>
        <v>Nyahururu</v>
      </c>
      <c r="Q271">
        <f>_xlfn.XLOOKUP(Loans[[#This Row],[CustomerID]],CustomerTbl[CustomerID],CustomerTbl[RiskScore])</f>
        <v>383</v>
      </c>
      <c r="R271" t="str">
        <f>IFERROR(INDEX(RiskTbl[Risk_Category],MATCH(Loans[[#This Row],[RiskScore]],RiskTbl[Score_Min],1)),"Unknown")</f>
        <v>High Risk</v>
      </c>
      <c r="S271" t="str">
        <f>IF(OR(Loans[[#This Row],[LoanStatus]]="Default",Loans[[#This Row],[LoanStatus]]="Watchlist",Loans[[#This Row],[CollateralRisk]]="Undersecured",Loans[[#This Row],[RiskCategory]]="High Risk"),"High Risk Exposure","Normal")</f>
        <v>High Risk Exposure</v>
      </c>
      <c r="T271" t="str" cm="1">
        <f t="array" ref="T271">_xlfn.IFS(
Loans[[#This Row],[LoanStatus]]="Default","Critical",
OR(Loans[[#This Row],[LoanStatus]]="Watchlist",Loans[[#This Row],[CollateralRisk]]="Undersecured",Loans[[#This Row],[RiskCategory]]="High Risk"),"High",
TRUE,"Normal"
)</f>
        <v>High</v>
      </c>
    </row>
    <row r="272" spans="1:20" x14ac:dyDescent="0.35">
      <c r="A272" t="s">
        <v>678</v>
      </c>
      <c r="B272" t="s">
        <v>679</v>
      </c>
      <c r="C272" t="s">
        <v>187</v>
      </c>
      <c r="D272" t="s">
        <v>156</v>
      </c>
      <c r="E272" s="34">
        <v>25000000</v>
      </c>
      <c r="F272" s="29">
        <v>0.17480000000000001</v>
      </c>
      <c r="G272" s="30">
        <v>44396</v>
      </c>
      <c r="H272">
        <v>48</v>
      </c>
      <c r="I272">
        <v>0</v>
      </c>
      <c r="J272" s="34">
        <v>22000000</v>
      </c>
      <c r="K272" t="s">
        <v>171</v>
      </c>
      <c r="L272" s="34">
        <f>PMT(Loans[[#This Row],[InterestRate]]/12,Loans[[#This Row],[LoanTenureMonths]],-Loans[[#This Row],[LoanAmount]])</f>
        <v>727599.38673022331</v>
      </c>
      <c r="M272" s="30">
        <f>EDATE(Loans[[#This Row],[LoanStartDate]],Loans[[#This Row],[LoanTenureMonths]])</f>
        <v>45857</v>
      </c>
      <c r="N272" s="33">
        <f>IF(Loans[[#This Row],[LoanAmount]]=0,0,Loans[[#This Row],[CollateralValue]]/Loans[[#This Row],[LoanAmount]])</f>
        <v>0.88</v>
      </c>
      <c r="O272" t="str">
        <f>IF(Loans[[#This Row],[CollateralCoverageRatio]]&lt;1,"Undersecured","Secured")</f>
        <v>Undersecured</v>
      </c>
      <c r="P272" t="str">
        <f>_xlfn.XLOOKUP(Loans[[#This Row],[BranchCode]],BranchesTbl[BranchCode],BranchesTbl[BranchName])</f>
        <v>Eldoret</v>
      </c>
      <c r="Q272">
        <f>_xlfn.XLOOKUP(Loans[[#This Row],[CustomerID]],CustomerTbl[CustomerID],CustomerTbl[RiskScore])</f>
        <v>411</v>
      </c>
      <c r="R272" t="str">
        <f>IFERROR(INDEX(RiskTbl[Risk_Category],MATCH(Loans[[#This Row],[RiskScore]],RiskTbl[Score_Min],1)),"Unknown")</f>
        <v>High Risk</v>
      </c>
      <c r="S272" t="str">
        <f>IF(OR(Loans[[#This Row],[LoanStatus]]="Default",Loans[[#This Row],[LoanStatus]]="Watchlist",Loans[[#This Row],[CollateralRisk]]="Undersecured",Loans[[#This Row],[RiskCategory]]="High Risk"),"High Risk Exposure","Normal")</f>
        <v>High Risk Exposure</v>
      </c>
      <c r="T272" t="str" cm="1">
        <f t="array" ref="T272">_xlfn.IFS(
Loans[[#This Row],[LoanStatus]]="Default","Critical",
OR(Loans[[#This Row],[LoanStatus]]="Watchlist",Loans[[#This Row],[CollateralRisk]]="Undersecured",Loans[[#This Row],[RiskCategory]]="High Risk"),"High",
TRUE,"Normal"
)</f>
        <v>High</v>
      </c>
    </row>
    <row r="273" spans="1:20" x14ac:dyDescent="0.35">
      <c r="A273" t="s">
        <v>680</v>
      </c>
      <c r="B273" t="s">
        <v>432</v>
      </c>
      <c r="C273" t="s">
        <v>184</v>
      </c>
      <c r="D273" t="s">
        <v>158</v>
      </c>
      <c r="E273" s="34">
        <v>500000</v>
      </c>
      <c r="F273" s="29">
        <v>0.1376</v>
      </c>
      <c r="G273" s="30">
        <v>45663</v>
      </c>
      <c r="H273">
        <v>36</v>
      </c>
      <c r="I273">
        <v>45</v>
      </c>
      <c r="J273" s="34">
        <v>625000</v>
      </c>
      <c r="K273" t="s">
        <v>199</v>
      </c>
      <c r="L273" s="34">
        <f>PMT(Loans[[#This Row],[InterestRate]]/12,Loans[[#This Row],[LoanTenureMonths]],-Loans[[#This Row],[LoanAmount]])</f>
        <v>17030.589911282357</v>
      </c>
      <c r="M273" s="30">
        <f>EDATE(Loans[[#This Row],[LoanStartDate]],Loans[[#This Row],[LoanTenureMonths]])</f>
        <v>46758</v>
      </c>
      <c r="N273" s="33">
        <f>IF(Loans[[#This Row],[LoanAmount]]=0,0,Loans[[#This Row],[CollateralValue]]/Loans[[#This Row],[LoanAmount]])</f>
        <v>1.25</v>
      </c>
      <c r="O273" t="str">
        <f>IF(Loans[[#This Row],[CollateralCoverageRatio]]&lt;1,"Undersecured","Secured")</f>
        <v>Secured</v>
      </c>
      <c r="P273" t="str">
        <f>_xlfn.XLOOKUP(Loans[[#This Row],[BranchCode]],BranchesTbl[BranchCode],BranchesTbl[BranchName])</f>
        <v>Kisumu</v>
      </c>
      <c r="Q273">
        <f>_xlfn.XLOOKUP(Loans[[#This Row],[CustomerID]],CustomerTbl[CustomerID],CustomerTbl[RiskScore])</f>
        <v>517</v>
      </c>
      <c r="R273" t="str">
        <f>IFERROR(INDEX(RiskTbl[Risk_Category],MATCH(Loans[[#This Row],[RiskScore]],RiskTbl[Score_Min],1)),"Unknown")</f>
        <v>High Risk</v>
      </c>
      <c r="S273" t="str">
        <f>IF(OR(Loans[[#This Row],[LoanStatus]]="Default",Loans[[#This Row],[LoanStatus]]="Watchlist",Loans[[#This Row],[CollateralRisk]]="Undersecured",Loans[[#This Row],[RiskCategory]]="High Risk"),"High Risk Exposure","Normal")</f>
        <v>High Risk Exposure</v>
      </c>
      <c r="T273" t="str" cm="1">
        <f t="array" ref="T273">_xlfn.IFS(
Loans[[#This Row],[LoanStatus]]="Default","Critical",
OR(Loans[[#This Row],[LoanStatus]]="Watchlist",Loans[[#This Row],[CollateralRisk]]="Undersecured",Loans[[#This Row],[RiskCategory]]="High Risk"),"High",
TRUE,"Normal"
)</f>
        <v>High</v>
      </c>
    </row>
    <row r="274" spans="1:20" x14ac:dyDescent="0.35">
      <c r="A274" t="s">
        <v>681</v>
      </c>
      <c r="B274" t="s">
        <v>682</v>
      </c>
      <c r="C274" t="s">
        <v>206</v>
      </c>
      <c r="D274" t="s">
        <v>156</v>
      </c>
      <c r="E274" s="34">
        <v>3000000</v>
      </c>
      <c r="F274" s="29">
        <v>0.22700000000000001</v>
      </c>
      <c r="G274" s="30">
        <v>45186</v>
      </c>
      <c r="H274">
        <v>36</v>
      </c>
      <c r="I274">
        <v>0</v>
      </c>
      <c r="J274" s="34">
        <v>4290000</v>
      </c>
      <c r="K274" t="s">
        <v>171</v>
      </c>
      <c r="L274" s="34">
        <f>PMT(Loans[[#This Row],[InterestRate]]/12,Loans[[#This Row],[LoanTenureMonths]],-Loans[[#This Row],[LoanAmount]])</f>
        <v>115660.60364512869</v>
      </c>
      <c r="M274" s="30">
        <f>EDATE(Loans[[#This Row],[LoanStartDate]],Loans[[#This Row],[LoanTenureMonths]])</f>
        <v>46282</v>
      </c>
      <c r="N274" s="33">
        <f>IF(Loans[[#This Row],[LoanAmount]]=0,0,Loans[[#This Row],[CollateralValue]]/Loans[[#This Row],[LoanAmount]])</f>
        <v>1.43</v>
      </c>
      <c r="O274" t="str">
        <f>IF(Loans[[#This Row],[CollateralCoverageRatio]]&lt;1,"Undersecured","Secured")</f>
        <v>Secured</v>
      </c>
      <c r="P274" t="str">
        <f>_xlfn.XLOOKUP(Loans[[#This Row],[BranchCode]],BranchesTbl[BranchCode],BranchesTbl[BranchName])</f>
        <v>Nyahururu</v>
      </c>
      <c r="Q274">
        <f>_xlfn.XLOOKUP(Loans[[#This Row],[CustomerID]],CustomerTbl[CustomerID],CustomerTbl[RiskScore])</f>
        <v>700</v>
      </c>
      <c r="R274" t="str">
        <f>IFERROR(INDEX(RiskTbl[Risk_Category],MATCH(Loans[[#This Row],[RiskScore]],RiskTbl[Score_Min],1)),"Unknown")</f>
        <v>Low Risk</v>
      </c>
      <c r="S274" t="str">
        <f>IF(OR(Loans[[#This Row],[LoanStatus]]="Default",Loans[[#This Row],[LoanStatus]]="Watchlist",Loans[[#This Row],[CollateralRisk]]="Undersecured",Loans[[#This Row],[RiskCategory]]="High Risk"),"High Risk Exposure","Normal")</f>
        <v>Normal</v>
      </c>
      <c r="T274" t="str" cm="1">
        <f t="array" ref="T274">_xlfn.IFS(
Loans[[#This Row],[LoanStatus]]="Default","Critical",
OR(Loans[[#This Row],[LoanStatus]]="Watchlist",Loans[[#This Row],[CollateralRisk]]="Undersecured",Loans[[#This Row],[RiskCategory]]="High Risk"),"High",
TRUE,"Normal"
)</f>
        <v>Normal</v>
      </c>
    </row>
    <row r="275" spans="1:20" x14ac:dyDescent="0.35">
      <c r="A275" t="s">
        <v>683</v>
      </c>
      <c r="B275" t="s">
        <v>684</v>
      </c>
      <c r="C275" t="s">
        <v>193</v>
      </c>
      <c r="D275" t="s">
        <v>158</v>
      </c>
      <c r="E275" s="34">
        <v>3000000</v>
      </c>
      <c r="F275" s="29">
        <v>0.14319999999999999</v>
      </c>
      <c r="G275" s="30">
        <v>45908</v>
      </c>
      <c r="H275">
        <v>60</v>
      </c>
      <c r="I275">
        <v>0</v>
      </c>
      <c r="J275" s="34">
        <v>1650000</v>
      </c>
      <c r="K275" t="s">
        <v>171</v>
      </c>
      <c r="L275" s="34">
        <f>PMT(Loans[[#This Row],[InterestRate]]/12,Loans[[#This Row],[LoanTenureMonths]],-Loans[[#This Row],[LoanAmount]])</f>
        <v>70303.450095894921</v>
      </c>
      <c r="M275" s="30">
        <f>EDATE(Loans[[#This Row],[LoanStartDate]],Loans[[#This Row],[LoanTenureMonths]])</f>
        <v>47734</v>
      </c>
      <c r="N275" s="33">
        <f>IF(Loans[[#This Row],[LoanAmount]]=0,0,Loans[[#This Row],[CollateralValue]]/Loans[[#This Row],[LoanAmount]])</f>
        <v>0.55000000000000004</v>
      </c>
      <c r="O275" t="str">
        <f>IF(Loans[[#This Row],[CollateralCoverageRatio]]&lt;1,"Undersecured","Secured")</f>
        <v>Undersecured</v>
      </c>
      <c r="P275" t="str">
        <f>_xlfn.XLOOKUP(Loans[[#This Row],[BranchCode]],BranchesTbl[BranchCode],BranchesTbl[BranchName])</f>
        <v>Mombasa</v>
      </c>
      <c r="Q275">
        <f>_xlfn.XLOOKUP(Loans[[#This Row],[CustomerID]],CustomerTbl[CustomerID],CustomerTbl[RiskScore])</f>
        <v>673</v>
      </c>
      <c r="R275" t="str">
        <f>IFERROR(INDEX(RiskTbl[Risk_Category],MATCH(Loans[[#This Row],[RiskScore]],RiskTbl[Score_Min],1)),"Unknown")</f>
        <v>Low Risk</v>
      </c>
      <c r="S275" t="str">
        <f>IF(OR(Loans[[#This Row],[LoanStatus]]="Default",Loans[[#This Row],[LoanStatus]]="Watchlist",Loans[[#This Row],[CollateralRisk]]="Undersecured",Loans[[#This Row],[RiskCategory]]="High Risk"),"High Risk Exposure","Normal")</f>
        <v>High Risk Exposure</v>
      </c>
      <c r="T275" t="str" cm="1">
        <f t="array" ref="T275">_xlfn.IFS(
Loans[[#This Row],[LoanStatus]]="Default","Critical",
OR(Loans[[#This Row],[LoanStatus]]="Watchlist",Loans[[#This Row],[CollateralRisk]]="Undersecured",Loans[[#This Row],[RiskCategory]]="High Risk"),"High",
TRUE,"Normal"
)</f>
        <v>High</v>
      </c>
    </row>
    <row r="276" spans="1:20" x14ac:dyDescent="0.35">
      <c r="A276" t="s">
        <v>685</v>
      </c>
      <c r="B276" t="s">
        <v>665</v>
      </c>
      <c r="C276" t="s">
        <v>187</v>
      </c>
      <c r="D276" t="s">
        <v>157</v>
      </c>
      <c r="E276" s="34">
        <v>6000000</v>
      </c>
      <c r="F276" s="29">
        <v>0.1226</v>
      </c>
      <c r="G276" s="30">
        <v>45857</v>
      </c>
      <c r="H276">
        <v>36</v>
      </c>
      <c r="I276">
        <v>5</v>
      </c>
      <c r="J276" s="34">
        <v>5580000</v>
      </c>
      <c r="K276" t="s">
        <v>171</v>
      </c>
      <c r="L276" s="34">
        <f>PMT(Loans[[#This Row],[InterestRate]]/12,Loans[[#This Row],[LoanTenureMonths]],-Loans[[#This Row],[LoanAmount]])</f>
        <v>200031.76663462946</v>
      </c>
      <c r="M276" s="30">
        <f>EDATE(Loans[[#This Row],[LoanStartDate]],Loans[[#This Row],[LoanTenureMonths]])</f>
        <v>46953</v>
      </c>
      <c r="N276" s="33">
        <f>IF(Loans[[#This Row],[LoanAmount]]=0,0,Loans[[#This Row],[CollateralValue]]/Loans[[#This Row],[LoanAmount]])</f>
        <v>0.93</v>
      </c>
      <c r="O276" t="str">
        <f>IF(Loans[[#This Row],[CollateralCoverageRatio]]&lt;1,"Undersecured","Secured")</f>
        <v>Undersecured</v>
      </c>
      <c r="P276" t="str">
        <f>_xlfn.XLOOKUP(Loans[[#This Row],[BranchCode]],BranchesTbl[BranchCode],BranchesTbl[BranchName])</f>
        <v>Eldoret</v>
      </c>
      <c r="Q276">
        <f>_xlfn.XLOOKUP(Loans[[#This Row],[CustomerID]],CustomerTbl[CustomerID],CustomerTbl[RiskScore])</f>
        <v>376</v>
      </c>
      <c r="R276" t="str">
        <f>IFERROR(INDEX(RiskTbl[Risk_Category],MATCH(Loans[[#This Row],[RiskScore]],RiskTbl[Score_Min],1)),"Unknown")</f>
        <v>High Risk</v>
      </c>
      <c r="S276" t="str">
        <f>IF(OR(Loans[[#This Row],[LoanStatus]]="Default",Loans[[#This Row],[LoanStatus]]="Watchlist",Loans[[#This Row],[CollateralRisk]]="Undersecured",Loans[[#This Row],[RiskCategory]]="High Risk"),"High Risk Exposure","Normal")</f>
        <v>High Risk Exposure</v>
      </c>
      <c r="T276" t="str" cm="1">
        <f t="array" ref="T276">_xlfn.IFS(
Loans[[#This Row],[LoanStatus]]="Default","Critical",
OR(Loans[[#This Row],[LoanStatus]]="Watchlist",Loans[[#This Row],[CollateralRisk]]="Undersecured",Loans[[#This Row],[RiskCategory]]="High Risk"),"High",
TRUE,"Normal"
)</f>
        <v>High</v>
      </c>
    </row>
    <row r="277" spans="1:20" x14ac:dyDescent="0.35">
      <c r="A277" t="s">
        <v>686</v>
      </c>
      <c r="B277" t="s">
        <v>316</v>
      </c>
      <c r="C277" t="s">
        <v>190</v>
      </c>
      <c r="D277" t="s">
        <v>158</v>
      </c>
      <c r="E277" s="34">
        <v>3000000</v>
      </c>
      <c r="F277" s="29">
        <v>0.1749</v>
      </c>
      <c r="G277" s="30">
        <v>45941</v>
      </c>
      <c r="H277">
        <v>36</v>
      </c>
      <c r="I277">
        <v>0</v>
      </c>
      <c r="J277" s="34">
        <v>4350000</v>
      </c>
      <c r="K277" t="s">
        <v>171</v>
      </c>
      <c r="L277" s="34">
        <f>PMT(Loans[[#This Row],[InterestRate]]/12,Loans[[#This Row],[LoanTenureMonths]],-Loans[[#This Row],[LoanAmount]])</f>
        <v>107691.20821084781</v>
      </c>
      <c r="M277" s="30">
        <f>EDATE(Loans[[#This Row],[LoanStartDate]],Loans[[#This Row],[LoanTenureMonths]])</f>
        <v>47037</v>
      </c>
      <c r="N277" s="33">
        <f>IF(Loans[[#This Row],[LoanAmount]]=0,0,Loans[[#This Row],[CollateralValue]]/Loans[[#This Row],[LoanAmount]])</f>
        <v>1.45</v>
      </c>
      <c r="O277" t="str">
        <f>IF(Loans[[#This Row],[CollateralCoverageRatio]]&lt;1,"Undersecured","Secured")</f>
        <v>Secured</v>
      </c>
      <c r="P277" t="str">
        <f>_xlfn.XLOOKUP(Loans[[#This Row],[BranchCode]],BranchesTbl[BranchCode],BranchesTbl[BranchName])</f>
        <v>Nyeri</v>
      </c>
      <c r="Q277">
        <f>_xlfn.XLOOKUP(Loans[[#This Row],[CustomerID]],CustomerTbl[CustomerID],CustomerTbl[RiskScore])</f>
        <v>325</v>
      </c>
      <c r="R277" t="str">
        <f>IFERROR(INDEX(RiskTbl[Risk_Category],MATCH(Loans[[#This Row],[RiskScore]],RiskTbl[Score_Min],1)),"Unknown")</f>
        <v>High Risk</v>
      </c>
      <c r="S277" t="str">
        <f>IF(OR(Loans[[#This Row],[LoanStatus]]="Default",Loans[[#This Row],[LoanStatus]]="Watchlist",Loans[[#This Row],[CollateralRisk]]="Undersecured",Loans[[#This Row],[RiskCategory]]="High Risk"),"High Risk Exposure","Normal")</f>
        <v>High Risk Exposure</v>
      </c>
      <c r="T277" t="str" cm="1">
        <f t="array" ref="T277">_xlfn.IFS(
Loans[[#This Row],[LoanStatus]]="Default","Critical",
OR(Loans[[#This Row],[LoanStatus]]="Watchlist",Loans[[#This Row],[CollateralRisk]]="Undersecured",Loans[[#This Row],[RiskCategory]]="High Risk"),"High",
TRUE,"Normal"
)</f>
        <v>High</v>
      </c>
    </row>
    <row r="278" spans="1:20" x14ac:dyDescent="0.35">
      <c r="A278" t="s">
        <v>687</v>
      </c>
      <c r="B278" t="s">
        <v>262</v>
      </c>
      <c r="C278" t="s">
        <v>270</v>
      </c>
      <c r="D278" t="s">
        <v>157</v>
      </c>
      <c r="E278" s="34">
        <v>6000000</v>
      </c>
      <c r="F278" s="29">
        <v>0.1089</v>
      </c>
      <c r="G278" s="30">
        <v>45787</v>
      </c>
      <c r="H278">
        <v>48</v>
      </c>
      <c r="I278">
        <v>10</v>
      </c>
      <c r="J278" s="34">
        <v>4200000</v>
      </c>
      <c r="K278" t="s">
        <v>171</v>
      </c>
      <c r="L278" s="34">
        <f>PMT(Loans[[#This Row],[InterestRate]]/12,Loans[[#This Row],[LoanTenureMonths]],-Loans[[#This Row],[LoanAmount]])</f>
        <v>154752.81483432968</v>
      </c>
      <c r="M278" s="30">
        <f>EDATE(Loans[[#This Row],[LoanStartDate]],Loans[[#This Row],[LoanTenureMonths]])</f>
        <v>47248</v>
      </c>
      <c r="N278" s="33">
        <f>IF(Loans[[#This Row],[LoanAmount]]=0,0,Loans[[#This Row],[CollateralValue]]/Loans[[#This Row],[LoanAmount]])</f>
        <v>0.7</v>
      </c>
      <c r="O278" t="str">
        <f>IF(Loans[[#This Row],[CollateralCoverageRatio]]&lt;1,"Undersecured","Secured")</f>
        <v>Undersecured</v>
      </c>
      <c r="P278" t="str">
        <f>_xlfn.XLOOKUP(Loans[[#This Row],[BranchCode]],BranchesTbl[BranchCode],BranchesTbl[BranchName])</f>
        <v>Nakuru</v>
      </c>
      <c r="Q278">
        <f>_xlfn.XLOOKUP(Loans[[#This Row],[CustomerID]],CustomerTbl[CustomerID],CustomerTbl[RiskScore])</f>
        <v>714</v>
      </c>
      <c r="R278" t="str">
        <f>IFERROR(INDEX(RiskTbl[Risk_Category],MATCH(Loans[[#This Row],[RiskScore]],RiskTbl[Score_Min],1)),"Unknown")</f>
        <v>Low Risk</v>
      </c>
      <c r="S278" t="str">
        <f>IF(OR(Loans[[#This Row],[LoanStatus]]="Default",Loans[[#This Row],[LoanStatus]]="Watchlist",Loans[[#This Row],[CollateralRisk]]="Undersecured",Loans[[#This Row],[RiskCategory]]="High Risk"),"High Risk Exposure","Normal")</f>
        <v>High Risk Exposure</v>
      </c>
      <c r="T278" t="str" cm="1">
        <f t="array" ref="T278">_xlfn.IFS(
Loans[[#This Row],[LoanStatus]]="Default","Critical",
OR(Loans[[#This Row],[LoanStatus]]="Watchlist",Loans[[#This Row],[CollateralRisk]]="Undersecured",Loans[[#This Row],[RiskCategory]]="High Risk"),"High",
TRUE,"Normal"
)</f>
        <v>High</v>
      </c>
    </row>
    <row r="279" spans="1:20" x14ac:dyDescent="0.35">
      <c r="A279" t="s">
        <v>688</v>
      </c>
      <c r="B279" t="s">
        <v>689</v>
      </c>
      <c r="C279" t="s">
        <v>206</v>
      </c>
      <c r="D279" t="s">
        <v>156</v>
      </c>
      <c r="E279" s="34">
        <v>25000000</v>
      </c>
      <c r="F279" s="29">
        <v>0.20599999999999999</v>
      </c>
      <c r="G279" s="30">
        <v>44462</v>
      </c>
      <c r="H279">
        <v>48</v>
      </c>
      <c r="I279">
        <v>90</v>
      </c>
      <c r="J279" s="34">
        <v>16250000</v>
      </c>
      <c r="K279" t="s">
        <v>199</v>
      </c>
      <c r="L279" s="34">
        <f>PMT(Loans[[#This Row],[InterestRate]]/12,Loans[[#This Row],[LoanTenureMonths]],-Loans[[#This Row],[LoanAmount]])</f>
        <v>768773.84296365781</v>
      </c>
      <c r="M279" s="30">
        <f>EDATE(Loans[[#This Row],[LoanStartDate]],Loans[[#This Row],[LoanTenureMonths]])</f>
        <v>45923</v>
      </c>
      <c r="N279" s="33">
        <f>IF(Loans[[#This Row],[LoanAmount]]=0,0,Loans[[#This Row],[CollateralValue]]/Loans[[#This Row],[LoanAmount]])</f>
        <v>0.65</v>
      </c>
      <c r="O279" t="str">
        <f>IF(Loans[[#This Row],[CollateralCoverageRatio]]&lt;1,"Undersecured","Secured")</f>
        <v>Undersecured</v>
      </c>
      <c r="P279" t="str">
        <f>_xlfn.XLOOKUP(Loans[[#This Row],[BranchCode]],BranchesTbl[BranchCode],BranchesTbl[BranchName])</f>
        <v>Nyahururu</v>
      </c>
      <c r="Q279">
        <f>_xlfn.XLOOKUP(Loans[[#This Row],[CustomerID]],CustomerTbl[CustomerID],CustomerTbl[RiskScore])</f>
        <v>416</v>
      </c>
      <c r="R279" t="str">
        <f>IFERROR(INDEX(RiskTbl[Risk_Category],MATCH(Loans[[#This Row],[RiskScore]],RiskTbl[Score_Min],1)),"Unknown")</f>
        <v>High Risk</v>
      </c>
      <c r="S279" t="str">
        <f>IF(OR(Loans[[#This Row],[LoanStatus]]="Default",Loans[[#This Row],[LoanStatus]]="Watchlist",Loans[[#This Row],[CollateralRisk]]="Undersecured",Loans[[#This Row],[RiskCategory]]="High Risk"),"High Risk Exposure","Normal")</f>
        <v>High Risk Exposure</v>
      </c>
      <c r="T279" t="str" cm="1">
        <f t="array" ref="T279">_xlfn.IFS(
Loans[[#This Row],[LoanStatus]]="Default","Critical",
OR(Loans[[#This Row],[LoanStatus]]="Watchlist",Loans[[#This Row],[CollateralRisk]]="Undersecured",Loans[[#This Row],[RiskCategory]]="High Risk"),"High",
TRUE,"Normal"
)</f>
        <v>High</v>
      </c>
    </row>
    <row r="280" spans="1:20" x14ac:dyDescent="0.35">
      <c r="A280" t="s">
        <v>690</v>
      </c>
      <c r="B280" t="s">
        <v>534</v>
      </c>
      <c r="C280" t="s">
        <v>184</v>
      </c>
      <c r="D280" t="s">
        <v>158</v>
      </c>
      <c r="E280" s="34">
        <v>3000000</v>
      </c>
      <c r="F280" s="29">
        <v>0.16900000000000001</v>
      </c>
      <c r="G280" s="30">
        <v>44576</v>
      </c>
      <c r="H280">
        <v>12</v>
      </c>
      <c r="I280">
        <v>0</v>
      </c>
      <c r="J280" s="34">
        <v>2190000</v>
      </c>
      <c r="K280" t="s">
        <v>171</v>
      </c>
      <c r="L280" s="34">
        <f>PMT(Loans[[#This Row],[InterestRate]]/12,Loans[[#This Row],[LoanTenureMonths]],-Loans[[#This Row],[LoanAmount]])</f>
        <v>273471.90607293654</v>
      </c>
      <c r="M280" s="30">
        <f>EDATE(Loans[[#This Row],[LoanStartDate]],Loans[[#This Row],[LoanTenureMonths]])</f>
        <v>44941</v>
      </c>
      <c r="N280" s="33">
        <f>IF(Loans[[#This Row],[LoanAmount]]=0,0,Loans[[#This Row],[CollateralValue]]/Loans[[#This Row],[LoanAmount]])</f>
        <v>0.73</v>
      </c>
      <c r="O280" t="str">
        <f>IF(Loans[[#This Row],[CollateralCoverageRatio]]&lt;1,"Undersecured","Secured")</f>
        <v>Undersecured</v>
      </c>
      <c r="P280" t="str">
        <f>_xlfn.XLOOKUP(Loans[[#This Row],[BranchCode]],BranchesTbl[BranchCode],BranchesTbl[BranchName])</f>
        <v>Kisumu</v>
      </c>
      <c r="Q280">
        <f>_xlfn.XLOOKUP(Loans[[#This Row],[CustomerID]],CustomerTbl[CustomerID],CustomerTbl[RiskScore])</f>
        <v>309</v>
      </c>
      <c r="R280" t="str">
        <f>IFERROR(INDEX(RiskTbl[Risk_Category],MATCH(Loans[[#This Row],[RiskScore]],RiskTbl[Score_Min],1)),"Unknown")</f>
        <v>High Risk</v>
      </c>
      <c r="S280" t="str">
        <f>IF(OR(Loans[[#This Row],[LoanStatus]]="Default",Loans[[#This Row],[LoanStatus]]="Watchlist",Loans[[#This Row],[CollateralRisk]]="Undersecured",Loans[[#This Row],[RiskCategory]]="High Risk"),"High Risk Exposure","Normal")</f>
        <v>High Risk Exposure</v>
      </c>
      <c r="T280" t="str" cm="1">
        <f t="array" ref="T280">_xlfn.IFS(
Loans[[#This Row],[LoanStatus]]="Default","Critical",
OR(Loans[[#This Row],[LoanStatus]]="Watchlist",Loans[[#This Row],[CollateralRisk]]="Undersecured",Loans[[#This Row],[RiskCategory]]="High Risk"),"High",
TRUE,"Normal"
)</f>
        <v>High</v>
      </c>
    </row>
    <row r="281" spans="1:20" x14ac:dyDescent="0.35">
      <c r="A281" t="s">
        <v>691</v>
      </c>
      <c r="B281" t="s">
        <v>692</v>
      </c>
      <c r="C281" t="s">
        <v>270</v>
      </c>
      <c r="D281" t="s">
        <v>158</v>
      </c>
      <c r="E281" s="34">
        <v>500000</v>
      </c>
      <c r="F281" s="29">
        <v>0.1275</v>
      </c>
      <c r="G281" s="30">
        <v>45359</v>
      </c>
      <c r="H281">
        <v>48</v>
      </c>
      <c r="I281">
        <v>45</v>
      </c>
      <c r="J281" s="34">
        <v>315000</v>
      </c>
      <c r="K281" t="s">
        <v>199</v>
      </c>
      <c r="L281" s="34">
        <f>PMT(Loans[[#This Row],[InterestRate]]/12,Loans[[#This Row],[LoanTenureMonths]],-Loans[[#This Row],[LoanAmount]])</f>
        <v>13351.790457804984</v>
      </c>
      <c r="M281" s="30">
        <f>EDATE(Loans[[#This Row],[LoanStartDate]],Loans[[#This Row],[LoanTenureMonths]])</f>
        <v>46820</v>
      </c>
      <c r="N281" s="33">
        <f>IF(Loans[[#This Row],[LoanAmount]]=0,0,Loans[[#This Row],[CollateralValue]]/Loans[[#This Row],[LoanAmount]])</f>
        <v>0.63</v>
      </c>
      <c r="O281" t="str">
        <f>IF(Loans[[#This Row],[CollateralCoverageRatio]]&lt;1,"Undersecured","Secured")</f>
        <v>Undersecured</v>
      </c>
      <c r="P281" t="str">
        <f>_xlfn.XLOOKUP(Loans[[#This Row],[BranchCode]],BranchesTbl[BranchCode],BranchesTbl[BranchName])</f>
        <v>Nakuru</v>
      </c>
      <c r="Q281">
        <f>_xlfn.XLOOKUP(Loans[[#This Row],[CustomerID]],CustomerTbl[CustomerID],CustomerTbl[RiskScore])</f>
        <v>835</v>
      </c>
      <c r="R281" t="str">
        <f>IFERROR(INDEX(RiskTbl[Risk_Category],MATCH(Loans[[#This Row],[RiskScore]],RiskTbl[Score_Min],1)),"Unknown")</f>
        <v>Prime</v>
      </c>
      <c r="S281" t="str">
        <f>IF(OR(Loans[[#This Row],[LoanStatus]]="Default",Loans[[#This Row],[LoanStatus]]="Watchlist",Loans[[#This Row],[CollateralRisk]]="Undersecured",Loans[[#This Row],[RiskCategory]]="High Risk"),"High Risk Exposure","Normal")</f>
        <v>High Risk Exposure</v>
      </c>
      <c r="T281" t="str" cm="1">
        <f t="array" ref="T281">_xlfn.IFS(
Loans[[#This Row],[LoanStatus]]="Default","Critical",
OR(Loans[[#This Row],[LoanStatus]]="Watchlist",Loans[[#This Row],[CollateralRisk]]="Undersecured",Loans[[#This Row],[RiskCategory]]="High Risk"),"High",
TRUE,"Normal"
)</f>
        <v>High</v>
      </c>
    </row>
    <row r="282" spans="1:20" x14ac:dyDescent="0.35">
      <c r="A282" t="s">
        <v>693</v>
      </c>
      <c r="B282" t="s">
        <v>694</v>
      </c>
      <c r="C282" t="s">
        <v>170</v>
      </c>
      <c r="D282" t="s">
        <v>158</v>
      </c>
      <c r="E282" s="34">
        <v>500000</v>
      </c>
      <c r="F282" s="29">
        <v>0.1779</v>
      </c>
      <c r="G282" s="30">
        <v>45988</v>
      </c>
      <c r="H282">
        <v>24</v>
      </c>
      <c r="I282">
        <v>10</v>
      </c>
      <c r="J282" s="34">
        <v>440000</v>
      </c>
      <c r="K282" t="s">
        <v>171</v>
      </c>
      <c r="L282" s="34">
        <f>PMT(Loans[[#This Row],[InterestRate]]/12,Loans[[#This Row],[LoanTenureMonths]],-Loans[[#This Row],[LoanAmount]])</f>
        <v>24911.346845918612</v>
      </c>
      <c r="M282" s="30">
        <f>EDATE(Loans[[#This Row],[LoanStartDate]],Loans[[#This Row],[LoanTenureMonths]])</f>
        <v>46718</v>
      </c>
      <c r="N282" s="33">
        <f>IF(Loans[[#This Row],[LoanAmount]]=0,0,Loans[[#This Row],[CollateralValue]]/Loans[[#This Row],[LoanAmount]])</f>
        <v>0.88</v>
      </c>
      <c r="O282" t="str">
        <f>IF(Loans[[#This Row],[CollateralCoverageRatio]]&lt;1,"Undersecured","Secured")</f>
        <v>Undersecured</v>
      </c>
      <c r="P282" t="str">
        <f>_xlfn.XLOOKUP(Loans[[#This Row],[BranchCode]],BranchesTbl[BranchCode],BranchesTbl[BranchName])</f>
        <v>Thika</v>
      </c>
      <c r="Q282">
        <f>_xlfn.XLOOKUP(Loans[[#This Row],[CustomerID]],CustomerTbl[CustomerID],CustomerTbl[RiskScore])</f>
        <v>828</v>
      </c>
      <c r="R282" t="str">
        <f>IFERROR(INDEX(RiskTbl[Risk_Category],MATCH(Loans[[#This Row],[RiskScore]],RiskTbl[Score_Min],1)),"Unknown")</f>
        <v>Prime</v>
      </c>
      <c r="S282" t="str">
        <f>IF(OR(Loans[[#This Row],[LoanStatus]]="Default",Loans[[#This Row],[LoanStatus]]="Watchlist",Loans[[#This Row],[CollateralRisk]]="Undersecured",Loans[[#This Row],[RiskCategory]]="High Risk"),"High Risk Exposure","Normal")</f>
        <v>High Risk Exposure</v>
      </c>
      <c r="T282" t="str" cm="1">
        <f t="array" ref="T282">_xlfn.IFS(
Loans[[#This Row],[LoanStatus]]="Default","Critical",
OR(Loans[[#This Row],[LoanStatus]]="Watchlist",Loans[[#This Row],[CollateralRisk]]="Undersecured",Loans[[#This Row],[RiskCategory]]="High Risk"),"High",
TRUE,"Normal"
)</f>
        <v>High</v>
      </c>
    </row>
    <row r="283" spans="1:20" x14ac:dyDescent="0.35">
      <c r="A283" t="s">
        <v>695</v>
      </c>
      <c r="B283" t="s">
        <v>696</v>
      </c>
      <c r="C283" t="s">
        <v>232</v>
      </c>
      <c r="D283" t="s">
        <v>155</v>
      </c>
      <c r="E283" s="34">
        <v>1000000</v>
      </c>
      <c r="F283" s="29">
        <v>0.2606</v>
      </c>
      <c r="G283" s="30">
        <v>45079</v>
      </c>
      <c r="H283">
        <v>36</v>
      </c>
      <c r="I283">
        <v>45</v>
      </c>
      <c r="J283" s="34">
        <v>0</v>
      </c>
      <c r="K283" t="s">
        <v>199</v>
      </c>
      <c r="L283" s="34">
        <f>PMT(Loans[[#This Row],[InterestRate]]/12,Loans[[#This Row],[LoanTenureMonths]],-Loans[[#This Row],[LoanAmount]])</f>
        <v>40322.589278520005</v>
      </c>
      <c r="M283" s="30">
        <f>EDATE(Loans[[#This Row],[LoanStartDate]],Loans[[#This Row],[LoanTenureMonths]])</f>
        <v>46175</v>
      </c>
      <c r="N283" s="33">
        <f>IF(Loans[[#This Row],[LoanAmount]]=0,0,Loans[[#This Row],[CollateralValue]]/Loans[[#This Row],[LoanAmount]])</f>
        <v>0</v>
      </c>
      <c r="O283" t="str">
        <f>IF(Loans[[#This Row],[CollateralCoverageRatio]]&lt;1,"Undersecured","Secured")</f>
        <v>Undersecured</v>
      </c>
      <c r="P283" t="str">
        <f>_xlfn.XLOOKUP(Loans[[#This Row],[BranchCode]],BranchesTbl[BranchCode],BranchesTbl[BranchName])</f>
        <v>Upper Hill</v>
      </c>
      <c r="Q283">
        <f>_xlfn.XLOOKUP(Loans[[#This Row],[CustomerID]],CustomerTbl[CustomerID],CustomerTbl[RiskScore])</f>
        <v>376</v>
      </c>
      <c r="R283" t="str">
        <f>IFERROR(INDEX(RiskTbl[Risk_Category],MATCH(Loans[[#This Row],[RiskScore]],RiskTbl[Score_Min],1)),"Unknown")</f>
        <v>High Risk</v>
      </c>
      <c r="S283" t="str">
        <f>IF(OR(Loans[[#This Row],[LoanStatus]]="Default",Loans[[#This Row],[LoanStatus]]="Watchlist",Loans[[#This Row],[CollateralRisk]]="Undersecured",Loans[[#This Row],[RiskCategory]]="High Risk"),"High Risk Exposure","Normal")</f>
        <v>High Risk Exposure</v>
      </c>
      <c r="T283" t="str" cm="1">
        <f t="array" ref="T283">_xlfn.IFS(
Loans[[#This Row],[LoanStatus]]="Default","Critical",
OR(Loans[[#This Row],[LoanStatus]]="Watchlist",Loans[[#This Row],[CollateralRisk]]="Undersecured",Loans[[#This Row],[RiskCategory]]="High Risk"),"High",
TRUE,"Normal"
)</f>
        <v>High</v>
      </c>
    </row>
    <row r="284" spans="1:20" x14ac:dyDescent="0.35">
      <c r="A284" t="s">
        <v>697</v>
      </c>
      <c r="B284" t="s">
        <v>262</v>
      </c>
      <c r="C284" t="s">
        <v>184</v>
      </c>
      <c r="D284" t="s">
        <v>156</v>
      </c>
      <c r="E284" s="34">
        <v>25000000</v>
      </c>
      <c r="F284" s="29">
        <v>0.16070000000000001</v>
      </c>
      <c r="G284" s="30">
        <v>45465</v>
      </c>
      <c r="H284">
        <v>12</v>
      </c>
      <c r="I284">
        <v>0</v>
      </c>
      <c r="J284" s="34">
        <v>29000000</v>
      </c>
      <c r="K284" t="s">
        <v>171</v>
      </c>
      <c r="L284" s="34">
        <f>PMT(Loans[[#This Row],[InterestRate]]/12,Loans[[#This Row],[LoanTenureMonths]],-Loans[[#This Row],[LoanAmount]])</f>
        <v>2269099.6644604546</v>
      </c>
      <c r="M284" s="30">
        <f>EDATE(Loans[[#This Row],[LoanStartDate]],Loans[[#This Row],[LoanTenureMonths]])</f>
        <v>45830</v>
      </c>
      <c r="N284" s="33">
        <f>IF(Loans[[#This Row],[LoanAmount]]=0,0,Loans[[#This Row],[CollateralValue]]/Loans[[#This Row],[LoanAmount]])</f>
        <v>1.1599999999999999</v>
      </c>
      <c r="O284" t="str">
        <f>IF(Loans[[#This Row],[CollateralCoverageRatio]]&lt;1,"Undersecured","Secured")</f>
        <v>Secured</v>
      </c>
      <c r="P284" t="str">
        <f>_xlfn.XLOOKUP(Loans[[#This Row],[BranchCode]],BranchesTbl[BranchCode],BranchesTbl[BranchName])</f>
        <v>Kisumu</v>
      </c>
      <c r="Q284">
        <f>_xlfn.XLOOKUP(Loans[[#This Row],[CustomerID]],CustomerTbl[CustomerID],CustomerTbl[RiskScore])</f>
        <v>714</v>
      </c>
      <c r="R284" t="str">
        <f>IFERROR(INDEX(RiskTbl[Risk_Category],MATCH(Loans[[#This Row],[RiskScore]],RiskTbl[Score_Min],1)),"Unknown")</f>
        <v>Low Risk</v>
      </c>
      <c r="S284" t="str">
        <f>IF(OR(Loans[[#This Row],[LoanStatus]]="Default",Loans[[#This Row],[LoanStatus]]="Watchlist",Loans[[#This Row],[CollateralRisk]]="Undersecured",Loans[[#This Row],[RiskCategory]]="High Risk"),"High Risk Exposure","Normal")</f>
        <v>Normal</v>
      </c>
      <c r="T284" t="str" cm="1">
        <f t="array" ref="T284">_xlfn.IFS(
Loans[[#This Row],[LoanStatus]]="Default","Critical",
OR(Loans[[#This Row],[LoanStatus]]="Watchlist",Loans[[#This Row],[CollateralRisk]]="Undersecured",Loans[[#This Row],[RiskCategory]]="High Risk"),"High",
TRUE,"Normal"
)</f>
        <v>Normal</v>
      </c>
    </row>
    <row r="285" spans="1:20" x14ac:dyDescent="0.35">
      <c r="A285" t="s">
        <v>698</v>
      </c>
      <c r="B285" t="s">
        <v>699</v>
      </c>
      <c r="C285" t="s">
        <v>193</v>
      </c>
      <c r="D285" t="s">
        <v>156</v>
      </c>
      <c r="E285" s="34">
        <v>25000000</v>
      </c>
      <c r="F285" s="29">
        <v>0.14779999999999999</v>
      </c>
      <c r="G285" s="30">
        <v>44909</v>
      </c>
      <c r="H285">
        <v>48</v>
      </c>
      <c r="I285">
        <v>0</v>
      </c>
      <c r="J285" s="34">
        <v>35500000</v>
      </c>
      <c r="K285" t="s">
        <v>171</v>
      </c>
      <c r="L285" s="34">
        <f>PMT(Loans[[#This Row],[InterestRate]]/12,Loans[[#This Row],[LoanTenureMonths]],-Loans[[#This Row],[LoanAmount]])</f>
        <v>692983.900504063</v>
      </c>
      <c r="M285" s="30">
        <f>EDATE(Loans[[#This Row],[LoanStartDate]],Loans[[#This Row],[LoanTenureMonths]])</f>
        <v>46370</v>
      </c>
      <c r="N285" s="33">
        <f>IF(Loans[[#This Row],[LoanAmount]]=0,0,Loans[[#This Row],[CollateralValue]]/Loans[[#This Row],[LoanAmount]])</f>
        <v>1.42</v>
      </c>
      <c r="O285" t="str">
        <f>IF(Loans[[#This Row],[CollateralCoverageRatio]]&lt;1,"Undersecured","Secured")</f>
        <v>Secured</v>
      </c>
      <c r="P285" t="str">
        <f>_xlfn.XLOOKUP(Loans[[#This Row],[BranchCode]],BranchesTbl[BranchCode],BranchesTbl[BranchName])</f>
        <v>Mombasa</v>
      </c>
      <c r="Q285">
        <f>_xlfn.XLOOKUP(Loans[[#This Row],[CustomerID]],CustomerTbl[CustomerID],CustomerTbl[RiskScore])</f>
        <v>850</v>
      </c>
      <c r="R285" t="str">
        <f>IFERROR(INDEX(RiskTbl[Risk_Category],MATCH(Loans[[#This Row],[RiskScore]],RiskTbl[Score_Min],1)),"Unknown")</f>
        <v>Prime</v>
      </c>
      <c r="S285" t="str">
        <f>IF(OR(Loans[[#This Row],[LoanStatus]]="Default",Loans[[#This Row],[LoanStatus]]="Watchlist",Loans[[#This Row],[CollateralRisk]]="Undersecured",Loans[[#This Row],[RiskCategory]]="High Risk"),"High Risk Exposure","Normal")</f>
        <v>Normal</v>
      </c>
      <c r="T285" t="str" cm="1">
        <f t="array" ref="T285">_xlfn.IFS(
Loans[[#This Row],[LoanStatus]]="Default","Critical",
OR(Loans[[#This Row],[LoanStatus]]="Watchlist",Loans[[#This Row],[CollateralRisk]]="Undersecured",Loans[[#This Row],[RiskCategory]]="High Risk"),"High",
TRUE,"Normal"
)</f>
        <v>Normal</v>
      </c>
    </row>
    <row r="286" spans="1:20" x14ac:dyDescent="0.35">
      <c r="A286" t="s">
        <v>700</v>
      </c>
      <c r="B286" t="s">
        <v>701</v>
      </c>
      <c r="C286" t="s">
        <v>267</v>
      </c>
      <c r="D286" t="s">
        <v>157</v>
      </c>
      <c r="E286" s="34">
        <v>6000000</v>
      </c>
      <c r="F286" s="29">
        <v>0.12690000000000001</v>
      </c>
      <c r="G286" s="30">
        <v>45025</v>
      </c>
      <c r="H286">
        <v>72</v>
      </c>
      <c r="I286">
        <v>45</v>
      </c>
      <c r="J286" s="34">
        <v>5640000</v>
      </c>
      <c r="K286" t="s">
        <v>199</v>
      </c>
      <c r="L286" s="34">
        <f>PMT(Loans[[#This Row],[InterestRate]]/12,Loans[[#This Row],[LoanTenureMonths]],-Loans[[#This Row],[LoanAmount]])</f>
        <v>119465.17639699165</v>
      </c>
      <c r="M286" s="30">
        <f>EDATE(Loans[[#This Row],[LoanStartDate]],Loans[[#This Row],[LoanTenureMonths]])</f>
        <v>47217</v>
      </c>
      <c r="N286" s="33">
        <f>IF(Loans[[#This Row],[LoanAmount]]=0,0,Loans[[#This Row],[CollateralValue]]/Loans[[#This Row],[LoanAmount]])</f>
        <v>0.94</v>
      </c>
      <c r="O286" t="str">
        <f>IF(Loans[[#This Row],[CollateralCoverageRatio]]&lt;1,"Undersecured","Secured")</f>
        <v>Undersecured</v>
      </c>
      <c r="P286" t="str">
        <f>_xlfn.XLOOKUP(Loans[[#This Row],[BranchCode]],BranchesTbl[BranchCode],BranchesTbl[BranchName])</f>
        <v>Malindi</v>
      </c>
      <c r="Q286">
        <f>_xlfn.XLOOKUP(Loans[[#This Row],[CustomerID]],CustomerTbl[CustomerID],CustomerTbl[RiskScore])</f>
        <v>522</v>
      </c>
      <c r="R286" t="str">
        <f>IFERROR(INDEX(RiskTbl[Risk_Category],MATCH(Loans[[#This Row],[RiskScore]],RiskTbl[Score_Min],1)),"Unknown")</f>
        <v>High Risk</v>
      </c>
      <c r="S286" t="str">
        <f>IF(OR(Loans[[#This Row],[LoanStatus]]="Default",Loans[[#This Row],[LoanStatus]]="Watchlist",Loans[[#This Row],[CollateralRisk]]="Undersecured",Loans[[#This Row],[RiskCategory]]="High Risk"),"High Risk Exposure","Normal")</f>
        <v>High Risk Exposure</v>
      </c>
      <c r="T286" t="str" cm="1">
        <f t="array" ref="T286">_xlfn.IFS(
Loans[[#This Row],[LoanStatus]]="Default","Critical",
OR(Loans[[#This Row],[LoanStatus]]="Watchlist",Loans[[#This Row],[CollateralRisk]]="Undersecured",Loans[[#This Row],[RiskCategory]]="High Risk"),"High",
TRUE,"Normal"
)</f>
        <v>High</v>
      </c>
    </row>
    <row r="287" spans="1:20" x14ac:dyDescent="0.35">
      <c r="A287" t="s">
        <v>702</v>
      </c>
      <c r="B287" t="s">
        <v>357</v>
      </c>
      <c r="C287" t="s">
        <v>196</v>
      </c>
      <c r="D287" t="s">
        <v>156</v>
      </c>
      <c r="E287" s="34">
        <v>25000000</v>
      </c>
      <c r="F287" s="29">
        <v>0.1898</v>
      </c>
      <c r="G287" s="30">
        <v>45323</v>
      </c>
      <c r="H287">
        <v>60</v>
      </c>
      <c r="I287">
        <v>20</v>
      </c>
      <c r="J287" s="34">
        <v>24500000</v>
      </c>
      <c r="K287" t="s">
        <v>171</v>
      </c>
      <c r="L287" s="34">
        <f>PMT(Loans[[#This Row],[InterestRate]]/12,Loans[[#This Row],[LoanTenureMonths]],-Loans[[#This Row],[LoanAmount]])</f>
        <v>648238.69017336029</v>
      </c>
      <c r="M287" s="30">
        <f>EDATE(Loans[[#This Row],[LoanStartDate]],Loans[[#This Row],[LoanTenureMonths]])</f>
        <v>47150</v>
      </c>
      <c r="N287" s="33">
        <f>IF(Loans[[#This Row],[LoanAmount]]=0,0,Loans[[#This Row],[CollateralValue]]/Loans[[#This Row],[LoanAmount]])</f>
        <v>0.98</v>
      </c>
      <c r="O287" t="str">
        <f>IF(Loans[[#This Row],[CollateralCoverageRatio]]&lt;1,"Undersecured","Secured")</f>
        <v>Undersecured</v>
      </c>
      <c r="P287" t="str">
        <f>_xlfn.XLOOKUP(Loans[[#This Row],[BranchCode]],BranchesTbl[BranchCode],BranchesTbl[BranchName])</f>
        <v>Karen</v>
      </c>
      <c r="Q287">
        <f>_xlfn.XLOOKUP(Loans[[#This Row],[CustomerID]],CustomerTbl[CustomerID],CustomerTbl[RiskScore])</f>
        <v>712</v>
      </c>
      <c r="R287" t="str">
        <f>IFERROR(INDEX(RiskTbl[Risk_Category],MATCH(Loans[[#This Row],[RiskScore]],RiskTbl[Score_Min],1)),"Unknown")</f>
        <v>Low Risk</v>
      </c>
      <c r="S287" t="str">
        <f>IF(OR(Loans[[#This Row],[LoanStatus]]="Default",Loans[[#This Row],[LoanStatus]]="Watchlist",Loans[[#This Row],[CollateralRisk]]="Undersecured",Loans[[#This Row],[RiskCategory]]="High Risk"),"High Risk Exposure","Normal")</f>
        <v>High Risk Exposure</v>
      </c>
      <c r="T287" t="str" cm="1">
        <f t="array" ref="T287">_xlfn.IFS(
Loans[[#This Row],[LoanStatus]]="Default","Critical",
OR(Loans[[#This Row],[LoanStatus]]="Watchlist",Loans[[#This Row],[CollateralRisk]]="Undersecured",Loans[[#This Row],[RiskCategory]]="High Risk"),"High",
TRUE,"Normal"
)</f>
        <v>High</v>
      </c>
    </row>
    <row r="288" spans="1:20" x14ac:dyDescent="0.35">
      <c r="A288" t="s">
        <v>703</v>
      </c>
      <c r="B288" t="s">
        <v>704</v>
      </c>
      <c r="C288" t="s">
        <v>206</v>
      </c>
      <c r="D288" t="s">
        <v>158</v>
      </c>
      <c r="E288" s="34">
        <v>3000000</v>
      </c>
      <c r="F288" s="29">
        <v>0.1522</v>
      </c>
      <c r="G288" s="30">
        <v>45741</v>
      </c>
      <c r="H288">
        <v>48</v>
      </c>
      <c r="I288">
        <v>0</v>
      </c>
      <c r="J288" s="34">
        <v>1830000</v>
      </c>
      <c r="K288" t="s">
        <v>171</v>
      </c>
      <c r="L288" s="34">
        <f>PMT(Loans[[#This Row],[InterestRate]]/12,Loans[[#This Row],[LoanTenureMonths]],-Loans[[#This Row],[LoanAmount]])</f>
        <v>83827.185417835906</v>
      </c>
      <c r="M288" s="30">
        <f>EDATE(Loans[[#This Row],[LoanStartDate]],Loans[[#This Row],[LoanTenureMonths]])</f>
        <v>47202</v>
      </c>
      <c r="N288" s="33">
        <f>IF(Loans[[#This Row],[LoanAmount]]=0,0,Loans[[#This Row],[CollateralValue]]/Loans[[#This Row],[LoanAmount]])</f>
        <v>0.61</v>
      </c>
      <c r="O288" t="str">
        <f>IF(Loans[[#This Row],[CollateralCoverageRatio]]&lt;1,"Undersecured","Secured")</f>
        <v>Undersecured</v>
      </c>
      <c r="P288" t="str">
        <f>_xlfn.XLOOKUP(Loans[[#This Row],[BranchCode]],BranchesTbl[BranchCode],BranchesTbl[BranchName])</f>
        <v>Nyahururu</v>
      </c>
      <c r="Q288">
        <f>_xlfn.XLOOKUP(Loans[[#This Row],[CustomerID]],CustomerTbl[CustomerID],CustomerTbl[RiskScore])</f>
        <v>370</v>
      </c>
      <c r="R288" t="str">
        <f>IFERROR(INDEX(RiskTbl[Risk_Category],MATCH(Loans[[#This Row],[RiskScore]],RiskTbl[Score_Min],1)),"Unknown")</f>
        <v>High Risk</v>
      </c>
      <c r="S288" t="str">
        <f>IF(OR(Loans[[#This Row],[LoanStatus]]="Default",Loans[[#This Row],[LoanStatus]]="Watchlist",Loans[[#This Row],[CollateralRisk]]="Undersecured",Loans[[#This Row],[RiskCategory]]="High Risk"),"High Risk Exposure","Normal")</f>
        <v>High Risk Exposure</v>
      </c>
      <c r="T288" t="str" cm="1">
        <f t="array" ref="T288">_xlfn.IFS(
Loans[[#This Row],[LoanStatus]]="Default","Critical",
OR(Loans[[#This Row],[LoanStatus]]="Watchlist",Loans[[#This Row],[CollateralRisk]]="Undersecured",Loans[[#This Row],[RiskCategory]]="High Risk"),"High",
TRUE,"Normal"
)</f>
        <v>High</v>
      </c>
    </row>
    <row r="289" spans="1:20" x14ac:dyDescent="0.35">
      <c r="A289" t="s">
        <v>705</v>
      </c>
      <c r="B289" t="s">
        <v>216</v>
      </c>
      <c r="C289" t="s">
        <v>232</v>
      </c>
      <c r="D289" t="s">
        <v>158</v>
      </c>
      <c r="E289" s="34">
        <v>6000000</v>
      </c>
      <c r="F289" s="29">
        <v>0.12379999999999999</v>
      </c>
      <c r="G289" s="30">
        <v>45610</v>
      </c>
      <c r="H289">
        <v>24</v>
      </c>
      <c r="I289">
        <v>0</v>
      </c>
      <c r="J289" s="34">
        <v>9000000</v>
      </c>
      <c r="K289" t="s">
        <v>171</v>
      </c>
      <c r="L289" s="34">
        <f>PMT(Loans[[#This Row],[InterestRate]]/12,Loans[[#This Row],[LoanTenureMonths]],-Loans[[#This Row],[LoanAmount]])</f>
        <v>283506.75419719471</v>
      </c>
      <c r="M289" s="30">
        <f>EDATE(Loans[[#This Row],[LoanStartDate]],Loans[[#This Row],[LoanTenureMonths]])</f>
        <v>46340</v>
      </c>
      <c r="N289" s="33">
        <f>IF(Loans[[#This Row],[LoanAmount]]=0,0,Loans[[#This Row],[CollateralValue]]/Loans[[#This Row],[LoanAmount]])</f>
        <v>1.5</v>
      </c>
      <c r="O289" t="str">
        <f>IF(Loans[[#This Row],[CollateralCoverageRatio]]&lt;1,"Undersecured","Secured")</f>
        <v>Secured</v>
      </c>
      <c r="P289" t="str">
        <f>_xlfn.XLOOKUP(Loans[[#This Row],[BranchCode]],BranchesTbl[BranchCode],BranchesTbl[BranchName])</f>
        <v>Upper Hill</v>
      </c>
      <c r="Q289">
        <f>_xlfn.XLOOKUP(Loans[[#This Row],[CustomerID]],CustomerTbl[CustomerID],CustomerTbl[RiskScore])</f>
        <v>327</v>
      </c>
      <c r="R289" t="str">
        <f>IFERROR(INDEX(RiskTbl[Risk_Category],MATCH(Loans[[#This Row],[RiskScore]],RiskTbl[Score_Min],1)),"Unknown")</f>
        <v>High Risk</v>
      </c>
      <c r="S289" t="str">
        <f>IF(OR(Loans[[#This Row],[LoanStatus]]="Default",Loans[[#This Row],[LoanStatus]]="Watchlist",Loans[[#This Row],[CollateralRisk]]="Undersecured",Loans[[#This Row],[RiskCategory]]="High Risk"),"High Risk Exposure","Normal")</f>
        <v>High Risk Exposure</v>
      </c>
      <c r="T289" t="str" cm="1">
        <f t="array" ref="T289">_xlfn.IFS(
Loans[[#This Row],[LoanStatus]]="Default","Critical",
OR(Loans[[#This Row],[LoanStatus]]="Watchlist",Loans[[#This Row],[CollateralRisk]]="Undersecured",Loans[[#This Row],[RiskCategory]]="High Risk"),"High",
TRUE,"Normal"
)</f>
        <v>High</v>
      </c>
    </row>
    <row r="290" spans="1:20" x14ac:dyDescent="0.35">
      <c r="A290" t="s">
        <v>706</v>
      </c>
      <c r="B290" t="s">
        <v>565</v>
      </c>
      <c r="C290" t="s">
        <v>184</v>
      </c>
      <c r="D290" t="s">
        <v>156</v>
      </c>
      <c r="E290" s="34">
        <v>25000000</v>
      </c>
      <c r="F290" s="29">
        <v>0.16139999999999999</v>
      </c>
      <c r="G290" s="30">
        <v>44775</v>
      </c>
      <c r="H290">
        <v>48</v>
      </c>
      <c r="I290">
        <v>45</v>
      </c>
      <c r="J290" s="34">
        <v>27250000</v>
      </c>
      <c r="K290" t="s">
        <v>199</v>
      </c>
      <c r="L290" s="34">
        <f>PMT(Loans[[#This Row],[InterestRate]]/12,Loans[[#This Row],[LoanTenureMonths]],-Loans[[#This Row],[LoanAmount]])</f>
        <v>710300.83439691097</v>
      </c>
      <c r="M290" s="30">
        <f>EDATE(Loans[[#This Row],[LoanStartDate]],Loans[[#This Row],[LoanTenureMonths]])</f>
        <v>46236</v>
      </c>
      <c r="N290" s="33">
        <f>IF(Loans[[#This Row],[LoanAmount]]=0,0,Loans[[#This Row],[CollateralValue]]/Loans[[#This Row],[LoanAmount]])</f>
        <v>1.0900000000000001</v>
      </c>
      <c r="O290" t="str">
        <f>IF(Loans[[#This Row],[CollateralCoverageRatio]]&lt;1,"Undersecured","Secured")</f>
        <v>Secured</v>
      </c>
      <c r="P290" t="str">
        <f>_xlfn.XLOOKUP(Loans[[#This Row],[BranchCode]],BranchesTbl[BranchCode],BranchesTbl[BranchName])</f>
        <v>Kisumu</v>
      </c>
      <c r="Q290">
        <f>_xlfn.XLOOKUP(Loans[[#This Row],[CustomerID]],CustomerTbl[CustomerID],CustomerTbl[RiskScore])</f>
        <v>641</v>
      </c>
      <c r="R290" t="str">
        <f>IFERROR(INDEX(RiskTbl[Risk_Category],MATCH(Loans[[#This Row],[RiskScore]],RiskTbl[Score_Min],1)),"Unknown")</f>
        <v>Medium Risk</v>
      </c>
      <c r="S290" t="str">
        <f>IF(OR(Loans[[#This Row],[LoanStatus]]="Default",Loans[[#This Row],[LoanStatus]]="Watchlist",Loans[[#This Row],[CollateralRisk]]="Undersecured",Loans[[#This Row],[RiskCategory]]="High Risk"),"High Risk Exposure","Normal")</f>
        <v>High Risk Exposure</v>
      </c>
      <c r="T290" t="str" cm="1">
        <f t="array" ref="T290">_xlfn.IFS(
Loans[[#This Row],[LoanStatus]]="Default","Critical",
OR(Loans[[#This Row],[LoanStatus]]="Watchlist",Loans[[#This Row],[CollateralRisk]]="Undersecured",Loans[[#This Row],[RiskCategory]]="High Risk"),"High",
TRUE,"Normal"
)</f>
        <v>High</v>
      </c>
    </row>
    <row r="291" spans="1:20" x14ac:dyDescent="0.35">
      <c r="A291" t="s">
        <v>707</v>
      </c>
      <c r="B291" t="s">
        <v>708</v>
      </c>
      <c r="C291" t="s">
        <v>232</v>
      </c>
      <c r="D291" t="s">
        <v>156</v>
      </c>
      <c r="E291" s="34">
        <v>6000000</v>
      </c>
      <c r="F291" s="29">
        <v>0.14219999999999999</v>
      </c>
      <c r="G291" s="30">
        <v>45805</v>
      </c>
      <c r="H291">
        <v>60</v>
      </c>
      <c r="I291">
        <v>0</v>
      </c>
      <c r="J291" s="34">
        <v>7500000</v>
      </c>
      <c r="K291" t="s">
        <v>171</v>
      </c>
      <c r="L291" s="34">
        <f>PMT(Loans[[#This Row],[InterestRate]]/12,Loans[[#This Row],[LoanTenureMonths]],-Loans[[#This Row],[LoanAmount]])</f>
        <v>140294.78574060978</v>
      </c>
      <c r="M291" s="30">
        <f>EDATE(Loans[[#This Row],[LoanStartDate]],Loans[[#This Row],[LoanTenureMonths]])</f>
        <v>47631</v>
      </c>
      <c r="N291" s="33">
        <f>IF(Loans[[#This Row],[LoanAmount]]=0,0,Loans[[#This Row],[CollateralValue]]/Loans[[#This Row],[LoanAmount]])</f>
        <v>1.25</v>
      </c>
      <c r="O291" t="str">
        <f>IF(Loans[[#This Row],[CollateralCoverageRatio]]&lt;1,"Undersecured","Secured")</f>
        <v>Secured</v>
      </c>
      <c r="P291" t="str">
        <f>_xlfn.XLOOKUP(Loans[[#This Row],[BranchCode]],BranchesTbl[BranchCode],BranchesTbl[BranchName])</f>
        <v>Upper Hill</v>
      </c>
      <c r="Q291">
        <f>_xlfn.XLOOKUP(Loans[[#This Row],[CustomerID]],CustomerTbl[CustomerID],CustomerTbl[RiskScore])</f>
        <v>527</v>
      </c>
      <c r="R291" t="str">
        <f>IFERROR(INDEX(RiskTbl[Risk_Category],MATCH(Loans[[#This Row],[RiskScore]],RiskTbl[Score_Min],1)),"Unknown")</f>
        <v>High Risk</v>
      </c>
      <c r="S291" t="str">
        <f>IF(OR(Loans[[#This Row],[LoanStatus]]="Default",Loans[[#This Row],[LoanStatus]]="Watchlist",Loans[[#This Row],[CollateralRisk]]="Undersecured",Loans[[#This Row],[RiskCategory]]="High Risk"),"High Risk Exposure","Normal")</f>
        <v>High Risk Exposure</v>
      </c>
      <c r="T291" t="str" cm="1">
        <f t="array" ref="T291">_xlfn.IFS(
Loans[[#This Row],[LoanStatus]]="Default","Critical",
OR(Loans[[#This Row],[LoanStatus]]="Watchlist",Loans[[#This Row],[CollateralRisk]]="Undersecured",Loans[[#This Row],[RiskCategory]]="High Risk"),"High",
TRUE,"Normal"
)</f>
        <v>High</v>
      </c>
    </row>
    <row r="292" spans="1:20" x14ac:dyDescent="0.35">
      <c r="A292" t="s">
        <v>709</v>
      </c>
      <c r="B292" t="s">
        <v>710</v>
      </c>
      <c r="C292" t="s">
        <v>184</v>
      </c>
      <c r="D292" t="s">
        <v>156</v>
      </c>
      <c r="E292" s="34">
        <v>25000000</v>
      </c>
      <c r="F292" s="29">
        <v>0.22520000000000001</v>
      </c>
      <c r="G292" s="30">
        <v>44725</v>
      </c>
      <c r="H292">
        <v>72</v>
      </c>
      <c r="I292">
        <v>0</v>
      </c>
      <c r="J292" s="34">
        <v>16250000</v>
      </c>
      <c r="K292" t="s">
        <v>171</v>
      </c>
      <c r="L292" s="34">
        <f>PMT(Loans[[#This Row],[InterestRate]]/12,Loans[[#This Row],[LoanTenureMonths]],-Loans[[#This Row],[LoanAmount]])</f>
        <v>635892.7511513452</v>
      </c>
      <c r="M292" s="30">
        <f>EDATE(Loans[[#This Row],[LoanStartDate]],Loans[[#This Row],[LoanTenureMonths]])</f>
        <v>46917</v>
      </c>
      <c r="N292" s="33">
        <f>IF(Loans[[#This Row],[LoanAmount]]=0,0,Loans[[#This Row],[CollateralValue]]/Loans[[#This Row],[LoanAmount]])</f>
        <v>0.65</v>
      </c>
      <c r="O292" t="str">
        <f>IF(Loans[[#This Row],[CollateralCoverageRatio]]&lt;1,"Undersecured","Secured")</f>
        <v>Undersecured</v>
      </c>
      <c r="P292" t="str">
        <f>_xlfn.XLOOKUP(Loans[[#This Row],[BranchCode]],BranchesTbl[BranchCode],BranchesTbl[BranchName])</f>
        <v>Kisumu</v>
      </c>
      <c r="Q292">
        <f>_xlfn.XLOOKUP(Loans[[#This Row],[CustomerID]],CustomerTbl[CustomerID],CustomerTbl[RiskScore])</f>
        <v>775</v>
      </c>
      <c r="R292" t="str">
        <f>IFERROR(INDEX(RiskTbl[Risk_Category],MATCH(Loans[[#This Row],[RiskScore]],RiskTbl[Score_Min],1)),"Unknown")</f>
        <v>Very Low Risk</v>
      </c>
      <c r="S292" t="str">
        <f>IF(OR(Loans[[#This Row],[LoanStatus]]="Default",Loans[[#This Row],[LoanStatus]]="Watchlist",Loans[[#This Row],[CollateralRisk]]="Undersecured",Loans[[#This Row],[RiskCategory]]="High Risk"),"High Risk Exposure","Normal")</f>
        <v>High Risk Exposure</v>
      </c>
      <c r="T292" t="str" cm="1">
        <f t="array" ref="T292">_xlfn.IFS(
Loans[[#This Row],[LoanStatus]]="Default","Critical",
OR(Loans[[#This Row],[LoanStatus]]="Watchlist",Loans[[#This Row],[CollateralRisk]]="Undersecured",Loans[[#This Row],[RiskCategory]]="High Risk"),"High",
TRUE,"Normal"
)</f>
        <v>High</v>
      </c>
    </row>
    <row r="293" spans="1:20" x14ac:dyDescent="0.35">
      <c r="A293" t="s">
        <v>711</v>
      </c>
      <c r="B293" t="s">
        <v>227</v>
      </c>
      <c r="C293" t="s">
        <v>267</v>
      </c>
      <c r="D293" t="s">
        <v>155</v>
      </c>
      <c r="E293" s="34">
        <v>100000</v>
      </c>
      <c r="F293" s="29">
        <v>0.25</v>
      </c>
      <c r="G293" s="30">
        <v>44024</v>
      </c>
      <c r="H293">
        <v>36</v>
      </c>
      <c r="I293">
        <v>0</v>
      </c>
      <c r="J293" s="34">
        <v>0</v>
      </c>
      <c r="K293" t="s">
        <v>171</v>
      </c>
      <c r="L293" s="34">
        <f>PMT(Loans[[#This Row],[InterestRate]]/12,Loans[[#This Row],[LoanTenureMonths]],-Loans[[#This Row],[LoanAmount]])</f>
        <v>3975.9825901255522</v>
      </c>
      <c r="M293" s="30">
        <f>EDATE(Loans[[#This Row],[LoanStartDate]],Loans[[#This Row],[LoanTenureMonths]])</f>
        <v>45119</v>
      </c>
      <c r="N293" s="33">
        <f>IF(Loans[[#This Row],[LoanAmount]]=0,0,Loans[[#This Row],[CollateralValue]]/Loans[[#This Row],[LoanAmount]])</f>
        <v>0</v>
      </c>
      <c r="O293" t="str">
        <f>IF(Loans[[#This Row],[CollateralCoverageRatio]]&lt;1,"Undersecured","Secured")</f>
        <v>Undersecured</v>
      </c>
      <c r="P293" t="str">
        <f>_xlfn.XLOOKUP(Loans[[#This Row],[BranchCode]],BranchesTbl[BranchCode],BranchesTbl[BranchName])</f>
        <v>Malindi</v>
      </c>
      <c r="Q293">
        <f>_xlfn.XLOOKUP(Loans[[#This Row],[CustomerID]],CustomerTbl[CustomerID],CustomerTbl[RiskScore])</f>
        <v>702</v>
      </c>
      <c r="R293" t="str">
        <f>IFERROR(INDEX(RiskTbl[Risk_Category],MATCH(Loans[[#This Row],[RiskScore]],RiskTbl[Score_Min],1)),"Unknown")</f>
        <v>Low Risk</v>
      </c>
      <c r="S293" t="str">
        <f>IF(OR(Loans[[#This Row],[LoanStatus]]="Default",Loans[[#This Row],[LoanStatus]]="Watchlist",Loans[[#This Row],[CollateralRisk]]="Undersecured",Loans[[#This Row],[RiskCategory]]="High Risk"),"High Risk Exposure","Normal")</f>
        <v>High Risk Exposure</v>
      </c>
      <c r="T293" t="str" cm="1">
        <f t="array" ref="T293">_xlfn.IFS(
Loans[[#This Row],[LoanStatus]]="Default","Critical",
OR(Loans[[#This Row],[LoanStatus]]="Watchlist",Loans[[#This Row],[CollateralRisk]]="Undersecured",Loans[[#This Row],[RiskCategory]]="High Risk"),"High",
TRUE,"Normal"
)</f>
        <v>High</v>
      </c>
    </row>
    <row r="294" spans="1:20" x14ac:dyDescent="0.35">
      <c r="A294" t="s">
        <v>712</v>
      </c>
      <c r="B294" t="s">
        <v>713</v>
      </c>
      <c r="C294" t="s">
        <v>174</v>
      </c>
      <c r="D294" t="s">
        <v>156</v>
      </c>
      <c r="E294" s="34">
        <v>3000000</v>
      </c>
      <c r="F294" s="29">
        <v>0.19719999999999999</v>
      </c>
      <c r="G294" s="30">
        <v>44908</v>
      </c>
      <c r="H294">
        <v>72</v>
      </c>
      <c r="I294">
        <v>0</v>
      </c>
      <c r="J294" s="34">
        <v>1710000</v>
      </c>
      <c r="K294" t="s">
        <v>171</v>
      </c>
      <c r="L294" s="34">
        <f>PMT(Loans[[#This Row],[InterestRate]]/12,Loans[[#This Row],[LoanTenureMonths]],-Loans[[#This Row],[LoanAmount]])</f>
        <v>71372.400861644419</v>
      </c>
      <c r="M294" s="30">
        <f>EDATE(Loans[[#This Row],[LoanStartDate]],Loans[[#This Row],[LoanTenureMonths]])</f>
        <v>47100</v>
      </c>
      <c r="N294" s="33">
        <f>IF(Loans[[#This Row],[LoanAmount]]=0,0,Loans[[#This Row],[CollateralValue]]/Loans[[#This Row],[LoanAmount]])</f>
        <v>0.56999999999999995</v>
      </c>
      <c r="O294" t="str">
        <f>IF(Loans[[#This Row],[CollateralCoverageRatio]]&lt;1,"Undersecured","Secured")</f>
        <v>Undersecured</v>
      </c>
      <c r="P294" t="str">
        <f>_xlfn.XLOOKUP(Loans[[#This Row],[BranchCode]],BranchesTbl[BranchCode],BranchesTbl[BranchName])</f>
        <v>Westlands</v>
      </c>
      <c r="Q294">
        <f>_xlfn.XLOOKUP(Loans[[#This Row],[CustomerID]],CustomerTbl[CustomerID],CustomerTbl[RiskScore])</f>
        <v>374</v>
      </c>
      <c r="R294" t="str">
        <f>IFERROR(INDEX(RiskTbl[Risk_Category],MATCH(Loans[[#This Row],[RiskScore]],RiskTbl[Score_Min],1)),"Unknown")</f>
        <v>High Risk</v>
      </c>
      <c r="S294" t="str">
        <f>IF(OR(Loans[[#This Row],[LoanStatus]]="Default",Loans[[#This Row],[LoanStatus]]="Watchlist",Loans[[#This Row],[CollateralRisk]]="Undersecured",Loans[[#This Row],[RiskCategory]]="High Risk"),"High Risk Exposure","Normal")</f>
        <v>High Risk Exposure</v>
      </c>
      <c r="T294" t="str" cm="1">
        <f t="array" ref="T294">_xlfn.IFS(
Loans[[#This Row],[LoanStatus]]="Default","Critical",
OR(Loans[[#This Row],[LoanStatus]]="Watchlist",Loans[[#This Row],[CollateralRisk]]="Undersecured",Loans[[#This Row],[RiskCategory]]="High Risk"),"High",
TRUE,"Normal"
)</f>
        <v>High</v>
      </c>
    </row>
    <row r="295" spans="1:20" x14ac:dyDescent="0.35">
      <c r="A295" t="s">
        <v>714</v>
      </c>
      <c r="B295" t="s">
        <v>554</v>
      </c>
      <c r="C295" t="s">
        <v>206</v>
      </c>
      <c r="D295" t="s">
        <v>155</v>
      </c>
      <c r="E295" s="34">
        <v>1000000</v>
      </c>
      <c r="F295" s="29">
        <v>0.25040000000000001</v>
      </c>
      <c r="G295" s="30">
        <v>45623</v>
      </c>
      <c r="H295">
        <v>48</v>
      </c>
      <c r="I295">
        <v>0</v>
      </c>
      <c r="J295" s="34">
        <v>0</v>
      </c>
      <c r="K295" t="s">
        <v>171</v>
      </c>
      <c r="L295" s="34">
        <f>PMT(Loans[[#This Row],[InterestRate]]/12,Loans[[#This Row],[LoanTenureMonths]],-Loans[[#This Row],[LoanAmount]])</f>
        <v>33179.441840113053</v>
      </c>
      <c r="M295" s="30">
        <f>EDATE(Loans[[#This Row],[LoanStartDate]],Loans[[#This Row],[LoanTenureMonths]])</f>
        <v>47084</v>
      </c>
      <c r="N295" s="33">
        <f>IF(Loans[[#This Row],[LoanAmount]]=0,0,Loans[[#This Row],[CollateralValue]]/Loans[[#This Row],[LoanAmount]])</f>
        <v>0</v>
      </c>
      <c r="O295" t="str">
        <f>IF(Loans[[#This Row],[CollateralCoverageRatio]]&lt;1,"Undersecured","Secured")</f>
        <v>Undersecured</v>
      </c>
      <c r="P295" t="str">
        <f>_xlfn.XLOOKUP(Loans[[#This Row],[BranchCode]],BranchesTbl[BranchCode],BranchesTbl[BranchName])</f>
        <v>Nyahururu</v>
      </c>
      <c r="Q295">
        <f>_xlfn.XLOOKUP(Loans[[#This Row],[CustomerID]],CustomerTbl[CustomerID],CustomerTbl[RiskScore])</f>
        <v>506</v>
      </c>
      <c r="R295" t="str">
        <f>IFERROR(INDEX(RiskTbl[Risk_Category],MATCH(Loans[[#This Row],[RiskScore]],RiskTbl[Score_Min],1)),"Unknown")</f>
        <v>High Risk</v>
      </c>
      <c r="S295" t="str">
        <f>IF(OR(Loans[[#This Row],[LoanStatus]]="Default",Loans[[#This Row],[LoanStatus]]="Watchlist",Loans[[#This Row],[CollateralRisk]]="Undersecured",Loans[[#This Row],[RiskCategory]]="High Risk"),"High Risk Exposure","Normal")</f>
        <v>High Risk Exposure</v>
      </c>
      <c r="T295" t="str" cm="1">
        <f t="array" ref="T295">_xlfn.IFS(
Loans[[#This Row],[LoanStatus]]="Default","Critical",
OR(Loans[[#This Row],[LoanStatus]]="Watchlist",Loans[[#This Row],[CollateralRisk]]="Undersecured",Loans[[#This Row],[RiskCategory]]="High Risk"),"High",
TRUE,"Normal"
)</f>
        <v>High</v>
      </c>
    </row>
    <row r="296" spans="1:20" x14ac:dyDescent="0.35">
      <c r="A296" t="s">
        <v>715</v>
      </c>
      <c r="B296" t="s">
        <v>716</v>
      </c>
      <c r="C296" t="s">
        <v>174</v>
      </c>
      <c r="D296" t="s">
        <v>156</v>
      </c>
      <c r="E296" s="34">
        <v>3000000</v>
      </c>
      <c r="F296" s="29">
        <v>0.22020000000000001</v>
      </c>
      <c r="G296" s="30">
        <v>45769</v>
      </c>
      <c r="H296">
        <v>36</v>
      </c>
      <c r="I296">
        <v>90</v>
      </c>
      <c r="J296" s="34">
        <v>3480000</v>
      </c>
      <c r="K296" t="s">
        <v>199</v>
      </c>
      <c r="L296" s="34">
        <f>PMT(Loans[[#This Row],[InterestRate]]/12,Loans[[#This Row],[LoanTenureMonths]],-Loans[[#This Row],[LoanAmount]])</f>
        <v>114602.40168642509</v>
      </c>
      <c r="M296" s="30">
        <f>EDATE(Loans[[#This Row],[LoanStartDate]],Loans[[#This Row],[LoanTenureMonths]])</f>
        <v>46865</v>
      </c>
      <c r="N296" s="33">
        <f>IF(Loans[[#This Row],[LoanAmount]]=0,0,Loans[[#This Row],[CollateralValue]]/Loans[[#This Row],[LoanAmount]])</f>
        <v>1.1599999999999999</v>
      </c>
      <c r="O296" t="str">
        <f>IF(Loans[[#This Row],[CollateralCoverageRatio]]&lt;1,"Undersecured","Secured")</f>
        <v>Secured</v>
      </c>
      <c r="P296" t="str">
        <f>_xlfn.XLOOKUP(Loans[[#This Row],[BranchCode]],BranchesTbl[BranchCode],BranchesTbl[BranchName])</f>
        <v>Westlands</v>
      </c>
      <c r="Q296">
        <f>_xlfn.XLOOKUP(Loans[[#This Row],[CustomerID]],CustomerTbl[CustomerID],CustomerTbl[RiskScore])</f>
        <v>662</v>
      </c>
      <c r="R296" t="str">
        <f>IFERROR(INDEX(RiskTbl[Risk_Category],MATCH(Loans[[#This Row],[RiskScore]],RiskTbl[Score_Min],1)),"Unknown")</f>
        <v>Medium Risk</v>
      </c>
      <c r="S296" t="str">
        <f>IF(OR(Loans[[#This Row],[LoanStatus]]="Default",Loans[[#This Row],[LoanStatus]]="Watchlist",Loans[[#This Row],[CollateralRisk]]="Undersecured",Loans[[#This Row],[RiskCategory]]="High Risk"),"High Risk Exposure","Normal")</f>
        <v>High Risk Exposure</v>
      </c>
      <c r="T296" t="str" cm="1">
        <f t="array" ref="T296">_xlfn.IFS(
Loans[[#This Row],[LoanStatus]]="Default","Critical",
OR(Loans[[#This Row],[LoanStatus]]="Watchlist",Loans[[#This Row],[CollateralRisk]]="Undersecured",Loans[[#This Row],[RiskCategory]]="High Risk"),"High",
TRUE,"Normal"
)</f>
        <v>High</v>
      </c>
    </row>
    <row r="297" spans="1:20" x14ac:dyDescent="0.35">
      <c r="A297" t="s">
        <v>717</v>
      </c>
      <c r="B297" t="s">
        <v>718</v>
      </c>
      <c r="C297" t="s">
        <v>206</v>
      </c>
      <c r="D297" t="s">
        <v>156</v>
      </c>
      <c r="E297" s="34">
        <v>25000000</v>
      </c>
      <c r="F297" s="29">
        <v>0.23599999999999999</v>
      </c>
      <c r="G297" s="30">
        <v>44168</v>
      </c>
      <c r="H297">
        <v>36</v>
      </c>
      <c r="I297">
        <v>0</v>
      </c>
      <c r="J297" s="34">
        <v>22750000</v>
      </c>
      <c r="K297" t="s">
        <v>171</v>
      </c>
      <c r="L297" s="34">
        <f>PMT(Loans[[#This Row],[InterestRate]]/12,Loans[[#This Row],[LoanTenureMonths]],-Loans[[#This Row],[LoanAmount]])</f>
        <v>975578.44888550101</v>
      </c>
      <c r="M297" s="30">
        <f>EDATE(Loans[[#This Row],[LoanStartDate]],Loans[[#This Row],[LoanTenureMonths]])</f>
        <v>45263</v>
      </c>
      <c r="N297" s="33">
        <f>IF(Loans[[#This Row],[LoanAmount]]=0,0,Loans[[#This Row],[CollateralValue]]/Loans[[#This Row],[LoanAmount]])</f>
        <v>0.91</v>
      </c>
      <c r="O297" t="str">
        <f>IF(Loans[[#This Row],[CollateralCoverageRatio]]&lt;1,"Undersecured","Secured")</f>
        <v>Undersecured</v>
      </c>
      <c r="P297" t="str">
        <f>_xlfn.XLOOKUP(Loans[[#This Row],[BranchCode]],BranchesTbl[BranchCode],BranchesTbl[BranchName])</f>
        <v>Nyahururu</v>
      </c>
      <c r="Q297">
        <f>_xlfn.XLOOKUP(Loans[[#This Row],[CustomerID]],CustomerTbl[CustomerID],CustomerTbl[RiskScore])</f>
        <v>751</v>
      </c>
      <c r="R297" t="str">
        <f>IFERROR(INDEX(RiskTbl[Risk_Category],MATCH(Loans[[#This Row],[RiskScore]],RiskTbl[Score_Min],1)),"Unknown")</f>
        <v>Very Low Risk</v>
      </c>
      <c r="S297" t="str">
        <f>IF(OR(Loans[[#This Row],[LoanStatus]]="Default",Loans[[#This Row],[LoanStatus]]="Watchlist",Loans[[#This Row],[CollateralRisk]]="Undersecured",Loans[[#This Row],[RiskCategory]]="High Risk"),"High Risk Exposure","Normal")</f>
        <v>High Risk Exposure</v>
      </c>
      <c r="T297" t="str" cm="1">
        <f t="array" ref="T297">_xlfn.IFS(
Loans[[#This Row],[LoanStatus]]="Default","Critical",
OR(Loans[[#This Row],[LoanStatus]]="Watchlist",Loans[[#This Row],[CollateralRisk]]="Undersecured",Loans[[#This Row],[RiskCategory]]="High Risk"),"High",
TRUE,"Normal"
)</f>
        <v>High</v>
      </c>
    </row>
    <row r="298" spans="1:20" x14ac:dyDescent="0.35">
      <c r="A298" t="s">
        <v>719</v>
      </c>
      <c r="B298" t="s">
        <v>314</v>
      </c>
      <c r="C298" t="s">
        <v>177</v>
      </c>
      <c r="D298" t="s">
        <v>155</v>
      </c>
      <c r="E298" s="34">
        <v>250000</v>
      </c>
      <c r="F298" s="29">
        <v>0.25159999999999999</v>
      </c>
      <c r="G298" s="30">
        <v>44036</v>
      </c>
      <c r="H298">
        <v>12</v>
      </c>
      <c r="I298">
        <v>0</v>
      </c>
      <c r="J298" s="34">
        <v>0</v>
      </c>
      <c r="K298" t="s">
        <v>171</v>
      </c>
      <c r="L298" s="34">
        <f>PMT(Loans[[#This Row],[InterestRate]]/12,Loans[[#This Row],[LoanTenureMonths]],-Loans[[#This Row],[LoanAmount]])</f>
        <v>23780.465931337247</v>
      </c>
      <c r="M298" s="30">
        <f>EDATE(Loans[[#This Row],[LoanStartDate]],Loans[[#This Row],[LoanTenureMonths]])</f>
        <v>44401</v>
      </c>
      <c r="N298" s="33">
        <f>IF(Loans[[#This Row],[LoanAmount]]=0,0,Loans[[#This Row],[CollateralValue]]/Loans[[#This Row],[LoanAmount]])</f>
        <v>0</v>
      </c>
      <c r="O298" t="str">
        <f>IF(Loans[[#This Row],[CollateralCoverageRatio]]&lt;1,"Undersecured","Secured")</f>
        <v>Undersecured</v>
      </c>
      <c r="P298" t="str">
        <f>_xlfn.XLOOKUP(Loans[[#This Row],[BranchCode]],BranchesTbl[BranchCode],BranchesTbl[BranchName])</f>
        <v>Naivasha</v>
      </c>
      <c r="Q298">
        <f>_xlfn.XLOOKUP(Loans[[#This Row],[CustomerID]],CustomerTbl[CustomerID],CustomerTbl[RiskScore])</f>
        <v>611</v>
      </c>
      <c r="R298" t="str">
        <f>IFERROR(INDEX(RiskTbl[Risk_Category],MATCH(Loans[[#This Row],[RiskScore]],RiskTbl[Score_Min],1)),"Unknown")</f>
        <v>Medium Risk</v>
      </c>
      <c r="S298" t="str">
        <f>IF(OR(Loans[[#This Row],[LoanStatus]]="Default",Loans[[#This Row],[LoanStatus]]="Watchlist",Loans[[#This Row],[CollateralRisk]]="Undersecured",Loans[[#This Row],[RiskCategory]]="High Risk"),"High Risk Exposure","Normal")</f>
        <v>High Risk Exposure</v>
      </c>
      <c r="T298" t="str" cm="1">
        <f t="array" ref="T298">_xlfn.IFS(
Loans[[#This Row],[LoanStatus]]="Default","Critical",
OR(Loans[[#This Row],[LoanStatus]]="Watchlist",Loans[[#This Row],[CollateralRisk]]="Undersecured",Loans[[#This Row],[RiskCategory]]="High Risk"),"High",
TRUE,"Normal"
)</f>
        <v>High</v>
      </c>
    </row>
    <row r="299" spans="1:20" x14ac:dyDescent="0.35">
      <c r="A299" t="s">
        <v>720</v>
      </c>
      <c r="B299" t="s">
        <v>522</v>
      </c>
      <c r="C299" t="s">
        <v>270</v>
      </c>
      <c r="D299" t="s">
        <v>158</v>
      </c>
      <c r="E299" s="34">
        <v>500000</v>
      </c>
      <c r="F299" s="29">
        <v>0.185</v>
      </c>
      <c r="G299" s="30">
        <v>43995</v>
      </c>
      <c r="H299">
        <v>72</v>
      </c>
      <c r="I299">
        <v>0</v>
      </c>
      <c r="J299" s="34">
        <v>435000</v>
      </c>
      <c r="K299" t="s">
        <v>171</v>
      </c>
      <c r="L299" s="34">
        <f>PMT(Loans[[#This Row],[InterestRate]]/12,Loans[[#This Row],[LoanTenureMonths]],-Loans[[#This Row],[LoanAmount]])</f>
        <v>11545.677129985013</v>
      </c>
      <c r="M299" s="30">
        <f>EDATE(Loans[[#This Row],[LoanStartDate]],Loans[[#This Row],[LoanTenureMonths]])</f>
        <v>46186</v>
      </c>
      <c r="N299" s="33">
        <f>IF(Loans[[#This Row],[LoanAmount]]=0,0,Loans[[#This Row],[CollateralValue]]/Loans[[#This Row],[LoanAmount]])</f>
        <v>0.87</v>
      </c>
      <c r="O299" t="str">
        <f>IF(Loans[[#This Row],[CollateralCoverageRatio]]&lt;1,"Undersecured","Secured")</f>
        <v>Undersecured</v>
      </c>
      <c r="P299" t="str">
        <f>_xlfn.XLOOKUP(Loans[[#This Row],[BranchCode]],BranchesTbl[BranchCode],BranchesTbl[BranchName])</f>
        <v>Nakuru</v>
      </c>
      <c r="Q299">
        <f>_xlfn.XLOOKUP(Loans[[#This Row],[CustomerID]],CustomerTbl[CustomerID],CustomerTbl[RiskScore])</f>
        <v>619</v>
      </c>
      <c r="R299" t="str">
        <f>IFERROR(INDEX(RiskTbl[Risk_Category],MATCH(Loans[[#This Row],[RiskScore]],RiskTbl[Score_Min],1)),"Unknown")</f>
        <v>Medium Risk</v>
      </c>
      <c r="S299" t="str">
        <f>IF(OR(Loans[[#This Row],[LoanStatus]]="Default",Loans[[#This Row],[LoanStatus]]="Watchlist",Loans[[#This Row],[CollateralRisk]]="Undersecured",Loans[[#This Row],[RiskCategory]]="High Risk"),"High Risk Exposure","Normal")</f>
        <v>High Risk Exposure</v>
      </c>
      <c r="T299" t="str" cm="1">
        <f t="array" ref="T299">_xlfn.IFS(
Loans[[#This Row],[LoanStatus]]="Default","Critical",
OR(Loans[[#This Row],[LoanStatus]]="Watchlist",Loans[[#This Row],[CollateralRisk]]="Undersecured",Loans[[#This Row],[RiskCategory]]="High Risk"),"High",
TRUE,"Normal"
)</f>
        <v>High</v>
      </c>
    </row>
    <row r="300" spans="1:20" x14ac:dyDescent="0.35">
      <c r="A300" t="s">
        <v>721</v>
      </c>
      <c r="B300" t="s">
        <v>722</v>
      </c>
      <c r="C300" t="s">
        <v>267</v>
      </c>
      <c r="D300" t="s">
        <v>155</v>
      </c>
      <c r="E300" s="34">
        <v>100000</v>
      </c>
      <c r="F300" s="29">
        <v>0.16889999999999999</v>
      </c>
      <c r="G300" s="30">
        <v>45996</v>
      </c>
      <c r="H300">
        <v>12</v>
      </c>
      <c r="I300">
        <v>20</v>
      </c>
      <c r="J300" s="34">
        <v>0</v>
      </c>
      <c r="K300" t="s">
        <v>171</v>
      </c>
      <c r="L300" s="34">
        <f>PMT(Loans[[#This Row],[InterestRate]]/12,Loans[[#This Row],[LoanTenureMonths]],-Loans[[#This Row],[LoanAmount]])</f>
        <v>9115.2557759622559</v>
      </c>
      <c r="M300" s="30">
        <f>EDATE(Loans[[#This Row],[LoanStartDate]],Loans[[#This Row],[LoanTenureMonths]])</f>
        <v>46361</v>
      </c>
      <c r="N300" s="33">
        <f>IF(Loans[[#This Row],[LoanAmount]]=0,0,Loans[[#This Row],[CollateralValue]]/Loans[[#This Row],[LoanAmount]])</f>
        <v>0</v>
      </c>
      <c r="O300" t="str">
        <f>IF(Loans[[#This Row],[CollateralCoverageRatio]]&lt;1,"Undersecured","Secured")</f>
        <v>Undersecured</v>
      </c>
      <c r="P300" t="str">
        <f>_xlfn.XLOOKUP(Loans[[#This Row],[BranchCode]],BranchesTbl[BranchCode],BranchesTbl[BranchName])</f>
        <v>Malindi</v>
      </c>
      <c r="Q300">
        <f>_xlfn.XLOOKUP(Loans[[#This Row],[CustomerID]],CustomerTbl[CustomerID],CustomerTbl[RiskScore])</f>
        <v>366</v>
      </c>
      <c r="R300" t="str">
        <f>IFERROR(INDEX(RiskTbl[Risk_Category],MATCH(Loans[[#This Row],[RiskScore]],RiskTbl[Score_Min],1)),"Unknown")</f>
        <v>High Risk</v>
      </c>
      <c r="S300" t="str">
        <f>IF(OR(Loans[[#This Row],[LoanStatus]]="Default",Loans[[#This Row],[LoanStatus]]="Watchlist",Loans[[#This Row],[CollateralRisk]]="Undersecured",Loans[[#This Row],[RiskCategory]]="High Risk"),"High Risk Exposure","Normal")</f>
        <v>High Risk Exposure</v>
      </c>
      <c r="T300" t="str" cm="1">
        <f t="array" ref="T300">_xlfn.IFS(
Loans[[#This Row],[LoanStatus]]="Default","Critical",
OR(Loans[[#This Row],[LoanStatus]]="Watchlist",Loans[[#This Row],[CollateralRisk]]="Undersecured",Loans[[#This Row],[RiskCategory]]="High Risk"),"High",
TRUE,"Normal"
)</f>
        <v>High</v>
      </c>
    </row>
    <row r="301" spans="1:20" x14ac:dyDescent="0.35">
      <c r="A301" t="s">
        <v>723</v>
      </c>
      <c r="B301" t="s">
        <v>444</v>
      </c>
      <c r="C301" t="s">
        <v>219</v>
      </c>
      <c r="D301" t="s">
        <v>155</v>
      </c>
      <c r="E301" s="34">
        <v>250000</v>
      </c>
      <c r="F301" s="29">
        <v>0.21909999999999999</v>
      </c>
      <c r="G301" s="30">
        <v>45989</v>
      </c>
      <c r="H301">
        <v>24</v>
      </c>
      <c r="I301">
        <v>5</v>
      </c>
      <c r="J301" s="34">
        <v>0</v>
      </c>
      <c r="K301" t="s">
        <v>171</v>
      </c>
      <c r="L301" s="34">
        <f>PMT(Loans[[#This Row],[InterestRate]]/12,Loans[[#This Row],[LoanTenureMonths]],-Loans[[#This Row],[LoanAmount]])</f>
        <v>12958.430194304148</v>
      </c>
      <c r="M301" s="30">
        <f>EDATE(Loans[[#This Row],[LoanStartDate]],Loans[[#This Row],[LoanTenureMonths]])</f>
        <v>46719</v>
      </c>
      <c r="N301" s="33">
        <f>IF(Loans[[#This Row],[LoanAmount]]=0,0,Loans[[#This Row],[CollateralValue]]/Loans[[#This Row],[LoanAmount]])</f>
        <v>0</v>
      </c>
      <c r="O301" t="str">
        <f>IF(Loans[[#This Row],[CollateralCoverageRatio]]&lt;1,"Undersecured","Secured")</f>
        <v>Undersecured</v>
      </c>
      <c r="P301" t="str">
        <f>_xlfn.XLOOKUP(Loans[[#This Row],[BranchCode]],BranchesTbl[BranchCode],BranchesTbl[BranchName])</f>
        <v>Meru</v>
      </c>
      <c r="Q301">
        <f>_xlfn.XLOOKUP(Loans[[#This Row],[CustomerID]],CustomerTbl[CustomerID],CustomerTbl[RiskScore])</f>
        <v>472</v>
      </c>
      <c r="R301" t="str">
        <f>IFERROR(INDEX(RiskTbl[Risk_Category],MATCH(Loans[[#This Row],[RiskScore]],RiskTbl[Score_Min],1)),"Unknown")</f>
        <v>High Risk</v>
      </c>
      <c r="S301" t="str">
        <f>IF(OR(Loans[[#This Row],[LoanStatus]]="Default",Loans[[#This Row],[LoanStatus]]="Watchlist",Loans[[#This Row],[CollateralRisk]]="Undersecured",Loans[[#This Row],[RiskCategory]]="High Risk"),"High Risk Exposure","Normal")</f>
        <v>High Risk Exposure</v>
      </c>
      <c r="T301" t="str" cm="1">
        <f t="array" ref="T301">_xlfn.IFS(
Loans[[#This Row],[LoanStatus]]="Default","Critical",
OR(Loans[[#This Row],[LoanStatus]]="Watchlist",Loans[[#This Row],[CollateralRisk]]="Undersecured",Loans[[#This Row],[RiskCategory]]="High Risk"),"High",
TRUE,"Normal"
)</f>
        <v>High</v>
      </c>
    </row>
    <row r="302" spans="1:20" x14ac:dyDescent="0.35">
      <c r="A302" t="s">
        <v>724</v>
      </c>
      <c r="B302" t="s">
        <v>198</v>
      </c>
      <c r="C302" t="s">
        <v>181</v>
      </c>
      <c r="D302" t="s">
        <v>158</v>
      </c>
      <c r="E302" s="34">
        <v>6000000</v>
      </c>
      <c r="F302" s="29">
        <v>0.1207</v>
      </c>
      <c r="G302" s="30">
        <v>44967</v>
      </c>
      <c r="H302">
        <v>60</v>
      </c>
      <c r="I302">
        <v>0</v>
      </c>
      <c r="J302" s="34">
        <v>5700000</v>
      </c>
      <c r="K302" t="s">
        <v>171</v>
      </c>
      <c r="L302" s="34">
        <f>PMT(Loans[[#This Row],[InterestRate]]/12,Loans[[#This Row],[LoanTenureMonths]],-Loans[[#This Row],[LoanAmount]])</f>
        <v>133679.02290607573</v>
      </c>
      <c r="M302" s="30">
        <f>EDATE(Loans[[#This Row],[LoanStartDate]],Loans[[#This Row],[LoanTenureMonths]])</f>
        <v>46793</v>
      </c>
      <c r="N302" s="33">
        <f>IF(Loans[[#This Row],[LoanAmount]]=0,0,Loans[[#This Row],[CollateralValue]]/Loans[[#This Row],[LoanAmount]])</f>
        <v>0.95</v>
      </c>
      <c r="O302" t="str">
        <f>IF(Loans[[#This Row],[CollateralCoverageRatio]]&lt;1,"Undersecured","Secured")</f>
        <v>Undersecured</v>
      </c>
      <c r="P302" t="str">
        <f>_xlfn.XLOOKUP(Loans[[#This Row],[BranchCode]],BranchesTbl[BranchCode],BranchesTbl[BranchName])</f>
        <v>Kitale</v>
      </c>
      <c r="Q302">
        <f>_xlfn.XLOOKUP(Loans[[#This Row],[CustomerID]],CustomerTbl[CustomerID],CustomerTbl[RiskScore])</f>
        <v>635</v>
      </c>
      <c r="R302" t="str">
        <f>IFERROR(INDEX(RiskTbl[Risk_Category],MATCH(Loans[[#This Row],[RiskScore]],RiskTbl[Score_Min],1)),"Unknown")</f>
        <v>Medium Risk</v>
      </c>
      <c r="S302" t="str">
        <f>IF(OR(Loans[[#This Row],[LoanStatus]]="Default",Loans[[#This Row],[LoanStatus]]="Watchlist",Loans[[#This Row],[CollateralRisk]]="Undersecured",Loans[[#This Row],[RiskCategory]]="High Risk"),"High Risk Exposure","Normal")</f>
        <v>High Risk Exposure</v>
      </c>
      <c r="T302" t="str" cm="1">
        <f t="array" ref="T302">_xlfn.IFS(
Loans[[#This Row],[LoanStatus]]="Default","Critical",
OR(Loans[[#This Row],[LoanStatus]]="Watchlist",Loans[[#This Row],[CollateralRisk]]="Undersecured",Loans[[#This Row],[RiskCategory]]="High Risk"),"High",
TRUE,"Normal"
)</f>
        <v>High</v>
      </c>
    </row>
    <row r="303" spans="1:20" x14ac:dyDescent="0.35">
      <c r="A303" t="s">
        <v>725</v>
      </c>
      <c r="B303" t="s">
        <v>726</v>
      </c>
      <c r="C303" t="s">
        <v>174</v>
      </c>
      <c r="D303" t="s">
        <v>155</v>
      </c>
      <c r="E303" s="34">
        <v>100000</v>
      </c>
      <c r="F303" s="29">
        <v>0.16650000000000001</v>
      </c>
      <c r="G303" s="30">
        <v>45452</v>
      </c>
      <c r="H303">
        <v>72</v>
      </c>
      <c r="I303">
        <v>20</v>
      </c>
      <c r="J303" s="34">
        <v>0</v>
      </c>
      <c r="K303" t="s">
        <v>171</v>
      </c>
      <c r="L303" s="34">
        <f>PMT(Loans[[#This Row],[InterestRate]]/12,Loans[[#This Row],[LoanTenureMonths]],-Loans[[#This Row],[LoanAmount]])</f>
        <v>2205.1286305431549</v>
      </c>
      <c r="M303" s="30">
        <f>EDATE(Loans[[#This Row],[LoanStartDate]],Loans[[#This Row],[LoanTenureMonths]])</f>
        <v>47643</v>
      </c>
      <c r="N303" s="33">
        <f>IF(Loans[[#This Row],[LoanAmount]]=0,0,Loans[[#This Row],[CollateralValue]]/Loans[[#This Row],[LoanAmount]])</f>
        <v>0</v>
      </c>
      <c r="O303" t="str">
        <f>IF(Loans[[#This Row],[CollateralCoverageRatio]]&lt;1,"Undersecured","Secured")</f>
        <v>Undersecured</v>
      </c>
      <c r="P303" t="str">
        <f>_xlfn.XLOOKUP(Loans[[#This Row],[BranchCode]],BranchesTbl[BranchCode],BranchesTbl[BranchName])</f>
        <v>Westlands</v>
      </c>
      <c r="Q303">
        <f>_xlfn.XLOOKUP(Loans[[#This Row],[CustomerID]],CustomerTbl[CustomerID],CustomerTbl[RiskScore])</f>
        <v>571</v>
      </c>
      <c r="R303" t="str">
        <f>IFERROR(INDEX(RiskTbl[Risk_Category],MATCH(Loans[[#This Row],[RiskScore]],RiskTbl[Score_Min],1)),"Unknown")</f>
        <v>High Risk</v>
      </c>
      <c r="S303" t="str">
        <f>IF(OR(Loans[[#This Row],[LoanStatus]]="Default",Loans[[#This Row],[LoanStatus]]="Watchlist",Loans[[#This Row],[CollateralRisk]]="Undersecured",Loans[[#This Row],[RiskCategory]]="High Risk"),"High Risk Exposure","Normal")</f>
        <v>High Risk Exposure</v>
      </c>
      <c r="T303" t="str" cm="1">
        <f t="array" ref="T303">_xlfn.IFS(
Loans[[#This Row],[LoanStatus]]="Default","Critical",
OR(Loans[[#This Row],[LoanStatus]]="Watchlist",Loans[[#This Row],[CollateralRisk]]="Undersecured",Loans[[#This Row],[RiskCategory]]="High Risk"),"High",
TRUE,"Normal"
)</f>
        <v>High</v>
      </c>
    </row>
    <row r="304" spans="1:20" x14ac:dyDescent="0.35">
      <c r="A304" t="s">
        <v>727</v>
      </c>
      <c r="B304" t="s">
        <v>728</v>
      </c>
      <c r="C304" t="s">
        <v>206</v>
      </c>
      <c r="D304" t="s">
        <v>158</v>
      </c>
      <c r="E304" s="34">
        <v>1000000</v>
      </c>
      <c r="F304" s="29">
        <v>0.14729999999999999</v>
      </c>
      <c r="G304" s="30">
        <v>45347</v>
      </c>
      <c r="H304">
        <v>36</v>
      </c>
      <c r="I304">
        <v>20</v>
      </c>
      <c r="J304" s="34">
        <v>670000</v>
      </c>
      <c r="K304" t="s">
        <v>171</v>
      </c>
      <c r="L304" s="34">
        <f>PMT(Loans[[#This Row],[InterestRate]]/12,Loans[[#This Row],[LoanTenureMonths]],-Loans[[#This Row],[LoanAmount]])</f>
        <v>34533.254426841871</v>
      </c>
      <c r="M304" s="30">
        <f>EDATE(Loans[[#This Row],[LoanStartDate]],Loans[[#This Row],[LoanTenureMonths]])</f>
        <v>46443</v>
      </c>
      <c r="N304" s="33">
        <f>IF(Loans[[#This Row],[LoanAmount]]=0,0,Loans[[#This Row],[CollateralValue]]/Loans[[#This Row],[LoanAmount]])</f>
        <v>0.67</v>
      </c>
      <c r="O304" t="str">
        <f>IF(Loans[[#This Row],[CollateralCoverageRatio]]&lt;1,"Undersecured","Secured")</f>
        <v>Undersecured</v>
      </c>
      <c r="P304" t="str">
        <f>_xlfn.XLOOKUP(Loans[[#This Row],[BranchCode]],BranchesTbl[BranchCode],BranchesTbl[BranchName])</f>
        <v>Nyahururu</v>
      </c>
      <c r="Q304">
        <f>_xlfn.XLOOKUP(Loans[[#This Row],[CustomerID]],CustomerTbl[CustomerID],CustomerTbl[RiskScore])</f>
        <v>811</v>
      </c>
      <c r="R304" t="str">
        <f>IFERROR(INDEX(RiskTbl[Risk_Category],MATCH(Loans[[#This Row],[RiskScore]],RiskTbl[Score_Min],1)),"Unknown")</f>
        <v>Prime</v>
      </c>
      <c r="S304" t="str">
        <f>IF(OR(Loans[[#This Row],[LoanStatus]]="Default",Loans[[#This Row],[LoanStatus]]="Watchlist",Loans[[#This Row],[CollateralRisk]]="Undersecured",Loans[[#This Row],[RiskCategory]]="High Risk"),"High Risk Exposure","Normal")</f>
        <v>High Risk Exposure</v>
      </c>
      <c r="T304" t="str" cm="1">
        <f t="array" ref="T304">_xlfn.IFS(
Loans[[#This Row],[LoanStatus]]="Default","Critical",
OR(Loans[[#This Row],[LoanStatus]]="Watchlist",Loans[[#This Row],[CollateralRisk]]="Undersecured",Loans[[#This Row],[RiskCategory]]="High Risk"),"High",
TRUE,"Normal"
)</f>
        <v>High</v>
      </c>
    </row>
    <row r="305" spans="1:20" x14ac:dyDescent="0.35">
      <c r="A305" t="s">
        <v>729</v>
      </c>
      <c r="B305" t="s">
        <v>730</v>
      </c>
      <c r="C305" t="s">
        <v>184</v>
      </c>
      <c r="D305" t="s">
        <v>158</v>
      </c>
      <c r="E305" s="34">
        <v>3000000</v>
      </c>
      <c r="F305" s="29">
        <v>0.16739999999999999</v>
      </c>
      <c r="G305" s="30">
        <v>45989</v>
      </c>
      <c r="H305">
        <v>60</v>
      </c>
      <c r="I305">
        <v>10</v>
      </c>
      <c r="J305" s="34">
        <v>4020000</v>
      </c>
      <c r="K305" t="s">
        <v>171</v>
      </c>
      <c r="L305" s="34">
        <f>PMT(Loans[[#This Row],[InterestRate]]/12,Loans[[#This Row],[LoanTenureMonths]],-Loans[[#This Row],[LoanAmount]])</f>
        <v>74138.967817060562</v>
      </c>
      <c r="M305" s="30">
        <f>EDATE(Loans[[#This Row],[LoanStartDate]],Loans[[#This Row],[LoanTenureMonths]])</f>
        <v>47815</v>
      </c>
      <c r="N305" s="33">
        <f>IF(Loans[[#This Row],[LoanAmount]]=0,0,Loans[[#This Row],[CollateralValue]]/Loans[[#This Row],[LoanAmount]])</f>
        <v>1.34</v>
      </c>
      <c r="O305" t="str">
        <f>IF(Loans[[#This Row],[CollateralCoverageRatio]]&lt;1,"Undersecured","Secured")</f>
        <v>Secured</v>
      </c>
      <c r="P305" t="str">
        <f>_xlfn.XLOOKUP(Loans[[#This Row],[BranchCode]],BranchesTbl[BranchCode],BranchesTbl[BranchName])</f>
        <v>Kisumu</v>
      </c>
      <c r="Q305">
        <f>_xlfn.XLOOKUP(Loans[[#This Row],[CustomerID]],CustomerTbl[CustomerID],CustomerTbl[RiskScore])</f>
        <v>537</v>
      </c>
      <c r="R305" t="str">
        <f>IFERROR(INDEX(RiskTbl[Risk_Category],MATCH(Loans[[#This Row],[RiskScore]],RiskTbl[Score_Min],1)),"Unknown")</f>
        <v>High Risk</v>
      </c>
      <c r="S305" t="str">
        <f>IF(OR(Loans[[#This Row],[LoanStatus]]="Default",Loans[[#This Row],[LoanStatus]]="Watchlist",Loans[[#This Row],[CollateralRisk]]="Undersecured",Loans[[#This Row],[RiskCategory]]="High Risk"),"High Risk Exposure","Normal")</f>
        <v>High Risk Exposure</v>
      </c>
      <c r="T305" t="str" cm="1">
        <f t="array" ref="T305">_xlfn.IFS(
Loans[[#This Row],[LoanStatus]]="Default","Critical",
OR(Loans[[#This Row],[LoanStatus]]="Watchlist",Loans[[#This Row],[CollateralRisk]]="Undersecured",Loans[[#This Row],[RiskCategory]]="High Risk"),"High",
TRUE,"Normal"
)</f>
        <v>High</v>
      </c>
    </row>
    <row r="306" spans="1:20" x14ac:dyDescent="0.35">
      <c r="A306" t="s">
        <v>731</v>
      </c>
      <c r="B306" t="s">
        <v>389</v>
      </c>
      <c r="C306" t="s">
        <v>239</v>
      </c>
      <c r="D306" t="s">
        <v>157</v>
      </c>
      <c r="E306" s="34">
        <v>80000000</v>
      </c>
      <c r="F306" s="29">
        <v>9.9699999999999997E-2</v>
      </c>
      <c r="G306" s="30">
        <v>44004</v>
      </c>
      <c r="H306">
        <v>36</v>
      </c>
      <c r="I306">
        <v>0</v>
      </c>
      <c r="J306" s="34">
        <v>88000000</v>
      </c>
      <c r="K306" t="s">
        <v>171</v>
      </c>
      <c r="L306" s="34">
        <f>PMT(Loans[[#This Row],[InterestRate]]/12,Loans[[#This Row],[LoanTenureMonths]],-Loans[[#This Row],[LoanAmount]])</f>
        <v>2580248.3359657279</v>
      </c>
      <c r="M306" s="30">
        <f>EDATE(Loans[[#This Row],[LoanStartDate]],Loans[[#This Row],[LoanTenureMonths]])</f>
        <v>45099</v>
      </c>
      <c r="N306" s="33">
        <f>IF(Loans[[#This Row],[LoanAmount]]=0,0,Loans[[#This Row],[CollateralValue]]/Loans[[#This Row],[LoanAmount]])</f>
        <v>1.1000000000000001</v>
      </c>
      <c r="O306" t="str">
        <f>IF(Loans[[#This Row],[CollateralCoverageRatio]]&lt;1,"Undersecured","Secured")</f>
        <v>Secured</v>
      </c>
      <c r="P306" t="str">
        <f>_xlfn.XLOOKUP(Loans[[#This Row],[BranchCode]],BranchesTbl[BranchCode],BranchesTbl[BranchName])</f>
        <v>Machakos</v>
      </c>
      <c r="Q306">
        <f>_xlfn.XLOOKUP(Loans[[#This Row],[CustomerID]],CustomerTbl[CustomerID],CustomerTbl[RiskScore])</f>
        <v>488</v>
      </c>
      <c r="R306" t="str">
        <f>IFERROR(INDEX(RiskTbl[Risk_Category],MATCH(Loans[[#This Row],[RiskScore]],RiskTbl[Score_Min],1)),"Unknown")</f>
        <v>High Risk</v>
      </c>
      <c r="S306" t="str">
        <f>IF(OR(Loans[[#This Row],[LoanStatus]]="Default",Loans[[#This Row],[LoanStatus]]="Watchlist",Loans[[#This Row],[CollateralRisk]]="Undersecured",Loans[[#This Row],[RiskCategory]]="High Risk"),"High Risk Exposure","Normal")</f>
        <v>High Risk Exposure</v>
      </c>
      <c r="T306" t="str" cm="1">
        <f t="array" ref="T306">_xlfn.IFS(
Loans[[#This Row],[LoanStatus]]="Default","Critical",
OR(Loans[[#This Row],[LoanStatus]]="Watchlist",Loans[[#This Row],[CollateralRisk]]="Undersecured",Loans[[#This Row],[RiskCategory]]="High Risk"),"High",
TRUE,"Normal"
)</f>
        <v>High</v>
      </c>
    </row>
    <row r="307" spans="1:20" x14ac:dyDescent="0.35">
      <c r="A307" t="s">
        <v>732</v>
      </c>
      <c r="B307" t="s">
        <v>733</v>
      </c>
      <c r="C307" t="s">
        <v>177</v>
      </c>
      <c r="D307" t="s">
        <v>156</v>
      </c>
      <c r="E307" s="34">
        <v>3000000</v>
      </c>
      <c r="F307" s="29">
        <v>0.21629999999999999</v>
      </c>
      <c r="G307" s="30">
        <v>45314</v>
      </c>
      <c r="H307">
        <v>60</v>
      </c>
      <c r="I307">
        <v>45</v>
      </c>
      <c r="J307" s="34">
        <v>3300000</v>
      </c>
      <c r="K307" t="s">
        <v>199</v>
      </c>
      <c r="L307" s="34">
        <f>PMT(Loans[[#This Row],[InterestRate]]/12,Loans[[#This Row],[LoanTenureMonths]],-Loans[[#This Row],[LoanAmount]])</f>
        <v>82226.861654929686</v>
      </c>
      <c r="M307" s="30">
        <f>EDATE(Loans[[#This Row],[LoanStartDate]],Loans[[#This Row],[LoanTenureMonths]])</f>
        <v>47141</v>
      </c>
      <c r="N307" s="33">
        <f>IF(Loans[[#This Row],[LoanAmount]]=0,0,Loans[[#This Row],[CollateralValue]]/Loans[[#This Row],[LoanAmount]])</f>
        <v>1.1000000000000001</v>
      </c>
      <c r="O307" t="str">
        <f>IF(Loans[[#This Row],[CollateralCoverageRatio]]&lt;1,"Undersecured","Secured")</f>
        <v>Secured</v>
      </c>
      <c r="P307" t="str">
        <f>_xlfn.XLOOKUP(Loans[[#This Row],[BranchCode]],BranchesTbl[BranchCode],BranchesTbl[BranchName])</f>
        <v>Naivasha</v>
      </c>
      <c r="Q307">
        <f>_xlfn.XLOOKUP(Loans[[#This Row],[CustomerID]],CustomerTbl[CustomerID],CustomerTbl[RiskScore])</f>
        <v>719</v>
      </c>
      <c r="R307" t="str">
        <f>IFERROR(INDEX(RiskTbl[Risk_Category],MATCH(Loans[[#This Row],[RiskScore]],RiskTbl[Score_Min],1)),"Unknown")</f>
        <v>Low Risk</v>
      </c>
      <c r="S307" t="str">
        <f>IF(OR(Loans[[#This Row],[LoanStatus]]="Default",Loans[[#This Row],[LoanStatus]]="Watchlist",Loans[[#This Row],[CollateralRisk]]="Undersecured",Loans[[#This Row],[RiskCategory]]="High Risk"),"High Risk Exposure","Normal")</f>
        <v>High Risk Exposure</v>
      </c>
      <c r="T307" t="str" cm="1">
        <f t="array" ref="T307">_xlfn.IFS(
Loans[[#This Row],[LoanStatus]]="Default","Critical",
OR(Loans[[#This Row],[LoanStatus]]="Watchlist",Loans[[#This Row],[CollateralRisk]]="Undersecured",Loans[[#This Row],[RiskCategory]]="High Risk"),"High",
TRUE,"Normal"
)</f>
        <v>High</v>
      </c>
    </row>
    <row r="308" spans="1:20" x14ac:dyDescent="0.35">
      <c r="A308" t="s">
        <v>734</v>
      </c>
      <c r="B308" t="s">
        <v>735</v>
      </c>
      <c r="C308" t="s">
        <v>181</v>
      </c>
      <c r="D308" t="s">
        <v>157</v>
      </c>
      <c r="E308" s="34">
        <v>6000000</v>
      </c>
      <c r="F308" s="29">
        <v>0.1047</v>
      </c>
      <c r="G308" s="30">
        <v>45661</v>
      </c>
      <c r="H308">
        <v>60</v>
      </c>
      <c r="I308">
        <v>90</v>
      </c>
      <c r="J308" s="34">
        <v>6300000</v>
      </c>
      <c r="K308" t="s">
        <v>199</v>
      </c>
      <c r="L308" s="34">
        <f>PMT(Loans[[#This Row],[InterestRate]]/12,Loans[[#This Row],[LoanTenureMonths]],-Loans[[#This Row],[LoanAmount]])</f>
        <v>128874.2518491142</v>
      </c>
      <c r="M308" s="30">
        <f>EDATE(Loans[[#This Row],[LoanStartDate]],Loans[[#This Row],[LoanTenureMonths]])</f>
        <v>47487</v>
      </c>
      <c r="N308" s="33">
        <f>IF(Loans[[#This Row],[LoanAmount]]=0,0,Loans[[#This Row],[CollateralValue]]/Loans[[#This Row],[LoanAmount]])</f>
        <v>1.05</v>
      </c>
      <c r="O308" t="str">
        <f>IF(Loans[[#This Row],[CollateralCoverageRatio]]&lt;1,"Undersecured","Secured")</f>
        <v>Secured</v>
      </c>
      <c r="P308" t="str">
        <f>_xlfn.XLOOKUP(Loans[[#This Row],[BranchCode]],BranchesTbl[BranchCode],BranchesTbl[BranchName])</f>
        <v>Kitale</v>
      </c>
      <c r="Q308">
        <f>_xlfn.XLOOKUP(Loans[[#This Row],[CustomerID]],CustomerTbl[CustomerID],CustomerTbl[RiskScore])</f>
        <v>318</v>
      </c>
      <c r="R308" t="str">
        <f>IFERROR(INDEX(RiskTbl[Risk_Category],MATCH(Loans[[#This Row],[RiskScore]],RiskTbl[Score_Min],1)),"Unknown")</f>
        <v>High Risk</v>
      </c>
      <c r="S308" t="str">
        <f>IF(OR(Loans[[#This Row],[LoanStatus]]="Default",Loans[[#This Row],[LoanStatus]]="Watchlist",Loans[[#This Row],[CollateralRisk]]="Undersecured",Loans[[#This Row],[RiskCategory]]="High Risk"),"High Risk Exposure","Normal")</f>
        <v>High Risk Exposure</v>
      </c>
      <c r="T308" t="str" cm="1">
        <f t="array" ref="T308">_xlfn.IFS(
Loans[[#This Row],[LoanStatus]]="Default","Critical",
OR(Loans[[#This Row],[LoanStatus]]="Watchlist",Loans[[#This Row],[CollateralRisk]]="Undersecured",Loans[[#This Row],[RiskCategory]]="High Risk"),"High",
TRUE,"Normal"
)</f>
        <v>High</v>
      </c>
    </row>
    <row r="309" spans="1:20" x14ac:dyDescent="0.35">
      <c r="A309" t="s">
        <v>736</v>
      </c>
      <c r="B309" t="s">
        <v>464</v>
      </c>
      <c r="C309" t="s">
        <v>193</v>
      </c>
      <c r="D309" t="s">
        <v>157</v>
      </c>
      <c r="E309" s="34">
        <v>25000000</v>
      </c>
      <c r="F309" s="29">
        <v>0.1305</v>
      </c>
      <c r="G309" s="30">
        <v>44120</v>
      </c>
      <c r="H309">
        <v>60</v>
      </c>
      <c r="I309">
        <v>5</v>
      </c>
      <c r="J309" s="34">
        <v>32250000</v>
      </c>
      <c r="K309" t="s">
        <v>171</v>
      </c>
      <c r="L309" s="34">
        <f>PMT(Loans[[#This Row],[InterestRate]]/12,Loans[[#This Row],[LoanTenureMonths]],-Loans[[#This Row],[LoanAmount]])</f>
        <v>569466.91817744903</v>
      </c>
      <c r="M309" s="30">
        <f>EDATE(Loans[[#This Row],[LoanStartDate]],Loans[[#This Row],[LoanTenureMonths]])</f>
        <v>45946</v>
      </c>
      <c r="N309" s="33">
        <f>IF(Loans[[#This Row],[LoanAmount]]=0,0,Loans[[#This Row],[CollateralValue]]/Loans[[#This Row],[LoanAmount]])</f>
        <v>1.29</v>
      </c>
      <c r="O309" t="str">
        <f>IF(Loans[[#This Row],[CollateralCoverageRatio]]&lt;1,"Undersecured","Secured")</f>
        <v>Secured</v>
      </c>
      <c r="P309" t="str">
        <f>_xlfn.XLOOKUP(Loans[[#This Row],[BranchCode]],BranchesTbl[BranchCode],BranchesTbl[BranchName])</f>
        <v>Mombasa</v>
      </c>
      <c r="Q309">
        <f>_xlfn.XLOOKUP(Loans[[#This Row],[CustomerID]],CustomerTbl[CustomerID],CustomerTbl[RiskScore])</f>
        <v>306</v>
      </c>
      <c r="R309" t="str">
        <f>IFERROR(INDEX(RiskTbl[Risk_Category],MATCH(Loans[[#This Row],[RiskScore]],RiskTbl[Score_Min],1)),"Unknown")</f>
        <v>High Risk</v>
      </c>
      <c r="S309" t="str">
        <f>IF(OR(Loans[[#This Row],[LoanStatus]]="Default",Loans[[#This Row],[LoanStatus]]="Watchlist",Loans[[#This Row],[CollateralRisk]]="Undersecured",Loans[[#This Row],[RiskCategory]]="High Risk"),"High Risk Exposure","Normal")</f>
        <v>High Risk Exposure</v>
      </c>
      <c r="T309" t="str" cm="1">
        <f t="array" ref="T309">_xlfn.IFS(
Loans[[#This Row],[LoanStatus]]="Default","Critical",
OR(Loans[[#This Row],[LoanStatus]]="Watchlist",Loans[[#This Row],[CollateralRisk]]="Undersecured",Loans[[#This Row],[RiskCategory]]="High Risk"),"High",
TRUE,"Normal"
)</f>
        <v>High</v>
      </c>
    </row>
    <row r="310" spans="1:20" x14ac:dyDescent="0.35">
      <c r="A310" t="s">
        <v>737</v>
      </c>
      <c r="B310" t="s">
        <v>738</v>
      </c>
      <c r="C310" t="s">
        <v>239</v>
      </c>
      <c r="D310" t="s">
        <v>157</v>
      </c>
      <c r="E310" s="34">
        <v>6000000</v>
      </c>
      <c r="F310" s="29">
        <v>0.1069</v>
      </c>
      <c r="G310" s="30">
        <v>45328</v>
      </c>
      <c r="H310">
        <v>24</v>
      </c>
      <c r="I310">
        <v>0</v>
      </c>
      <c r="J310" s="34">
        <v>5880000</v>
      </c>
      <c r="K310" t="s">
        <v>171</v>
      </c>
      <c r="L310" s="34">
        <f>PMT(Loans[[#This Row],[InterestRate]]/12,Loans[[#This Row],[LoanTenureMonths]],-Loans[[#This Row],[LoanAmount]])</f>
        <v>278784.26470461237</v>
      </c>
      <c r="M310" s="30">
        <f>EDATE(Loans[[#This Row],[LoanStartDate]],Loans[[#This Row],[LoanTenureMonths]])</f>
        <v>46059</v>
      </c>
      <c r="N310" s="33">
        <f>IF(Loans[[#This Row],[LoanAmount]]=0,0,Loans[[#This Row],[CollateralValue]]/Loans[[#This Row],[LoanAmount]])</f>
        <v>0.98</v>
      </c>
      <c r="O310" t="str">
        <f>IF(Loans[[#This Row],[CollateralCoverageRatio]]&lt;1,"Undersecured","Secured")</f>
        <v>Undersecured</v>
      </c>
      <c r="P310" t="str">
        <f>_xlfn.XLOOKUP(Loans[[#This Row],[BranchCode]],BranchesTbl[BranchCode],BranchesTbl[BranchName])</f>
        <v>Machakos</v>
      </c>
      <c r="Q310">
        <f>_xlfn.XLOOKUP(Loans[[#This Row],[CustomerID]],CustomerTbl[CustomerID],CustomerTbl[RiskScore])</f>
        <v>654</v>
      </c>
      <c r="R310" t="str">
        <f>IFERROR(INDEX(RiskTbl[Risk_Category],MATCH(Loans[[#This Row],[RiskScore]],RiskTbl[Score_Min],1)),"Unknown")</f>
        <v>Medium Risk</v>
      </c>
      <c r="S310" t="str">
        <f>IF(OR(Loans[[#This Row],[LoanStatus]]="Default",Loans[[#This Row],[LoanStatus]]="Watchlist",Loans[[#This Row],[CollateralRisk]]="Undersecured",Loans[[#This Row],[RiskCategory]]="High Risk"),"High Risk Exposure","Normal")</f>
        <v>High Risk Exposure</v>
      </c>
      <c r="T310" t="str" cm="1">
        <f t="array" ref="T310">_xlfn.IFS(
Loans[[#This Row],[LoanStatus]]="Default","Critical",
OR(Loans[[#This Row],[LoanStatus]]="Watchlist",Loans[[#This Row],[CollateralRisk]]="Undersecured",Loans[[#This Row],[RiskCategory]]="High Risk"),"High",
TRUE,"Normal"
)</f>
        <v>High</v>
      </c>
    </row>
    <row r="311" spans="1:20" x14ac:dyDescent="0.35">
      <c r="A311" t="s">
        <v>739</v>
      </c>
      <c r="B311" t="s">
        <v>740</v>
      </c>
      <c r="C311" t="s">
        <v>181</v>
      </c>
      <c r="D311" t="s">
        <v>156</v>
      </c>
      <c r="E311" s="34">
        <v>6000000</v>
      </c>
      <c r="F311" s="29">
        <v>0.1479</v>
      </c>
      <c r="G311" s="30">
        <v>44964</v>
      </c>
      <c r="H311">
        <v>12</v>
      </c>
      <c r="I311">
        <v>0</v>
      </c>
      <c r="J311" s="34">
        <v>7080000</v>
      </c>
      <c r="K311" t="s">
        <v>171</v>
      </c>
      <c r="L311" s="34">
        <f>PMT(Loans[[#This Row],[InterestRate]]/12,Loans[[#This Row],[LoanTenureMonths]],-Loans[[#This Row],[LoanAmount]])</f>
        <v>540955.49600886286</v>
      </c>
      <c r="M311" s="30">
        <f>EDATE(Loans[[#This Row],[LoanStartDate]],Loans[[#This Row],[LoanTenureMonths]])</f>
        <v>45329</v>
      </c>
      <c r="N311" s="33">
        <f>IF(Loans[[#This Row],[LoanAmount]]=0,0,Loans[[#This Row],[CollateralValue]]/Loans[[#This Row],[LoanAmount]])</f>
        <v>1.18</v>
      </c>
      <c r="O311" t="str">
        <f>IF(Loans[[#This Row],[CollateralCoverageRatio]]&lt;1,"Undersecured","Secured")</f>
        <v>Secured</v>
      </c>
      <c r="P311" t="str">
        <f>_xlfn.XLOOKUP(Loans[[#This Row],[BranchCode]],BranchesTbl[BranchCode],BranchesTbl[BranchName])</f>
        <v>Kitale</v>
      </c>
      <c r="Q311">
        <f>_xlfn.XLOOKUP(Loans[[#This Row],[CustomerID]],CustomerTbl[CustomerID],CustomerTbl[RiskScore])</f>
        <v>614</v>
      </c>
      <c r="R311" t="str">
        <f>IFERROR(INDEX(RiskTbl[Risk_Category],MATCH(Loans[[#This Row],[RiskScore]],RiskTbl[Score_Min],1)),"Unknown")</f>
        <v>Medium Risk</v>
      </c>
      <c r="S311" t="str">
        <f>IF(OR(Loans[[#This Row],[LoanStatus]]="Default",Loans[[#This Row],[LoanStatus]]="Watchlist",Loans[[#This Row],[CollateralRisk]]="Undersecured",Loans[[#This Row],[RiskCategory]]="High Risk"),"High Risk Exposure","Normal")</f>
        <v>Normal</v>
      </c>
      <c r="T311" t="str" cm="1">
        <f t="array" ref="T311">_xlfn.IFS(
Loans[[#This Row],[LoanStatus]]="Default","Critical",
OR(Loans[[#This Row],[LoanStatus]]="Watchlist",Loans[[#This Row],[CollateralRisk]]="Undersecured",Loans[[#This Row],[RiskCategory]]="High Risk"),"High",
TRUE,"Normal"
)</f>
        <v>Normal</v>
      </c>
    </row>
    <row r="312" spans="1:20" x14ac:dyDescent="0.35">
      <c r="A312" t="s">
        <v>741</v>
      </c>
      <c r="B312" t="s">
        <v>534</v>
      </c>
      <c r="C312" t="s">
        <v>239</v>
      </c>
      <c r="D312" t="s">
        <v>157</v>
      </c>
      <c r="E312" s="34">
        <v>80000000</v>
      </c>
      <c r="F312" s="29">
        <v>0.1123</v>
      </c>
      <c r="G312" s="30">
        <v>45317</v>
      </c>
      <c r="H312">
        <v>24</v>
      </c>
      <c r="I312">
        <v>0</v>
      </c>
      <c r="J312" s="34">
        <v>44800000</v>
      </c>
      <c r="K312" t="s">
        <v>171</v>
      </c>
      <c r="L312" s="34">
        <f>PMT(Loans[[#This Row],[InterestRate]]/12,Loans[[#This Row],[LoanTenureMonths]],-Loans[[#This Row],[LoanAmount]])</f>
        <v>3737175.4546573609</v>
      </c>
      <c r="M312" s="30">
        <f>EDATE(Loans[[#This Row],[LoanStartDate]],Loans[[#This Row],[LoanTenureMonths]])</f>
        <v>46048</v>
      </c>
      <c r="N312" s="33">
        <f>IF(Loans[[#This Row],[LoanAmount]]=0,0,Loans[[#This Row],[CollateralValue]]/Loans[[#This Row],[LoanAmount]])</f>
        <v>0.56000000000000005</v>
      </c>
      <c r="O312" t="str">
        <f>IF(Loans[[#This Row],[CollateralCoverageRatio]]&lt;1,"Undersecured","Secured")</f>
        <v>Undersecured</v>
      </c>
      <c r="P312" t="str">
        <f>_xlfn.XLOOKUP(Loans[[#This Row],[BranchCode]],BranchesTbl[BranchCode],BranchesTbl[BranchName])</f>
        <v>Machakos</v>
      </c>
      <c r="Q312">
        <f>_xlfn.XLOOKUP(Loans[[#This Row],[CustomerID]],CustomerTbl[CustomerID],CustomerTbl[RiskScore])</f>
        <v>309</v>
      </c>
      <c r="R312" t="str">
        <f>IFERROR(INDEX(RiskTbl[Risk_Category],MATCH(Loans[[#This Row],[RiskScore]],RiskTbl[Score_Min],1)),"Unknown")</f>
        <v>High Risk</v>
      </c>
      <c r="S312" t="str">
        <f>IF(OR(Loans[[#This Row],[LoanStatus]]="Default",Loans[[#This Row],[LoanStatus]]="Watchlist",Loans[[#This Row],[CollateralRisk]]="Undersecured",Loans[[#This Row],[RiskCategory]]="High Risk"),"High Risk Exposure","Normal")</f>
        <v>High Risk Exposure</v>
      </c>
      <c r="T312" t="str" cm="1">
        <f t="array" ref="T312">_xlfn.IFS(
Loans[[#This Row],[LoanStatus]]="Default","Critical",
OR(Loans[[#This Row],[LoanStatus]]="Watchlist",Loans[[#This Row],[CollateralRisk]]="Undersecured",Loans[[#This Row],[RiskCategory]]="High Risk"),"High",
TRUE,"Normal"
)</f>
        <v>High</v>
      </c>
    </row>
    <row r="313" spans="1:20" x14ac:dyDescent="0.35">
      <c r="A313" t="s">
        <v>742</v>
      </c>
      <c r="B313" t="s">
        <v>743</v>
      </c>
      <c r="C313" t="s">
        <v>170</v>
      </c>
      <c r="D313" t="s">
        <v>158</v>
      </c>
      <c r="E313" s="34">
        <v>1000000</v>
      </c>
      <c r="F313" s="29">
        <v>0.19450000000000001</v>
      </c>
      <c r="G313" s="30">
        <v>44964</v>
      </c>
      <c r="H313">
        <v>60</v>
      </c>
      <c r="I313">
        <v>90</v>
      </c>
      <c r="J313" s="34">
        <v>1410000</v>
      </c>
      <c r="K313" t="s">
        <v>199</v>
      </c>
      <c r="L313" s="34">
        <f>PMT(Loans[[#This Row],[InterestRate]]/12,Loans[[#This Row],[LoanTenureMonths]],-Loans[[#This Row],[LoanAmount]])</f>
        <v>26188.786313468001</v>
      </c>
      <c r="M313" s="30">
        <f>EDATE(Loans[[#This Row],[LoanStartDate]],Loans[[#This Row],[LoanTenureMonths]])</f>
        <v>46790</v>
      </c>
      <c r="N313" s="33">
        <f>IF(Loans[[#This Row],[LoanAmount]]=0,0,Loans[[#This Row],[CollateralValue]]/Loans[[#This Row],[LoanAmount]])</f>
        <v>1.41</v>
      </c>
      <c r="O313" t="str">
        <f>IF(Loans[[#This Row],[CollateralCoverageRatio]]&lt;1,"Undersecured","Secured")</f>
        <v>Secured</v>
      </c>
      <c r="P313" t="str">
        <f>_xlfn.XLOOKUP(Loans[[#This Row],[BranchCode]],BranchesTbl[BranchCode],BranchesTbl[BranchName])</f>
        <v>Thika</v>
      </c>
      <c r="Q313">
        <f>_xlfn.XLOOKUP(Loans[[#This Row],[CustomerID]],CustomerTbl[CustomerID],CustomerTbl[RiskScore])</f>
        <v>436</v>
      </c>
      <c r="R313" t="str">
        <f>IFERROR(INDEX(RiskTbl[Risk_Category],MATCH(Loans[[#This Row],[RiskScore]],RiskTbl[Score_Min],1)),"Unknown")</f>
        <v>High Risk</v>
      </c>
      <c r="S313" t="str">
        <f>IF(OR(Loans[[#This Row],[LoanStatus]]="Default",Loans[[#This Row],[LoanStatus]]="Watchlist",Loans[[#This Row],[CollateralRisk]]="Undersecured",Loans[[#This Row],[RiskCategory]]="High Risk"),"High Risk Exposure","Normal")</f>
        <v>High Risk Exposure</v>
      </c>
      <c r="T313" t="str" cm="1">
        <f t="array" ref="T313">_xlfn.IFS(
Loans[[#This Row],[LoanStatus]]="Default","Critical",
OR(Loans[[#This Row],[LoanStatus]]="Watchlist",Loans[[#This Row],[CollateralRisk]]="Undersecured",Loans[[#This Row],[RiskCategory]]="High Risk"),"High",
TRUE,"Normal"
)</f>
        <v>High</v>
      </c>
    </row>
    <row r="314" spans="1:20" x14ac:dyDescent="0.35">
      <c r="A314" t="s">
        <v>744</v>
      </c>
      <c r="B314" t="s">
        <v>745</v>
      </c>
      <c r="C314" t="s">
        <v>187</v>
      </c>
      <c r="D314" t="s">
        <v>157</v>
      </c>
      <c r="E314" s="34">
        <v>80000000</v>
      </c>
      <c r="F314" s="29">
        <v>0.13689999999999999</v>
      </c>
      <c r="G314" s="30">
        <v>45544</v>
      </c>
      <c r="H314">
        <v>72</v>
      </c>
      <c r="I314">
        <v>5</v>
      </c>
      <c r="J314" s="34">
        <v>52800000</v>
      </c>
      <c r="K314" t="s">
        <v>171</v>
      </c>
      <c r="L314" s="34">
        <f>PMT(Loans[[#This Row],[InterestRate]]/12,Loans[[#This Row],[LoanTenureMonths]],-Loans[[#This Row],[LoanAmount]])</f>
        <v>1635208.95125479</v>
      </c>
      <c r="M314" s="30">
        <f>EDATE(Loans[[#This Row],[LoanStartDate]],Loans[[#This Row],[LoanTenureMonths]])</f>
        <v>47735</v>
      </c>
      <c r="N314" s="33">
        <f>IF(Loans[[#This Row],[LoanAmount]]=0,0,Loans[[#This Row],[CollateralValue]]/Loans[[#This Row],[LoanAmount]])</f>
        <v>0.66</v>
      </c>
      <c r="O314" t="str">
        <f>IF(Loans[[#This Row],[CollateralCoverageRatio]]&lt;1,"Undersecured","Secured")</f>
        <v>Undersecured</v>
      </c>
      <c r="P314" t="str">
        <f>_xlfn.XLOOKUP(Loans[[#This Row],[BranchCode]],BranchesTbl[BranchCode],BranchesTbl[BranchName])</f>
        <v>Eldoret</v>
      </c>
      <c r="Q314">
        <f>_xlfn.XLOOKUP(Loans[[#This Row],[CustomerID]],CustomerTbl[CustomerID],CustomerTbl[RiskScore])</f>
        <v>571</v>
      </c>
      <c r="R314" t="str">
        <f>IFERROR(INDEX(RiskTbl[Risk_Category],MATCH(Loans[[#This Row],[RiskScore]],RiskTbl[Score_Min],1)),"Unknown")</f>
        <v>High Risk</v>
      </c>
      <c r="S314" t="str">
        <f>IF(OR(Loans[[#This Row],[LoanStatus]]="Default",Loans[[#This Row],[LoanStatus]]="Watchlist",Loans[[#This Row],[CollateralRisk]]="Undersecured",Loans[[#This Row],[RiskCategory]]="High Risk"),"High Risk Exposure","Normal")</f>
        <v>High Risk Exposure</v>
      </c>
      <c r="T314" t="str" cm="1">
        <f t="array" ref="T314">_xlfn.IFS(
Loans[[#This Row],[LoanStatus]]="Default","Critical",
OR(Loans[[#This Row],[LoanStatus]]="Watchlist",Loans[[#This Row],[CollateralRisk]]="Undersecured",Loans[[#This Row],[RiskCategory]]="High Risk"),"High",
TRUE,"Normal"
)</f>
        <v>High</v>
      </c>
    </row>
    <row r="315" spans="1:20" x14ac:dyDescent="0.35">
      <c r="A315" t="s">
        <v>746</v>
      </c>
      <c r="B315" t="s">
        <v>747</v>
      </c>
      <c r="C315" t="s">
        <v>184</v>
      </c>
      <c r="D315" t="s">
        <v>158</v>
      </c>
      <c r="E315" s="34">
        <v>500000</v>
      </c>
      <c r="F315" s="29">
        <v>0.17230000000000001</v>
      </c>
      <c r="G315" s="30">
        <v>44637</v>
      </c>
      <c r="H315">
        <v>60</v>
      </c>
      <c r="I315">
        <v>20</v>
      </c>
      <c r="J315" s="34">
        <v>515000</v>
      </c>
      <c r="K315" t="s">
        <v>171</v>
      </c>
      <c r="L315" s="34">
        <f>PMT(Loans[[#This Row],[InterestRate]]/12,Loans[[#This Row],[LoanTenureMonths]],-Loans[[#This Row],[LoanAmount]])</f>
        <v>12488.206518499424</v>
      </c>
      <c r="M315" s="30">
        <f>EDATE(Loans[[#This Row],[LoanStartDate]],Loans[[#This Row],[LoanTenureMonths]])</f>
        <v>46463</v>
      </c>
      <c r="N315" s="33">
        <f>IF(Loans[[#This Row],[LoanAmount]]=0,0,Loans[[#This Row],[CollateralValue]]/Loans[[#This Row],[LoanAmount]])</f>
        <v>1.03</v>
      </c>
      <c r="O315" t="str">
        <f>IF(Loans[[#This Row],[CollateralCoverageRatio]]&lt;1,"Undersecured","Secured")</f>
        <v>Secured</v>
      </c>
      <c r="P315" t="str">
        <f>_xlfn.XLOOKUP(Loans[[#This Row],[BranchCode]],BranchesTbl[BranchCode],BranchesTbl[BranchName])</f>
        <v>Kisumu</v>
      </c>
      <c r="Q315">
        <f>_xlfn.XLOOKUP(Loans[[#This Row],[CustomerID]],CustomerTbl[CustomerID],CustomerTbl[RiskScore])</f>
        <v>734</v>
      </c>
      <c r="R315" t="str">
        <f>IFERROR(INDEX(RiskTbl[Risk_Category],MATCH(Loans[[#This Row],[RiskScore]],RiskTbl[Score_Min],1)),"Unknown")</f>
        <v>Low Risk</v>
      </c>
      <c r="S315" t="str">
        <f>IF(OR(Loans[[#This Row],[LoanStatus]]="Default",Loans[[#This Row],[LoanStatus]]="Watchlist",Loans[[#This Row],[CollateralRisk]]="Undersecured",Loans[[#This Row],[RiskCategory]]="High Risk"),"High Risk Exposure","Normal")</f>
        <v>Normal</v>
      </c>
      <c r="T315" t="str" cm="1">
        <f t="array" ref="T315">_xlfn.IFS(
Loans[[#This Row],[LoanStatus]]="Default","Critical",
OR(Loans[[#This Row],[LoanStatus]]="Watchlist",Loans[[#This Row],[CollateralRisk]]="Undersecured",Loans[[#This Row],[RiskCategory]]="High Risk"),"High",
TRUE,"Normal"
)</f>
        <v>Normal</v>
      </c>
    </row>
    <row r="316" spans="1:20" x14ac:dyDescent="0.35">
      <c r="A316" t="s">
        <v>748</v>
      </c>
      <c r="B316" t="s">
        <v>749</v>
      </c>
      <c r="C316" t="s">
        <v>174</v>
      </c>
      <c r="D316" t="s">
        <v>155</v>
      </c>
      <c r="E316" s="34">
        <v>250000</v>
      </c>
      <c r="F316" s="29">
        <v>0.2127</v>
      </c>
      <c r="G316" s="30">
        <v>45072</v>
      </c>
      <c r="H316">
        <v>36</v>
      </c>
      <c r="I316">
        <v>0</v>
      </c>
      <c r="J316" s="34">
        <v>0</v>
      </c>
      <c r="K316" t="s">
        <v>171</v>
      </c>
      <c r="L316" s="34">
        <f>PMT(Loans[[#This Row],[InterestRate]]/12,Loans[[#This Row],[LoanTenureMonths]],-Loans[[#This Row],[LoanAmount]])</f>
        <v>9453.459445293729</v>
      </c>
      <c r="M316" s="30">
        <f>EDATE(Loans[[#This Row],[LoanStartDate]],Loans[[#This Row],[LoanTenureMonths]])</f>
        <v>46168</v>
      </c>
      <c r="N316" s="33">
        <f>IF(Loans[[#This Row],[LoanAmount]]=0,0,Loans[[#This Row],[CollateralValue]]/Loans[[#This Row],[LoanAmount]])</f>
        <v>0</v>
      </c>
      <c r="O316" t="str">
        <f>IF(Loans[[#This Row],[CollateralCoverageRatio]]&lt;1,"Undersecured","Secured")</f>
        <v>Undersecured</v>
      </c>
      <c r="P316" t="str">
        <f>_xlfn.XLOOKUP(Loans[[#This Row],[BranchCode]],BranchesTbl[BranchCode],BranchesTbl[BranchName])</f>
        <v>Westlands</v>
      </c>
      <c r="Q316">
        <f>_xlfn.XLOOKUP(Loans[[#This Row],[CustomerID]],CustomerTbl[CustomerID],CustomerTbl[RiskScore])</f>
        <v>841</v>
      </c>
      <c r="R316" t="str">
        <f>IFERROR(INDEX(RiskTbl[Risk_Category],MATCH(Loans[[#This Row],[RiskScore]],RiskTbl[Score_Min],1)),"Unknown")</f>
        <v>Prime</v>
      </c>
      <c r="S316" t="str">
        <f>IF(OR(Loans[[#This Row],[LoanStatus]]="Default",Loans[[#This Row],[LoanStatus]]="Watchlist",Loans[[#This Row],[CollateralRisk]]="Undersecured",Loans[[#This Row],[RiskCategory]]="High Risk"),"High Risk Exposure","Normal")</f>
        <v>High Risk Exposure</v>
      </c>
      <c r="T316" t="str" cm="1">
        <f t="array" ref="T316">_xlfn.IFS(
Loans[[#This Row],[LoanStatus]]="Default","Critical",
OR(Loans[[#This Row],[LoanStatus]]="Watchlist",Loans[[#This Row],[CollateralRisk]]="Undersecured",Loans[[#This Row],[RiskCategory]]="High Risk"),"High",
TRUE,"Normal"
)</f>
        <v>High</v>
      </c>
    </row>
    <row r="317" spans="1:20" x14ac:dyDescent="0.35">
      <c r="A317" t="s">
        <v>750</v>
      </c>
      <c r="B317" t="s">
        <v>751</v>
      </c>
      <c r="C317" t="s">
        <v>267</v>
      </c>
      <c r="D317" t="s">
        <v>157</v>
      </c>
      <c r="E317" s="34">
        <v>25000000</v>
      </c>
      <c r="F317" s="29">
        <v>9.2700000000000005E-2</v>
      </c>
      <c r="G317" s="30">
        <v>44101</v>
      </c>
      <c r="H317">
        <v>60</v>
      </c>
      <c r="I317">
        <v>120</v>
      </c>
      <c r="J317" s="34">
        <v>22500000</v>
      </c>
      <c r="K317" t="s">
        <v>178</v>
      </c>
      <c r="L317" s="34">
        <f>PMT(Loans[[#This Row],[InterestRate]]/12,Loans[[#This Row],[LoanTenureMonths]],-Loans[[#This Row],[LoanAmount]])</f>
        <v>522240.99724897899</v>
      </c>
      <c r="M317" s="30">
        <f>EDATE(Loans[[#This Row],[LoanStartDate]],Loans[[#This Row],[LoanTenureMonths]])</f>
        <v>45927</v>
      </c>
      <c r="N317" s="33">
        <f>IF(Loans[[#This Row],[LoanAmount]]=0,0,Loans[[#This Row],[CollateralValue]]/Loans[[#This Row],[LoanAmount]])</f>
        <v>0.9</v>
      </c>
      <c r="O317" t="str">
        <f>IF(Loans[[#This Row],[CollateralCoverageRatio]]&lt;1,"Undersecured","Secured")</f>
        <v>Undersecured</v>
      </c>
      <c r="P317" t="str">
        <f>_xlfn.XLOOKUP(Loans[[#This Row],[BranchCode]],BranchesTbl[BranchCode],BranchesTbl[BranchName])</f>
        <v>Malindi</v>
      </c>
      <c r="Q317">
        <f>_xlfn.XLOOKUP(Loans[[#This Row],[CustomerID]],CustomerTbl[CustomerID],CustomerTbl[RiskScore])</f>
        <v>595</v>
      </c>
      <c r="R317" t="str">
        <f>IFERROR(INDEX(RiskTbl[Risk_Category],MATCH(Loans[[#This Row],[RiskScore]],RiskTbl[Score_Min],1)),"Unknown")</f>
        <v>Medium Risk</v>
      </c>
      <c r="S317" t="str">
        <f>IF(OR(Loans[[#This Row],[LoanStatus]]="Default",Loans[[#This Row],[LoanStatus]]="Watchlist",Loans[[#This Row],[CollateralRisk]]="Undersecured",Loans[[#This Row],[RiskCategory]]="High Risk"),"High Risk Exposure","Normal")</f>
        <v>High Risk Exposure</v>
      </c>
      <c r="T317" t="str" cm="1">
        <f t="array" ref="T317">_xlfn.IFS(
Loans[[#This Row],[LoanStatus]]="Default","Critical",
OR(Loans[[#This Row],[LoanStatus]]="Watchlist",Loans[[#This Row],[CollateralRisk]]="Undersecured",Loans[[#This Row],[RiskCategory]]="High Risk"),"High",
TRUE,"Normal"
)</f>
        <v>Critical</v>
      </c>
    </row>
    <row r="318" spans="1:20" x14ac:dyDescent="0.35">
      <c r="A318" t="s">
        <v>752</v>
      </c>
      <c r="B318" t="s">
        <v>728</v>
      </c>
      <c r="C318" t="s">
        <v>232</v>
      </c>
      <c r="D318" t="s">
        <v>157</v>
      </c>
      <c r="E318" s="34">
        <v>6000000</v>
      </c>
      <c r="F318" s="29">
        <v>0.12139999999999999</v>
      </c>
      <c r="G318" s="30">
        <v>44212</v>
      </c>
      <c r="H318">
        <v>36</v>
      </c>
      <c r="I318">
        <v>5</v>
      </c>
      <c r="J318" s="34">
        <v>5220000</v>
      </c>
      <c r="K318" t="s">
        <v>171</v>
      </c>
      <c r="L318" s="34">
        <f>PMT(Loans[[#This Row],[InterestRate]]/12,Loans[[#This Row],[LoanTenureMonths]],-Loans[[#This Row],[LoanAmount]])</f>
        <v>199687.29751028059</v>
      </c>
      <c r="M318" s="30">
        <f>EDATE(Loans[[#This Row],[LoanStartDate]],Loans[[#This Row],[LoanTenureMonths]])</f>
        <v>45307</v>
      </c>
      <c r="N318" s="33">
        <f>IF(Loans[[#This Row],[LoanAmount]]=0,0,Loans[[#This Row],[CollateralValue]]/Loans[[#This Row],[LoanAmount]])</f>
        <v>0.87</v>
      </c>
      <c r="O318" t="str">
        <f>IF(Loans[[#This Row],[CollateralCoverageRatio]]&lt;1,"Undersecured","Secured")</f>
        <v>Undersecured</v>
      </c>
      <c r="P318" t="str">
        <f>_xlfn.XLOOKUP(Loans[[#This Row],[BranchCode]],BranchesTbl[BranchCode],BranchesTbl[BranchName])</f>
        <v>Upper Hill</v>
      </c>
      <c r="Q318">
        <f>_xlfn.XLOOKUP(Loans[[#This Row],[CustomerID]],CustomerTbl[CustomerID],CustomerTbl[RiskScore])</f>
        <v>811</v>
      </c>
      <c r="R318" t="str">
        <f>IFERROR(INDEX(RiskTbl[Risk_Category],MATCH(Loans[[#This Row],[RiskScore]],RiskTbl[Score_Min],1)),"Unknown")</f>
        <v>Prime</v>
      </c>
      <c r="S318" t="str">
        <f>IF(OR(Loans[[#This Row],[LoanStatus]]="Default",Loans[[#This Row],[LoanStatus]]="Watchlist",Loans[[#This Row],[CollateralRisk]]="Undersecured",Loans[[#This Row],[RiskCategory]]="High Risk"),"High Risk Exposure","Normal")</f>
        <v>High Risk Exposure</v>
      </c>
      <c r="T318" t="str" cm="1">
        <f t="array" ref="T318">_xlfn.IFS(
Loans[[#This Row],[LoanStatus]]="Default","Critical",
OR(Loans[[#This Row],[LoanStatus]]="Watchlist",Loans[[#This Row],[CollateralRisk]]="Undersecured",Loans[[#This Row],[RiskCategory]]="High Risk"),"High",
TRUE,"Normal"
)</f>
        <v>High</v>
      </c>
    </row>
    <row r="319" spans="1:20" x14ac:dyDescent="0.35">
      <c r="A319" t="s">
        <v>753</v>
      </c>
      <c r="B319" t="s">
        <v>754</v>
      </c>
      <c r="C319" t="s">
        <v>206</v>
      </c>
      <c r="D319" t="s">
        <v>156</v>
      </c>
      <c r="E319" s="34">
        <v>6000000</v>
      </c>
      <c r="F319" s="29">
        <v>0.1762</v>
      </c>
      <c r="G319" s="30">
        <v>45798</v>
      </c>
      <c r="H319">
        <v>48</v>
      </c>
      <c r="I319">
        <v>10</v>
      </c>
      <c r="J319" s="34">
        <v>8880000</v>
      </c>
      <c r="K319" t="s">
        <v>171</v>
      </c>
      <c r="L319" s="34">
        <f>PMT(Loans[[#This Row],[InterestRate]]/12,Loans[[#This Row],[LoanTenureMonths]],-Loans[[#This Row],[LoanAmount]])</f>
        <v>175060.83560595257</v>
      </c>
      <c r="M319" s="30">
        <f>EDATE(Loans[[#This Row],[LoanStartDate]],Loans[[#This Row],[LoanTenureMonths]])</f>
        <v>47259</v>
      </c>
      <c r="N319" s="33">
        <f>IF(Loans[[#This Row],[LoanAmount]]=0,0,Loans[[#This Row],[CollateralValue]]/Loans[[#This Row],[LoanAmount]])</f>
        <v>1.48</v>
      </c>
      <c r="O319" t="str">
        <f>IF(Loans[[#This Row],[CollateralCoverageRatio]]&lt;1,"Undersecured","Secured")</f>
        <v>Secured</v>
      </c>
      <c r="P319" t="str">
        <f>_xlfn.XLOOKUP(Loans[[#This Row],[BranchCode]],BranchesTbl[BranchCode],BranchesTbl[BranchName])</f>
        <v>Nyahururu</v>
      </c>
      <c r="Q319">
        <f>_xlfn.XLOOKUP(Loans[[#This Row],[CustomerID]],CustomerTbl[CustomerID],CustomerTbl[RiskScore])</f>
        <v>663</v>
      </c>
      <c r="R319" t="str">
        <f>IFERROR(INDEX(RiskTbl[Risk_Category],MATCH(Loans[[#This Row],[RiskScore]],RiskTbl[Score_Min],1)),"Unknown")</f>
        <v>Medium Risk</v>
      </c>
      <c r="S319" t="str">
        <f>IF(OR(Loans[[#This Row],[LoanStatus]]="Default",Loans[[#This Row],[LoanStatus]]="Watchlist",Loans[[#This Row],[CollateralRisk]]="Undersecured",Loans[[#This Row],[RiskCategory]]="High Risk"),"High Risk Exposure","Normal")</f>
        <v>Normal</v>
      </c>
      <c r="T319" t="str" cm="1">
        <f t="array" ref="T319">_xlfn.IFS(
Loans[[#This Row],[LoanStatus]]="Default","Critical",
OR(Loans[[#This Row],[LoanStatus]]="Watchlist",Loans[[#This Row],[CollateralRisk]]="Undersecured",Loans[[#This Row],[RiskCategory]]="High Risk"),"High",
TRUE,"Normal"
)</f>
        <v>Normal</v>
      </c>
    </row>
    <row r="320" spans="1:20" x14ac:dyDescent="0.35">
      <c r="A320" t="s">
        <v>755</v>
      </c>
      <c r="B320" t="s">
        <v>756</v>
      </c>
      <c r="C320" t="s">
        <v>206</v>
      </c>
      <c r="D320" t="s">
        <v>158</v>
      </c>
      <c r="E320" s="34">
        <v>6000000</v>
      </c>
      <c r="F320" s="29">
        <v>0.19189999999999999</v>
      </c>
      <c r="G320" s="30">
        <v>45804</v>
      </c>
      <c r="H320">
        <v>36</v>
      </c>
      <c r="I320">
        <v>120</v>
      </c>
      <c r="J320" s="34">
        <v>4500000</v>
      </c>
      <c r="K320" t="s">
        <v>178</v>
      </c>
      <c r="L320" s="34">
        <f>PMT(Loans[[#This Row],[InterestRate]]/12,Loans[[#This Row],[LoanTenureMonths]],-Loans[[#This Row],[LoanAmount]])</f>
        <v>220512.92706548003</v>
      </c>
      <c r="M320" s="30">
        <f>EDATE(Loans[[#This Row],[LoanStartDate]],Loans[[#This Row],[LoanTenureMonths]])</f>
        <v>46900</v>
      </c>
      <c r="N320" s="33">
        <f>IF(Loans[[#This Row],[LoanAmount]]=0,0,Loans[[#This Row],[CollateralValue]]/Loans[[#This Row],[LoanAmount]])</f>
        <v>0.75</v>
      </c>
      <c r="O320" t="str">
        <f>IF(Loans[[#This Row],[CollateralCoverageRatio]]&lt;1,"Undersecured","Secured")</f>
        <v>Undersecured</v>
      </c>
      <c r="P320" t="str">
        <f>_xlfn.XLOOKUP(Loans[[#This Row],[BranchCode]],BranchesTbl[BranchCode],BranchesTbl[BranchName])</f>
        <v>Nyahururu</v>
      </c>
      <c r="Q320">
        <f>_xlfn.XLOOKUP(Loans[[#This Row],[CustomerID]],CustomerTbl[CustomerID],CustomerTbl[RiskScore])</f>
        <v>417</v>
      </c>
      <c r="R320" t="str">
        <f>IFERROR(INDEX(RiskTbl[Risk_Category],MATCH(Loans[[#This Row],[RiskScore]],RiskTbl[Score_Min],1)),"Unknown")</f>
        <v>High Risk</v>
      </c>
      <c r="S320" t="str">
        <f>IF(OR(Loans[[#This Row],[LoanStatus]]="Default",Loans[[#This Row],[LoanStatus]]="Watchlist",Loans[[#This Row],[CollateralRisk]]="Undersecured",Loans[[#This Row],[RiskCategory]]="High Risk"),"High Risk Exposure","Normal")</f>
        <v>High Risk Exposure</v>
      </c>
      <c r="T320" t="str" cm="1">
        <f t="array" ref="T320">_xlfn.IFS(
Loans[[#This Row],[LoanStatus]]="Default","Critical",
OR(Loans[[#This Row],[LoanStatus]]="Watchlist",Loans[[#This Row],[CollateralRisk]]="Undersecured",Loans[[#This Row],[RiskCategory]]="High Risk"),"High",
TRUE,"Normal"
)</f>
        <v>Critical</v>
      </c>
    </row>
    <row r="321" spans="1:20" x14ac:dyDescent="0.35">
      <c r="A321" t="s">
        <v>757</v>
      </c>
      <c r="B321" t="s">
        <v>758</v>
      </c>
      <c r="C321" t="s">
        <v>193</v>
      </c>
      <c r="D321" t="s">
        <v>158</v>
      </c>
      <c r="E321" s="34">
        <v>1000000</v>
      </c>
      <c r="F321" s="29">
        <v>0.1231</v>
      </c>
      <c r="G321" s="30">
        <v>44322</v>
      </c>
      <c r="H321">
        <v>48</v>
      </c>
      <c r="I321">
        <v>10</v>
      </c>
      <c r="J321" s="34">
        <v>780000</v>
      </c>
      <c r="K321" t="s">
        <v>171</v>
      </c>
      <c r="L321" s="34">
        <f>PMT(Loans[[#This Row],[InterestRate]]/12,Loans[[#This Row],[LoanTenureMonths]],-Loans[[#This Row],[LoanAmount]])</f>
        <v>26486.299499934456</v>
      </c>
      <c r="M321" s="30">
        <f>EDATE(Loans[[#This Row],[LoanStartDate]],Loans[[#This Row],[LoanTenureMonths]])</f>
        <v>45783</v>
      </c>
      <c r="N321" s="33">
        <f>IF(Loans[[#This Row],[LoanAmount]]=0,0,Loans[[#This Row],[CollateralValue]]/Loans[[#This Row],[LoanAmount]])</f>
        <v>0.78</v>
      </c>
      <c r="O321" t="str">
        <f>IF(Loans[[#This Row],[CollateralCoverageRatio]]&lt;1,"Undersecured","Secured")</f>
        <v>Undersecured</v>
      </c>
      <c r="P321" t="str">
        <f>_xlfn.XLOOKUP(Loans[[#This Row],[BranchCode]],BranchesTbl[BranchCode],BranchesTbl[BranchName])</f>
        <v>Mombasa</v>
      </c>
      <c r="Q321">
        <f>_xlfn.XLOOKUP(Loans[[#This Row],[CustomerID]],CustomerTbl[CustomerID],CustomerTbl[RiskScore])</f>
        <v>702</v>
      </c>
      <c r="R321" t="str">
        <f>IFERROR(INDEX(RiskTbl[Risk_Category],MATCH(Loans[[#This Row],[RiskScore]],RiskTbl[Score_Min],1)),"Unknown")</f>
        <v>Low Risk</v>
      </c>
      <c r="S321" t="str">
        <f>IF(OR(Loans[[#This Row],[LoanStatus]]="Default",Loans[[#This Row],[LoanStatus]]="Watchlist",Loans[[#This Row],[CollateralRisk]]="Undersecured",Loans[[#This Row],[RiskCategory]]="High Risk"),"High Risk Exposure","Normal")</f>
        <v>High Risk Exposure</v>
      </c>
      <c r="T321" t="str" cm="1">
        <f t="array" ref="T321">_xlfn.IFS(
Loans[[#This Row],[LoanStatus]]="Default","Critical",
OR(Loans[[#This Row],[LoanStatus]]="Watchlist",Loans[[#This Row],[CollateralRisk]]="Undersecured",Loans[[#This Row],[RiskCategory]]="High Risk"),"High",
TRUE,"Normal"
)</f>
        <v>High</v>
      </c>
    </row>
    <row r="322" spans="1:20" x14ac:dyDescent="0.35">
      <c r="A322" t="s">
        <v>759</v>
      </c>
      <c r="B322" t="s">
        <v>728</v>
      </c>
      <c r="C322" t="s">
        <v>184</v>
      </c>
      <c r="D322" t="s">
        <v>157</v>
      </c>
      <c r="E322" s="34">
        <v>25000000</v>
      </c>
      <c r="F322" s="29">
        <v>0.1014</v>
      </c>
      <c r="G322" s="30">
        <v>45195</v>
      </c>
      <c r="H322">
        <v>36</v>
      </c>
      <c r="I322">
        <v>0</v>
      </c>
      <c r="J322" s="34">
        <v>30250000</v>
      </c>
      <c r="K322" t="s">
        <v>171</v>
      </c>
      <c r="L322" s="34">
        <f>PMT(Loans[[#This Row],[InterestRate]]/12,Loans[[#This Row],[LoanTenureMonths]],-Loans[[#This Row],[LoanAmount]])</f>
        <v>808323.90815428994</v>
      </c>
      <c r="M322" s="30">
        <f>EDATE(Loans[[#This Row],[LoanStartDate]],Loans[[#This Row],[LoanTenureMonths]])</f>
        <v>46291</v>
      </c>
      <c r="N322" s="33">
        <f>IF(Loans[[#This Row],[LoanAmount]]=0,0,Loans[[#This Row],[CollateralValue]]/Loans[[#This Row],[LoanAmount]])</f>
        <v>1.21</v>
      </c>
      <c r="O322" t="str">
        <f>IF(Loans[[#This Row],[CollateralCoverageRatio]]&lt;1,"Undersecured","Secured")</f>
        <v>Secured</v>
      </c>
      <c r="P322" t="str">
        <f>_xlfn.XLOOKUP(Loans[[#This Row],[BranchCode]],BranchesTbl[BranchCode],BranchesTbl[BranchName])</f>
        <v>Kisumu</v>
      </c>
      <c r="Q322">
        <f>_xlfn.XLOOKUP(Loans[[#This Row],[CustomerID]],CustomerTbl[CustomerID],CustomerTbl[RiskScore])</f>
        <v>811</v>
      </c>
      <c r="R322" t="str">
        <f>IFERROR(INDEX(RiskTbl[Risk_Category],MATCH(Loans[[#This Row],[RiskScore]],RiskTbl[Score_Min],1)),"Unknown")</f>
        <v>Prime</v>
      </c>
      <c r="S322" t="str">
        <f>IF(OR(Loans[[#This Row],[LoanStatus]]="Default",Loans[[#This Row],[LoanStatus]]="Watchlist",Loans[[#This Row],[CollateralRisk]]="Undersecured",Loans[[#This Row],[RiskCategory]]="High Risk"),"High Risk Exposure","Normal")</f>
        <v>Normal</v>
      </c>
      <c r="T322" t="str" cm="1">
        <f t="array" ref="T322">_xlfn.IFS(
Loans[[#This Row],[LoanStatus]]="Default","Critical",
OR(Loans[[#This Row],[LoanStatus]]="Watchlist",Loans[[#This Row],[CollateralRisk]]="Undersecured",Loans[[#This Row],[RiskCategory]]="High Risk"),"High",
TRUE,"Normal"
)</f>
        <v>Normal</v>
      </c>
    </row>
    <row r="323" spans="1:20" x14ac:dyDescent="0.35">
      <c r="A323" t="s">
        <v>760</v>
      </c>
      <c r="B323" t="s">
        <v>761</v>
      </c>
      <c r="C323" t="s">
        <v>219</v>
      </c>
      <c r="D323" t="s">
        <v>156</v>
      </c>
      <c r="E323" s="34">
        <v>25000000</v>
      </c>
      <c r="F323" s="29">
        <v>0.2326</v>
      </c>
      <c r="G323" s="30">
        <v>45941</v>
      </c>
      <c r="H323">
        <v>24</v>
      </c>
      <c r="I323">
        <v>0</v>
      </c>
      <c r="J323" s="34">
        <v>32750000</v>
      </c>
      <c r="K323" t="s">
        <v>171</v>
      </c>
      <c r="L323" s="34">
        <f>PMT(Loans[[#This Row],[InterestRate]]/12,Loans[[#This Row],[LoanTenureMonths]],-Loans[[#This Row],[LoanAmount]])</f>
        <v>1312561.9529095476</v>
      </c>
      <c r="M323" s="30">
        <f>EDATE(Loans[[#This Row],[LoanStartDate]],Loans[[#This Row],[LoanTenureMonths]])</f>
        <v>46671</v>
      </c>
      <c r="N323" s="33">
        <f>IF(Loans[[#This Row],[LoanAmount]]=0,0,Loans[[#This Row],[CollateralValue]]/Loans[[#This Row],[LoanAmount]])</f>
        <v>1.31</v>
      </c>
      <c r="O323" t="str">
        <f>IF(Loans[[#This Row],[CollateralCoverageRatio]]&lt;1,"Undersecured","Secured")</f>
        <v>Secured</v>
      </c>
      <c r="P323" t="str">
        <f>_xlfn.XLOOKUP(Loans[[#This Row],[BranchCode]],BranchesTbl[BranchCode],BranchesTbl[BranchName])</f>
        <v>Meru</v>
      </c>
      <c r="Q323">
        <f>_xlfn.XLOOKUP(Loans[[#This Row],[CustomerID]],CustomerTbl[CustomerID],CustomerTbl[RiskScore])</f>
        <v>461</v>
      </c>
      <c r="R323" t="str">
        <f>IFERROR(INDEX(RiskTbl[Risk_Category],MATCH(Loans[[#This Row],[RiskScore]],RiskTbl[Score_Min],1)),"Unknown")</f>
        <v>High Risk</v>
      </c>
      <c r="S323" t="str">
        <f>IF(OR(Loans[[#This Row],[LoanStatus]]="Default",Loans[[#This Row],[LoanStatus]]="Watchlist",Loans[[#This Row],[CollateralRisk]]="Undersecured",Loans[[#This Row],[RiskCategory]]="High Risk"),"High Risk Exposure","Normal")</f>
        <v>High Risk Exposure</v>
      </c>
      <c r="T323" t="str" cm="1">
        <f t="array" ref="T323">_xlfn.IFS(
Loans[[#This Row],[LoanStatus]]="Default","Critical",
OR(Loans[[#This Row],[LoanStatus]]="Watchlist",Loans[[#This Row],[CollateralRisk]]="Undersecured",Loans[[#This Row],[RiskCategory]]="High Risk"),"High",
TRUE,"Normal"
)</f>
        <v>High</v>
      </c>
    </row>
    <row r="324" spans="1:20" x14ac:dyDescent="0.35">
      <c r="A324" t="s">
        <v>762</v>
      </c>
      <c r="B324" t="s">
        <v>763</v>
      </c>
      <c r="C324" t="s">
        <v>239</v>
      </c>
      <c r="D324" t="s">
        <v>158</v>
      </c>
      <c r="E324" s="34">
        <v>1000000</v>
      </c>
      <c r="F324" s="29">
        <v>0.16200000000000001</v>
      </c>
      <c r="G324" s="30">
        <v>44531</v>
      </c>
      <c r="H324">
        <v>48</v>
      </c>
      <c r="I324">
        <v>120</v>
      </c>
      <c r="J324" s="34">
        <v>610000</v>
      </c>
      <c r="K324" t="s">
        <v>178</v>
      </c>
      <c r="L324" s="34">
        <f>PMT(Loans[[#This Row],[InterestRate]]/12,Loans[[#This Row],[LoanTenureMonths]],-Loans[[#This Row],[LoanAmount]])</f>
        <v>28442.815830082243</v>
      </c>
      <c r="M324" s="30">
        <f>EDATE(Loans[[#This Row],[LoanStartDate]],Loans[[#This Row],[LoanTenureMonths]])</f>
        <v>45992</v>
      </c>
      <c r="N324" s="33">
        <f>IF(Loans[[#This Row],[LoanAmount]]=0,0,Loans[[#This Row],[CollateralValue]]/Loans[[#This Row],[LoanAmount]])</f>
        <v>0.61</v>
      </c>
      <c r="O324" t="str">
        <f>IF(Loans[[#This Row],[CollateralCoverageRatio]]&lt;1,"Undersecured","Secured")</f>
        <v>Undersecured</v>
      </c>
      <c r="P324" t="str">
        <f>_xlfn.XLOOKUP(Loans[[#This Row],[BranchCode]],BranchesTbl[BranchCode],BranchesTbl[BranchName])</f>
        <v>Machakos</v>
      </c>
      <c r="Q324">
        <f>_xlfn.XLOOKUP(Loans[[#This Row],[CustomerID]],CustomerTbl[CustomerID],CustomerTbl[RiskScore])</f>
        <v>303</v>
      </c>
      <c r="R324" t="str">
        <f>IFERROR(INDEX(RiskTbl[Risk_Category],MATCH(Loans[[#This Row],[RiskScore]],RiskTbl[Score_Min],1)),"Unknown")</f>
        <v>High Risk</v>
      </c>
      <c r="S324" t="str">
        <f>IF(OR(Loans[[#This Row],[LoanStatus]]="Default",Loans[[#This Row],[LoanStatus]]="Watchlist",Loans[[#This Row],[CollateralRisk]]="Undersecured",Loans[[#This Row],[RiskCategory]]="High Risk"),"High Risk Exposure","Normal")</f>
        <v>High Risk Exposure</v>
      </c>
      <c r="T324" t="str" cm="1">
        <f t="array" ref="T324">_xlfn.IFS(
Loans[[#This Row],[LoanStatus]]="Default","Critical",
OR(Loans[[#This Row],[LoanStatus]]="Watchlist",Loans[[#This Row],[CollateralRisk]]="Undersecured",Loans[[#This Row],[RiskCategory]]="High Risk"),"High",
TRUE,"Normal"
)</f>
        <v>Critical</v>
      </c>
    </row>
    <row r="325" spans="1:20" x14ac:dyDescent="0.35">
      <c r="A325" t="s">
        <v>764</v>
      </c>
      <c r="B325" t="s">
        <v>765</v>
      </c>
      <c r="C325" t="s">
        <v>270</v>
      </c>
      <c r="D325" t="s">
        <v>158</v>
      </c>
      <c r="E325" s="34">
        <v>500000</v>
      </c>
      <c r="F325" s="29">
        <v>0.1598</v>
      </c>
      <c r="G325" s="30">
        <v>44976</v>
      </c>
      <c r="H325">
        <v>60</v>
      </c>
      <c r="I325">
        <v>0</v>
      </c>
      <c r="J325" s="34">
        <v>610000</v>
      </c>
      <c r="K325" t="s">
        <v>171</v>
      </c>
      <c r="L325" s="34">
        <f>PMT(Loans[[#This Row],[InterestRate]]/12,Loans[[#This Row],[LoanTenureMonths]],-Loans[[#This Row],[LoanAmount]])</f>
        <v>12153.71587331135</v>
      </c>
      <c r="M325" s="30">
        <f>EDATE(Loans[[#This Row],[LoanStartDate]],Loans[[#This Row],[LoanTenureMonths]])</f>
        <v>46802</v>
      </c>
      <c r="N325" s="33">
        <f>IF(Loans[[#This Row],[LoanAmount]]=0,0,Loans[[#This Row],[CollateralValue]]/Loans[[#This Row],[LoanAmount]])</f>
        <v>1.22</v>
      </c>
      <c r="O325" t="str">
        <f>IF(Loans[[#This Row],[CollateralCoverageRatio]]&lt;1,"Undersecured","Secured")</f>
        <v>Secured</v>
      </c>
      <c r="P325" t="str">
        <f>_xlfn.XLOOKUP(Loans[[#This Row],[BranchCode]],BranchesTbl[BranchCode],BranchesTbl[BranchName])</f>
        <v>Nakuru</v>
      </c>
      <c r="Q325">
        <f>_xlfn.XLOOKUP(Loans[[#This Row],[CustomerID]],CustomerTbl[CustomerID],CustomerTbl[RiskScore])</f>
        <v>389</v>
      </c>
      <c r="R325" t="str">
        <f>IFERROR(INDEX(RiskTbl[Risk_Category],MATCH(Loans[[#This Row],[RiskScore]],RiskTbl[Score_Min],1)),"Unknown")</f>
        <v>High Risk</v>
      </c>
      <c r="S325" t="str">
        <f>IF(OR(Loans[[#This Row],[LoanStatus]]="Default",Loans[[#This Row],[LoanStatus]]="Watchlist",Loans[[#This Row],[CollateralRisk]]="Undersecured",Loans[[#This Row],[RiskCategory]]="High Risk"),"High Risk Exposure","Normal")</f>
        <v>High Risk Exposure</v>
      </c>
      <c r="T325" t="str" cm="1">
        <f t="array" ref="T325">_xlfn.IFS(
Loans[[#This Row],[LoanStatus]]="Default","Critical",
OR(Loans[[#This Row],[LoanStatus]]="Watchlist",Loans[[#This Row],[CollateralRisk]]="Undersecured",Loans[[#This Row],[RiskCategory]]="High Risk"),"High",
TRUE,"Normal"
)</f>
        <v>High</v>
      </c>
    </row>
    <row r="326" spans="1:20" x14ac:dyDescent="0.35">
      <c r="A326" t="s">
        <v>766</v>
      </c>
      <c r="B326" t="s">
        <v>767</v>
      </c>
      <c r="C326" t="s">
        <v>219</v>
      </c>
      <c r="D326" t="s">
        <v>156</v>
      </c>
      <c r="E326" s="34">
        <v>1000000</v>
      </c>
      <c r="F326" s="29">
        <v>0.20799999999999999</v>
      </c>
      <c r="G326" s="30">
        <v>45592</v>
      </c>
      <c r="H326">
        <v>24</v>
      </c>
      <c r="I326">
        <v>0</v>
      </c>
      <c r="J326" s="34">
        <v>1220000</v>
      </c>
      <c r="K326" t="s">
        <v>171</v>
      </c>
      <c r="L326" s="34">
        <f>PMT(Loans[[#This Row],[InterestRate]]/12,Loans[[#This Row],[LoanTenureMonths]],-Loans[[#This Row],[LoanAmount]])</f>
        <v>51287.468623407825</v>
      </c>
      <c r="M326" s="30">
        <f>EDATE(Loans[[#This Row],[LoanStartDate]],Loans[[#This Row],[LoanTenureMonths]])</f>
        <v>46322</v>
      </c>
      <c r="N326" s="33">
        <f>IF(Loans[[#This Row],[LoanAmount]]=0,0,Loans[[#This Row],[CollateralValue]]/Loans[[#This Row],[LoanAmount]])</f>
        <v>1.22</v>
      </c>
      <c r="O326" t="str">
        <f>IF(Loans[[#This Row],[CollateralCoverageRatio]]&lt;1,"Undersecured","Secured")</f>
        <v>Secured</v>
      </c>
      <c r="P326" t="str">
        <f>_xlfn.XLOOKUP(Loans[[#This Row],[BranchCode]],BranchesTbl[BranchCode],BranchesTbl[BranchName])</f>
        <v>Meru</v>
      </c>
      <c r="Q326">
        <f>_xlfn.XLOOKUP(Loans[[#This Row],[CustomerID]],CustomerTbl[CustomerID],CustomerTbl[RiskScore])</f>
        <v>316</v>
      </c>
      <c r="R326" t="str">
        <f>IFERROR(INDEX(RiskTbl[Risk_Category],MATCH(Loans[[#This Row],[RiskScore]],RiskTbl[Score_Min],1)),"Unknown")</f>
        <v>High Risk</v>
      </c>
      <c r="S326" t="str">
        <f>IF(OR(Loans[[#This Row],[LoanStatus]]="Default",Loans[[#This Row],[LoanStatus]]="Watchlist",Loans[[#This Row],[CollateralRisk]]="Undersecured",Loans[[#This Row],[RiskCategory]]="High Risk"),"High Risk Exposure","Normal")</f>
        <v>High Risk Exposure</v>
      </c>
      <c r="T326" t="str" cm="1">
        <f t="array" ref="T326">_xlfn.IFS(
Loans[[#This Row],[LoanStatus]]="Default","Critical",
OR(Loans[[#This Row],[LoanStatus]]="Watchlist",Loans[[#This Row],[CollateralRisk]]="Undersecured",Loans[[#This Row],[RiskCategory]]="High Risk"),"High",
TRUE,"Normal"
)</f>
        <v>High</v>
      </c>
    </row>
    <row r="327" spans="1:20" x14ac:dyDescent="0.35">
      <c r="A327" t="s">
        <v>768</v>
      </c>
      <c r="B327" t="s">
        <v>661</v>
      </c>
      <c r="C327" t="s">
        <v>232</v>
      </c>
      <c r="D327" t="s">
        <v>156</v>
      </c>
      <c r="E327" s="34">
        <v>25000000</v>
      </c>
      <c r="F327" s="29">
        <v>0.15870000000000001</v>
      </c>
      <c r="G327" s="30">
        <v>45721</v>
      </c>
      <c r="H327">
        <v>60</v>
      </c>
      <c r="I327">
        <v>0</v>
      </c>
      <c r="J327" s="34">
        <v>19000000</v>
      </c>
      <c r="K327" t="s">
        <v>171</v>
      </c>
      <c r="L327" s="34">
        <f>PMT(Loans[[#This Row],[InterestRate]]/12,Loans[[#This Row],[LoanTenureMonths]],-Loans[[#This Row],[LoanAmount]])</f>
        <v>606225.94837779074</v>
      </c>
      <c r="M327" s="30">
        <f>EDATE(Loans[[#This Row],[LoanStartDate]],Loans[[#This Row],[LoanTenureMonths]])</f>
        <v>47547</v>
      </c>
      <c r="N327" s="33">
        <f>IF(Loans[[#This Row],[LoanAmount]]=0,0,Loans[[#This Row],[CollateralValue]]/Loans[[#This Row],[LoanAmount]])</f>
        <v>0.76</v>
      </c>
      <c r="O327" t="str">
        <f>IF(Loans[[#This Row],[CollateralCoverageRatio]]&lt;1,"Undersecured","Secured")</f>
        <v>Undersecured</v>
      </c>
      <c r="P327" t="str">
        <f>_xlfn.XLOOKUP(Loans[[#This Row],[BranchCode]],BranchesTbl[BranchCode],BranchesTbl[BranchName])</f>
        <v>Upper Hill</v>
      </c>
      <c r="Q327">
        <f>_xlfn.XLOOKUP(Loans[[#This Row],[CustomerID]],CustomerTbl[CustomerID],CustomerTbl[RiskScore])</f>
        <v>732</v>
      </c>
      <c r="R327" t="str">
        <f>IFERROR(INDEX(RiskTbl[Risk_Category],MATCH(Loans[[#This Row],[RiskScore]],RiskTbl[Score_Min],1)),"Unknown")</f>
        <v>Low Risk</v>
      </c>
      <c r="S327" t="str">
        <f>IF(OR(Loans[[#This Row],[LoanStatus]]="Default",Loans[[#This Row],[LoanStatus]]="Watchlist",Loans[[#This Row],[CollateralRisk]]="Undersecured",Loans[[#This Row],[RiskCategory]]="High Risk"),"High Risk Exposure","Normal")</f>
        <v>High Risk Exposure</v>
      </c>
      <c r="T327" t="str" cm="1">
        <f t="array" ref="T327">_xlfn.IFS(
Loans[[#This Row],[LoanStatus]]="Default","Critical",
OR(Loans[[#This Row],[LoanStatus]]="Watchlist",Loans[[#This Row],[CollateralRisk]]="Undersecured",Loans[[#This Row],[RiskCategory]]="High Risk"),"High",
TRUE,"Normal"
)</f>
        <v>High</v>
      </c>
    </row>
    <row r="328" spans="1:20" x14ac:dyDescent="0.35">
      <c r="A328" t="s">
        <v>769</v>
      </c>
      <c r="B328" t="s">
        <v>770</v>
      </c>
      <c r="C328" t="s">
        <v>187</v>
      </c>
      <c r="D328" t="s">
        <v>155</v>
      </c>
      <c r="E328" s="34">
        <v>250000</v>
      </c>
      <c r="F328" s="29">
        <v>0.22620000000000001</v>
      </c>
      <c r="G328" s="30">
        <v>45212</v>
      </c>
      <c r="H328">
        <v>60</v>
      </c>
      <c r="I328">
        <v>20</v>
      </c>
      <c r="J328" s="34">
        <v>0</v>
      </c>
      <c r="K328" t="s">
        <v>171</v>
      </c>
      <c r="L328" s="34">
        <f>PMT(Loans[[#This Row],[InterestRate]]/12,Loans[[#This Row],[LoanTenureMonths]],-Loans[[#This Row],[LoanAmount]])</f>
        <v>6993.143882962615</v>
      </c>
      <c r="M328" s="30">
        <f>EDATE(Loans[[#This Row],[LoanStartDate]],Loans[[#This Row],[LoanTenureMonths]])</f>
        <v>47039</v>
      </c>
      <c r="N328" s="33">
        <f>IF(Loans[[#This Row],[LoanAmount]]=0,0,Loans[[#This Row],[CollateralValue]]/Loans[[#This Row],[LoanAmount]])</f>
        <v>0</v>
      </c>
      <c r="O328" t="str">
        <f>IF(Loans[[#This Row],[CollateralCoverageRatio]]&lt;1,"Undersecured","Secured")</f>
        <v>Undersecured</v>
      </c>
      <c r="P328" t="str">
        <f>_xlfn.XLOOKUP(Loans[[#This Row],[BranchCode]],BranchesTbl[BranchCode],BranchesTbl[BranchName])</f>
        <v>Eldoret</v>
      </c>
      <c r="Q328">
        <f>_xlfn.XLOOKUP(Loans[[#This Row],[CustomerID]],CustomerTbl[CustomerID],CustomerTbl[RiskScore])</f>
        <v>633</v>
      </c>
      <c r="R328" t="str">
        <f>IFERROR(INDEX(RiskTbl[Risk_Category],MATCH(Loans[[#This Row],[RiskScore]],RiskTbl[Score_Min],1)),"Unknown")</f>
        <v>Medium Risk</v>
      </c>
      <c r="S328" t="str">
        <f>IF(OR(Loans[[#This Row],[LoanStatus]]="Default",Loans[[#This Row],[LoanStatus]]="Watchlist",Loans[[#This Row],[CollateralRisk]]="Undersecured",Loans[[#This Row],[RiskCategory]]="High Risk"),"High Risk Exposure","Normal")</f>
        <v>High Risk Exposure</v>
      </c>
      <c r="T328" t="str" cm="1">
        <f t="array" ref="T328">_xlfn.IFS(
Loans[[#This Row],[LoanStatus]]="Default","Critical",
OR(Loans[[#This Row],[LoanStatus]]="Watchlist",Loans[[#This Row],[CollateralRisk]]="Undersecured",Loans[[#This Row],[RiskCategory]]="High Risk"),"High",
TRUE,"Normal"
)</f>
        <v>High</v>
      </c>
    </row>
    <row r="329" spans="1:20" x14ac:dyDescent="0.35">
      <c r="A329" t="s">
        <v>771</v>
      </c>
      <c r="B329" t="s">
        <v>772</v>
      </c>
      <c r="C329" t="s">
        <v>190</v>
      </c>
      <c r="D329" t="s">
        <v>155</v>
      </c>
      <c r="E329" s="34">
        <v>100000</v>
      </c>
      <c r="F329" s="29">
        <v>0.2457</v>
      </c>
      <c r="G329" s="30">
        <v>45519</v>
      </c>
      <c r="H329">
        <v>36</v>
      </c>
      <c r="I329">
        <v>0</v>
      </c>
      <c r="J329" s="34">
        <v>0</v>
      </c>
      <c r="K329" t="s">
        <v>171</v>
      </c>
      <c r="L329" s="34">
        <f>PMT(Loans[[#This Row],[InterestRate]]/12,Loans[[#This Row],[LoanTenureMonths]],-Loans[[#This Row],[LoanAmount]])</f>
        <v>3953.2757841572734</v>
      </c>
      <c r="M329" s="30">
        <f>EDATE(Loans[[#This Row],[LoanStartDate]],Loans[[#This Row],[LoanTenureMonths]])</f>
        <v>46614</v>
      </c>
      <c r="N329" s="33">
        <f>IF(Loans[[#This Row],[LoanAmount]]=0,0,Loans[[#This Row],[CollateralValue]]/Loans[[#This Row],[LoanAmount]])</f>
        <v>0</v>
      </c>
      <c r="O329" t="str">
        <f>IF(Loans[[#This Row],[CollateralCoverageRatio]]&lt;1,"Undersecured","Secured")</f>
        <v>Undersecured</v>
      </c>
      <c r="P329" t="str">
        <f>_xlfn.XLOOKUP(Loans[[#This Row],[BranchCode]],BranchesTbl[BranchCode],BranchesTbl[BranchName])</f>
        <v>Nyeri</v>
      </c>
      <c r="Q329">
        <f>_xlfn.XLOOKUP(Loans[[#This Row],[CustomerID]],CustomerTbl[CustomerID],CustomerTbl[RiskScore])</f>
        <v>607</v>
      </c>
      <c r="R329" t="str">
        <f>IFERROR(INDEX(RiskTbl[Risk_Category],MATCH(Loans[[#This Row],[RiskScore]],RiskTbl[Score_Min],1)),"Unknown")</f>
        <v>Medium Risk</v>
      </c>
      <c r="S329" t="str">
        <f>IF(OR(Loans[[#This Row],[LoanStatus]]="Default",Loans[[#This Row],[LoanStatus]]="Watchlist",Loans[[#This Row],[CollateralRisk]]="Undersecured",Loans[[#This Row],[RiskCategory]]="High Risk"),"High Risk Exposure","Normal")</f>
        <v>High Risk Exposure</v>
      </c>
      <c r="T329" t="str" cm="1">
        <f t="array" ref="T329">_xlfn.IFS(
Loans[[#This Row],[LoanStatus]]="Default","Critical",
OR(Loans[[#This Row],[LoanStatus]]="Watchlist",Loans[[#This Row],[CollateralRisk]]="Undersecured",Loans[[#This Row],[RiskCategory]]="High Risk"),"High",
TRUE,"Normal"
)</f>
        <v>High</v>
      </c>
    </row>
    <row r="330" spans="1:20" x14ac:dyDescent="0.35">
      <c r="A330" t="s">
        <v>773</v>
      </c>
      <c r="B330" t="s">
        <v>637</v>
      </c>
      <c r="C330" t="s">
        <v>190</v>
      </c>
      <c r="D330" t="s">
        <v>158</v>
      </c>
      <c r="E330" s="34">
        <v>500000</v>
      </c>
      <c r="F330" s="29">
        <v>0.13950000000000001</v>
      </c>
      <c r="G330" s="30">
        <v>45683</v>
      </c>
      <c r="H330">
        <v>12</v>
      </c>
      <c r="I330">
        <v>5</v>
      </c>
      <c r="J330" s="34">
        <v>470000</v>
      </c>
      <c r="K330" t="s">
        <v>171</v>
      </c>
      <c r="L330" s="34">
        <f>PMT(Loans[[#This Row],[InterestRate]]/12,Loans[[#This Row],[LoanTenureMonths]],-Loans[[#This Row],[LoanAmount]])</f>
        <v>44881.796684820321</v>
      </c>
      <c r="M330" s="30">
        <f>EDATE(Loans[[#This Row],[LoanStartDate]],Loans[[#This Row],[LoanTenureMonths]])</f>
        <v>46048</v>
      </c>
      <c r="N330" s="33">
        <f>IF(Loans[[#This Row],[LoanAmount]]=0,0,Loans[[#This Row],[CollateralValue]]/Loans[[#This Row],[LoanAmount]])</f>
        <v>0.94</v>
      </c>
      <c r="O330" t="str">
        <f>IF(Loans[[#This Row],[CollateralCoverageRatio]]&lt;1,"Undersecured","Secured")</f>
        <v>Undersecured</v>
      </c>
      <c r="P330" t="str">
        <f>_xlfn.XLOOKUP(Loans[[#This Row],[BranchCode]],BranchesTbl[BranchCode],BranchesTbl[BranchName])</f>
        <v>Nyeri</v>
      </c>
      <c r="Q330">
        <f>_xlfn.XLOOKUP(Loans[[#This Row],[CustomerID]],CustomerTbl[CustomerID],CustomerTbl[RiskScore])</f>
        <v>380</v>
      </c>
      <c r="R330" t="str">
        <f>IFERROR(INDEX(RiskTbl[Risk_Category],MATCH(Loans[[#This Row],[RiskScore]],RiskTbl[Score_Min],1)),"Unknown")</f>
        <v>High Risk</v>
      </c>
      <c r="S330" t="str">
        <f>IF(OR(Loans[[#This Row],[LoanStatus]]="Default",Loans[[#This Row],[LoanStatus]]="Watchlist",Loans[[#This Row],[CollateralRisk]]="Undersecured",Loans[[#This Row],[RiskCategory]]="High Risk"),"High Risk Exposure","Normal")</f>
        <v>High Risk Exposure</v>
      </c>
      <c r="T330" t="str" cm="1">
        <f t="array" ref="T330">_xlfn.IFS(
Loans[[#This Row],[LoanStatus]]="Default","Critical",
OR(Loans[[#This Row],[LoanStatus]]="Watchlist",Loans[[#This Row],[CollateralRisk]]="Undersecured",Loans[[#This Row],[RiskCategory]]="High Risk"),"High",
TRUE,"Normal"
)</f>
        <v>High</v>
      </c>
    </row>
    <row r="331" spans="1:20" x14ac:dyDescent="0.35">
      <c r="A331" t="s">
        <v>774</v>
      </c>
      <c r="B331" t="s">
        <v>754</v>
      </c>
      <c r="C331" t="s">
        <v>219</v>
      </c>
      <c r="D331" t="s">
        <v>156</v>
      </c>
      <c r="E331" s="34">
        <v>3000000</v>
      </c>
      <c r="F331" s="29">
        <v>0.17799999999999999</v>
      </c>
      <c r="G331" s="30">
        <v>45241</v>
      </c>
      <c r="H331">
        <v>72</v>
      </c>
      <c r="I331">
        <v>10</v>
      </c>
      <c r="J331" s="34">
        <v>2220000</v>
      </c>
      <c r="K331" t="s">
        <v>171</v>
      </c>
      <c r="L331" s="34">
        <f>PMT(Loans[[#This Row],[InterestRate]]/12,Loans[[#This Row],[LoanTenureMonths]],-Loans[[#This Row],[LoanAmount]])</f>
        <v>68084.622524017555</v>
      </c>
      <c r="M331" s="30">
        <f>EDATE(Loans[[#This Row],[LoanStartDate]],Loans[[#This Row],[LoanTenureMonths]])</f>
        <v>47433</v>
      </c>
      <c r="N331" s="33">
        <f>IF(Loans[[#This Row],[LoanAmount]]=0,0,Loans[[#This Row],[CollateralValue]]/Loans[[#This Row],[LoanAmount]])</f>
        <v>0.74</v>
      </c>
      <c r="O331" t="str">
        <f>IF(Loans[[#This Row],[CollateralCoverageRatio]]&lt;1,"Undersecured","Secured")</f>
        <v>Undersecured</v>
      </c>
      <c r="P331" t="str">
        <f>_xlfn.XLOOKUP(Loans[[#This Row],[BranchCode]],BranchesTbl[BranchCode],BranchesTbl[BranchName])</f>
        <v>Meru</v>
      </c>
      <c r="Q331">
        <f>_xlfn.XLOOKUP(Loans[[#This Row],[CustomerID]],CustomerTbl[CustomerID],CustomerTbl[RiskScore])</f>
        <v>663</v>
      </c>
      <c r="R331" t="str">
        <f>IFERROR(INDEX(RiskTbl[Risk_Category],MATCH(Loans[[#This Row],[RiskScore]],RiskTbl[Score_Min],1)),"Unknown")</f>
        <v>Medium Risk</v>
      </c>
      <c r="S331" t="str">
        <f>IF(OR(Loans[[#This Row],[LoanStatus]]="Default",Loans[[#This Row],[LoanStatus]]="Watchlist",Loans[[#This Row],[CollateralRisk]]="Undersecured",Loans[[#This Row],[RiskCategory]]="High Risk"),"High Risk Exposure","Normal")</f>
        <v>High Risk Exposure</v>
      </c>
      <c r="T331" t="str" cm="1">
        <f t="array" ref="T331">_xlfn.IFS(
Loans[[#This Row],[LoanStatus]]="Default","Critical",
OR(Loans[[#This Row],[LoanStatus]]="Watchlist",Loans[[#This Row],[CollateralRisk]]="Undersecured",Loans[[#This Row],[RiskCategory]]="High Risk"),"High",
TRUE,"Normal"
)</f>
        <v>High</v>
      </c>
    </row>
    <row r="332" spans="1:20" x14ac:dyDescent="0.35">
      <c r="A332" t="s">
        <v>775</v>
      </c>
      <c r="B332" t="s">
        <v>579</v>
      </c>
      <c r="C332" t="s">
        <v>190</v>
      </c>
      <c r="D332" t="s">
        <v>155</v>
      </c>
      <c r="E332" s="34">
        <v>100000</v>
      </c>
      <c r="F332" s="29">
        <v>0.26229999999999998</v>
      </c>
      <c r="G332" s="30">
        <v>44116</v>
      </c>
      <c r="H332">
        <v>12</v>
      </c>
      <c r="I332">
        <v>45</v>
      </c>
      <c r="J332" s="34">
        <v>0</v>
      </c>
      <c r="K332" t="s">
        <v>199</v>
      </c>
      <c r="L332" s="34">
        <f>PMT(Loans[[#This Row],[InterestRate]]/12,Loans[[#This Row],[LoanTenureMonths]],-Loans[[#This Row],[LoanAmount]])</f>
        <v>9564.2091978396384</v>
      </c>
      <c r="M332" s="30">
        <f>EDATE(Loans[[#This Row],[LoanStartDate]],Loans[[#This Row],[LoanTenureMonths]])</f>
        <v>44481</v>
      </c>
      <c r="N332" s="33">
        <f>IF(Loans[[#This Row],[LoanAmount]]=0,0,Loans[[#This Row],[CollateralValue]]/Loans[[#This Row],[LoanAmount]])</f>
        <v>0</v>
      </c>
      <c r="O332" t="str">
        <f>IF(Loans[[#This Row],[CollateralCoverageRatio]]&lt;1,"Undersecured","Secured")</f>
        <v>Undersecured</v>
      </c>
      <c r="P332" t="str">
        <f>_xlfn.XLOOKUP(Loans[[#This Row],[BranchCode]],BranchesTbl[BranchCode],BranchesTbl[BranchName])</f>
        <v>Nyeri</v>
      </c>
      <c r="Q332">
        <f>_xlfn.XLOOKUP(Loans[[#This Row],[CustomerID]],CustomerTbl[CustomerID],CustomerTbl[RiskScore])</f>
        <v>334</v>
      </c>
      <c r="R332" t="str">
        <f>IFERROR(INDEX(RiskTbl[Risk_Category],MATCH(Loans[[#This Row],[RiskScore]],RiskTbl[Score_Min],1)),"Unknown")</f>
        <v>High Risk</v>
      </c>
      <c r="S332" t="str">
        <f>IF(OR(Loans[[#This Row],[LoanStatus]]="Default",Loans[[#This Row],[LoanStatus]]="Watchlist",Loans[[#This Row],[CollateralRisk]]="Undersecured",Loans[[#This Row],[RiskCategory]]="High Risk"),"High Risk Exposure","Normal")</f>
        <v>High Risk Exposure</v>
      </c>
      <c r="T332" t="str" cm="1">
        <f t="array" ref="T332">_xlfn.IFS(
Loans[[#This Row],[LoanStatus]]="Default","Critical",
OR(Loans[[#This Row],[LoanStatus]]="Watchlist",Loans[[#This Row],[CollateralRisk]]="Undersecured",Loans[[#This Row],[RiskCategory]]="High Risk"),"High",
TRUE,"Normal"
)</f>
        <v>High</v>
      </c>
    </row>
    <row r="333" spans="1:20" x14ac:dyDescent="0.35">
      <c r="A333" t="s">
        <v>776</v>
      </c>
      <c r="B333" t="s">
        <v>777</v>
      </c>
      <c r="C333" t="s">
        <v>190</v>
      </c>
      <c r="D333" t="s">
        <v>158</v>
      </c>
      <c r="E333" s="34">
        <v>1000000</v>
      </c>
      <c r="F333" s="29">
        <v>0.17</v>
      </c>
      <c r="G333" s="30">
        <v>45760</v>
      </c>
      <c r="H333">
        <v>36</v>
      </c>
      <c r="I333">
        <v>45</v>
      </c>
      <c r="J333" s="34">
        <v>1060000</v>
      </c>
      <c r="K333" t="s">
        <v>199</v>
      </c>
      <c r="L333" s="34">
        <f>PMT(Loans[[#This Row],[InterestRate]]/12,Loans[[#This Row],[LoanTenureMonths]],-Loans[[#This Row],[LoanAmount]])</f>
        <v>35652.727526744675</v>
      </c>
      <c r="M333" s="30">
        <f>EDATE(Loans[[#This Row],[LoanStartDate]],Loans[[#This Row],[LoanTenureMonths]])</f>
        <v>46856</v>
      </c>
      <c r="N333" s="33">
        <f>IF(Loans[[#This Row],[LoanAmount]]=0,0,Loans[[#This Row],[CollateralValue]]/Loans[[#This Row],[LoanAmount]])</f>
        <v>1.06</v>
      </c>
      <c r="O333" t="str">
        <f>IF(Loans[[#This Row],[CollateralCoverageRatio]]&lt;1,"Undersecured","Secured")</f>
        <v>Secured</v>
      </c>
      <c r="P333" t="str">
        <f>_xlfn.XLOOKUP(Loans[[#This Row],[BranchCode]],BranchesTbl[BranchCode],BranchesTbl[BranchName])</f>
        <v>Nyeri</v>
      </c>
      <c r="Q333">
        <f>_xlfn.XLOOKUP(Loans[[#This Row],[CustomerID]],CustomerTbl[CustomerID],CustomerTbl[RiskScore])</f>
        <v>555</v>
      </c>
      <c r="R333" t="str">
        <f>IFERROR(INDEX(RiskTbl[Risk_Category],MATCH(Loans[[#This Row],[RiskScore]],RiskTbl[Score_Min],1)),"Unknown")</f>
        <v>High Risk</v>
      </c>
      <c r="S333" t="str">
        <f>IF(OR(Loans[[#This Row],[LoanStatus]]="Default",Loans[[#This Row],[LoanStatus]]="Watchlist",Loans[[#This Row],[CollateralRisk]]="Undersecured",Loans[[#This Row],[RiskCategory]]="High Risk"),"High Risk Exposure","Normal")</f>
        <v>High Risk Exposure</v>
      </c>
      <c r="T333" t="str" cm="1">
        <f t="array" ref="T333">_xlfn.IFS(
Loans[[#This Row],[LoanStatus]]="Default","Critical",
OR(Loans[[#This Row],[LoanStatus]]="Watchlist",Loans[[#This Row],[CollateralRisk]]="Undersecured",Loans[[#This Row],[RiskCategory]]="High Risk"),"High",
TRUE,"Normal"
)</f>
        <v>High</v>
      </c>
    </row>
    <row r="334" spans="1:20" x14ac:dyDescent="0.35">
      <c r="A334" t="s">
        <v>778</v>
      </c>
      <c r="B334" t="s">
        <v>779</v>
      </c>
      <c r="C334" t="s">
        <v>190</v>
      </c>
      <c r="D334" t="s">
        <v>155</v>
      </c>
      <c r="E334" s="34">
        <v>1000000</v>
      </c>
      <c r="F334" s="29">
        <v>0.20930000000000001</v>
      </c>
      <c r="G334" s="30">
        <v>44869</v>
      </c>
      <c r="H334">
        <v>24</v>
      </c>
      <c r="I334">
        <v>10</v>
      </c>
      <c r="J334" s="34">
        <v>0</v>
      </c>
      <c r="K334" t="s">
        <v>171</v>
      </c>
      <c r="L334" s="34">
        <f>PMT(Loans[[#This Row],[InterestRate]]/12,Loans[[#This Row],[LoanTenureMonths]],-Loans[[#This Row],[LoanAmount]])</f>
        <v>51351.27505647207</v>
      </c>
      <c r="M334" s="30">
        <f>EDATE(Loans[[#This Row],[LoanStartDate]],Loans[[#This Row],[LoanTenureMonths]])</f>
        <v>45600</v>
      </c>
      <c r="N334" s="33">
        <f>IF(Loans[[#This Row],[LoanAmount]]=0,0,Loans[[#This Row],[CollateralValue]]/Loans[[#This Row],[LoanAmount]])</f>
        <v>0</v>
      </c>
      <c r="O334" t="str">
        <f>IF(Loans[[#This Row],[CollateralCoverageRatio]]&lt;1,"Undersecured","Secured")</f>
        <v>Undersecured</v>
      </c>
      <c r="P334" t="str">
        <f>_xlfn.XLOOKUP(Loans[[#This Row],[BranchCode]],BranchesTbl[BranchCode],BranchesTbl[BranchName])</f>
        <v>Nyeri</v>
      </c>
      <c r="Q334">
        <f>_xlfn.XLOOKUP(Loans[[#This Row],[CustomerID]],CustomerTbl[CustomerID],CustomerTbl[RiskScore])</f>
        <v>634</v>
      </c>
      <c r="R334" t="str">
        <f>IFERROR(INDEX(RiskTbl[Risk_Category],MATCH(Loans[[#This Row],[RiskScore]],RiskTbl[Score_Min],1)),"Unknown")</f>
        <v>Medium Risk</v>
      </c>
      <c r="S334" t="str">
        <f>IF(OR(Loans[[#This Row],[LoanStatus]]="Default",Loans[[#This Row],[LoanStatus]]="Watchlist",Loans[[#This Row],[CollateralRisk]]="Undersecured",Loans[[#This Row],[RiskCategory]]="High Risk"),"High Risk Exposure","Normal")</f>
        <v>High Risk Exposure</v>
      </c>
      <c r="T334" t="str" cm="1">
        <f t="array" ref="T334">_xlfn.IFS(
Loans[[#This Row],[LoanStatus]]="Default","Critical",
OR(Loans[[#This Row],[LoanStatus]]="Watchlist",Loans[[#This Row],[CollateralRisk]]="Undersecured",Loans[[#This Row],[RiskCategory]]="High Risk"),"High",
TRUE,"Normal"
)</f>
        <v>High</v>
      </c>
    </row>
    <row r="335" spans="1:20" x14ac:dyDescent="0.35">
      <c r="A335" t="s">
        <v>780</v>
      </c>
      <c r="B335" t="s">
        <v>490</v>
      </c>
      <c r="C335" t="s">
        <v>239</v>
      </c>
      <c r="D335" t="s">
        <v>157</v>
      </c>
      <c r="E335" s="34">
        <v>6000000</v>
      </c>
      <c r="F335" s="29">
        <v>9.2200000000000004E-2</v>
      </c>
      <c r="G335" s="30">
        <v>45792</v>
      </c>
      <c r="H335">
        <v>36</v>
      </c>
      <c r="I335">
        <v>45</v>
      </c>
      <c r="J335" s="34">
        <v>6660000</v>
      </c>
      <c r="K335" t="s">
        <v>199</v>
      </c>
      <c r="L335" s="34">
        <f>PMT(Loans[[#This Row],[InterestRate]]/12,Loans[[#This Row],[LoanTenureMonths]],-Loans[[#This Row],[LoanAmount]])</f>
        <v>191413.33422216104</v>
      </c>
      <c r="M335" s="30">
        <f>EDATE(Loans[[#This Row],[LoanStartDate]],Loans[[#This Row],[LoanTenureMonths]])</f>
        <v>46888</v>
      </c>
      <c r="N335" s="33">
        <f>IF(Loans[[#This Row],[LoanAmount]]=0,0,Loans[[#This Row],[CollateralValue]]/Loans[[#This Row],[LoanAmount]])</f>
        <v>1.1100000000000001</v>
      </c>
      <c r="O335" t="str">
        <f>IF(Loans[[#This Row],[CollateralCoverageRatio]]&lt;1,"Undersecured","Secured")</f>
        <v>Secured</v>
      </c>
      <c r="P335" t="str">
        <f>_xlfn.XLOOKUP(Loans[[#This Row],[BranchCode]],BranchesTbl[BranchCode],BranchesTbl[BranchName])</f>
        <v>Machakos</v>
      </c>
      <c r="Q335">
        <f>_xlfn.XLOOKUP(Loans[[#This Row],[CustomerID]],CustomerTbl[CustomerID],CustomerTbl[RiskScore])</f>
        <v>510</v>
      </c>
      <c r="R335" t="str">
        <f>IFERROR(INDEX(RiskTbl[Risk_Category],MATCH(Loans[[#This Row],[RiskScore]],RiskTbl[Score_Min],1)),"Unknown")</f>
        <v>High Risk</v>
      </c>
      <c r="S335" t="str">
        <f>IF(OR(Loans[[#This Row],[LoanStatus]]="Default",Loans[[#This Row],[LoanStatus]]="Watchlist",Loans[[#This Row],[CollateralRisk]]="Undersecured",Loans[[#This Row],[RiskCategory]]="High Risk"),"High Risk Exposure","Normal")</f>
        <v>High Risk Exposure</v>
      </c>
      <c r="T335" t="str" cm="1">
        <f t="array" ref="T335">_xlfn.IFS(
Loans[[#This Row],[LoanStatus]]="Default","Critical",
OR(Loans[[#This Row],[LoanStatus]]="Watchlist",Loans[[#This Row],[CollateralRisk]]="Undersecured",Loans[[#This Row],[RiskCategory]]="High Risk"),"High",
TRUE,"Normal"
)</f>
        <v>High</v>
      </c>
    </row>
    <row r="336" spans="1:20" x14ac:dyDescent="0.35">
      <c r="A336" t="s">
        <v>781</v>
      </c>
      <c r="B336" t="s">
        <v>782</v>
      </c>
      <c r="C336" t="s">
        <v>174</v>
      </c>
      <c r="D336" t="s">
        <v>155</v>
      </c>
      <c r="E336" s="34">
        <v>250000</v>
      </c>
      <c r="F336" s="29">
        <v>0.2041</v>
      </c>
      <c r="G336" s="30">
        <v>45934</v>
      </c>
      <c r="H336">
        <v>12</v>
      </c>
      <c r="I336">
        <v>10</v>
      </c>
      <c r="J336" s="34">
        <v>0</v>
      </c>
      <c r="K336" t="s">
        <v>171</v>
      </c>
      <c r="L336" s="34">
        <f>PMT(Loans[[#This Row],[InterestRate]]/12,Loans[[#This Row],[LoanTenureMonths]],-Loans[[#This Row],[LoanAmount]])</f>
        <v>23207.710937237527</v>
      </c>
      <c r="M336" s="30">
        <f>EDATE(Loans[[#This Row],[LoanStartDate]],Loans[[#This Row],[LoanTenureMonths]])</f>
        <v>46299</v>
      </c>
      <c r="N336" s="33">
        <f>IF(Loans[[#This Row],[LoanAmount]]=0,0,Loans[[#This Row],[CollateralValue]]/Loans[[#This Row],[LoanAmount]])</f>
        <v>0</v>
      </c>
      <c r="O336" t="str">
        <f>IF(Loans[[#This Row],[CollateralCoverageRatio]]&lt;1,"Undersecured","Secured")</f>
        <v>Undersecured</v>
      </c>
      <c r="P336" t="str">
        <f>_xlfn.XLOOKUP(Loans[[#This Row],[BranchCode]],BranchesTbl[BranchCode],BranchesTbl[BranchName])</f>
        <v>Westlands</v>
      </c>
      <c r="Q336">
        <f>_xlfn.XLOOKUP(Loans[[#This Row],[CustomerID]],CustomerTbl[CustomerID],CustomerTbl[RiskScore])</f>
        <v>655</v>
      </c>
      <c r="R336" t="str">
        <f>IFERROR(INDEX(RiskTbl[Risk_Category],MATCH(Loans[[#This Row],[RiskScore]],RiskTbl[Score_Min],1)),"Unknown")</f>
        <v>Medium Risk</v>
      </c>
      <c r="S336" t="str">
        <f>IF(OR(Loans[[#This Row],[LoanStatus]]="Default",Loans[[#This Row],[LoanStatus]]="Watchlist",Loans[[#This Row],[CollateralRisk]]="Undersecured",Loans[[#This Row],[RiskCategory]]="High Risk"),"High Risk Exposure","Normal")</f>
        <v>High Risk Exposure</v>
      </c>
      <c r="T336" t="str" cm="1">
        <f t="array" ref="T336">_xlfn.IFS(
Loans[[#This Row],[LoanStatus]]="Default","Critical",
OR(Loans[[#This Row],[LoanStatus]]="Watchlist",Loans[[#This Row],[CollateralRisk]]="Undersecured",Loans[[#This Row],[RiskCategory]]="High Risk"),"High",
TRUE,"Normal"
)</f>
        <v>High</v>
      </c>
    </row>
    <row r="337" spans="1:20" x14ac:dyDescent="0.35">
      <c r="A337" t="s">
        <v>783</v>
      </c>
      <c r="B337" t="s">
        <v>784</v>
      </c>
      <c r="C337" t="s">
        <v>170</v>
      </c>
      <c r="D337" t="s">
        <v>155</v>
      </c>
      <c r="E337" s="34">
        <v>1000000</v>
      </c>
      <c r="F337" s="29">
        <v>0.23119999999999999</v>
      </c>
      <c r="G337" s="30">
        <v>45654</v>
      </c>
      <c r="H337">
        <v>60</v>
      </c>
      <c r="I337">
        <v>5</v>
      </c>
      <c r="J337" s="34">
        <v>0</v>
      </c>
      <c r="K337" t="s">
        <v>171</v>
      </c>
      <c r="L337" s="34">
        <f>PMT(Loans[[#This Row],[InterestRate]]/12,Loans[[#This Row],[LoanTenureMonths]],-Loans[[#This Row],[LoanAmount]])</f>
        <v>28259.458475029227</v>
      </c>
      <c r="M337" s="30">
        <f>EDATE(Loans[[#This Row],[LoanStartDate]],Loans[[#This Row],[LoanTenureMonths]])</f>
        <v>47480</v>
      </c>
      <c r="N337" s="33">
        <f>IF(Loans[[#This Row],[LoanAmount]]=0,0,Loans[[#This Row],[CollateralValue]]/Loans[[#This Row],[LoanAmount]])</f>
        <v>0</v>
      </c>
      <c r="O337" t="str">
        <f>IF(Loans[[#This Row],[CollateralCoverageRatio]]&lt;1,"Undersecured","Secured")</f>
        <v>Undersecured</v>
      </c>
      <c r="P337" t="str">
        <f>_xlfn.XLOOKUP(Loans[[#This Row],[BranchCode]],BranchesTbl[BranchCode],BranchesTbl[BranchName])</f>
        <v>Thika</v>
      </c>
      <c r="Q337">
        <f>_xlfn.XLOOKUP(Loans[[#This Row],[CustomerID]],CustomerTbl[CustomerID],CustomerTbl[RiskScore])</f>
        <v>649</v>
      </c>
      <c r="R337" t="str">
        <f>IFERROR(INDEX(RiskTbl[Risk_Category],MATCH(Loans[[#This Row],[RiskScore]],RiskTbl[Score_Min],1)),"Unknown")</f>
        <v>Medium Risk</v>
      </c>
      <c r="S337" t="str">
        <f>IF(OR(Loans[[#This Row],[LoanStatus]]="Default",Loans[[#This Row],[LoanStatus]]="Watchlist",Loans[[#This Row],[CollateralRisk]]="Undersecured",Loans[[#This Row],[RiskCategory]]="High Risk"),"High Risk Exposure","Normal")</f>
        <v>High Risk Exposure</v>
      </c>
      <c r="T337" t="str" cm="1">
        <f t="array" ref="T337">_xlfn.IFS(
Loans[[#This Row],[LoanStatus]]="Default","Critical",
OR(Loans[[#This Row],[LoanStatus]]="Watchlist",Loans[[#This Row],[CollateralRisk]]="Undersecured",Loans[[#This Row],[RiskCategory]]="High Risk"),"High",
TRUE,"Normal"
)</f>
        <v>High</v>
      </c>
    </row>
    <row r="338" spans="1:20" x14ac:dyDescent="0.35">
      <c r="A338" t="s">
        <v>785</v>
      </c>
      <c r="B338" t="s">
        <v>647</v>
      </c>
      <c r="C338" t="s">
        <v>239</v>
      </c>
      <c r="D338" t="s">
        <v>157</v>
      </c>
      <c r="E338" s="34">
        <v>80000000</v>
      </c>
      <c r="F338" s="29">
        <v>0.11990000000000001</v>
      </c>
      <c r="G338" s="30">
        <v>43994</v>
      </c>
      <c r="H338">
        <v>60</v>
      </c>
      <c r="I338">
        <v>90</v>
      </c>
      <c r="J338" s="34">
        <v>63200000</v>
      </c>
      <c r="K338" t="s">
        <v>199</v>
      </c>
      <c r="L338" s="34">
        <f>PMT(Loans[[#This Row],[InterestRate]]/12,Loans[[#This Row],[LoanTenureMonths]],-Loans[[#This Row],[LoanAmount]])</f>
        <v>1779151.5749521796</v>
      </c>
      <c r="M338" s="30">
        <f>EDATE(Loans[[#This Row],[LoanStartDate]],Loans[[#This Row],[LoanTenureMonths]])</f>
        <v>45820</v>
      </c>
      <c r="N338" s="33">
        <f>IF(Loans[[#This Row],[LoanAmount]]=0,0,Loans[[#This Row],[CollateralValue]]/Loans[[#This Row],[LoanAmount]])</f>
        <v>0.79</v>
      </c>
      <c r="O338" t="str">
        <f>IF(Loans[[#This Row],[CollateralCoverageRatio]]&lt;1,"Undersecured","Secured")</f>
        <v>Undersecured</v>
      </c>
      <c r="P338" t="str">
        <f>_xlfn.XLOOKUP(Loans[[#This Row],[BranchCode]],BranchesTbl[BranchCode],BranchesTbl[BranchName])</f>
        <v>Machakos</v>
      </c>
      <c r="Q338">
        <f>_xlfn.XLOOKUP(Loans[[#This Row],[CustomerID]],CustomerTbl[CustomerID],CustomerTbl[RiskScore])</f>
        <v>599</v>
      </c>
      <c r="R338" t="str">
        <f>IFERROR(INDEX(RiskTbl[Risk_Category],MATCH(Loans[[#This Row],[RiskScore]],RiskTbl[Score_Min],1)),"Unknown")</f>
        <v>Medium Risk</v>
      </c>
      <c r="S338" t="str">
        <f>IF(OR(Loans[[#This Row],[LoanStatus]]="Default",Loans[[#This Row],[LoanStatus]]="Watchlist",Loans[[#This Row],[CollateralRisk]]="Undersecured",Loans[[#This Row],[RiskCategory]]="High Risk"),"High Risk Exposure","Normal")</f>
        <v>High Risk Exposure</v>
      </c>
      <c r="T338" t="str" cm="1">
        <f t="array" ref="T338">_xlfn.IFS(
Loans[[#This Row],[LoanStatus]]="Default","Critical",
OR(Loans[[#This Row],[LoanStatus]]="Watchlist",Loans[[#This Row],[CollateralRisk]]="Undersecured",Loans[[#This Row],[RiskCategory]]="High Risk"),"High",
TRUE,"Normal"
)</f>
        <v>High</v>
      </c>
    </row>
    <row r="339" spans="1:20" x14ac:dyDescent="0.35">
      <c r="A339" t="s">
        <v>786</v>
      </c>
      <c r="B339" t="s">
        <v>314</v>
      </c>
      <c r="C339" t="s">
        <v>270</v>
      </c>
      <c r="D339" t="s">
        <v>158</v>
      </c>
      <c r="E339" s="34">
        <v>1000000</v>
      </c>
      <c r="F339" s="29">
        <v>0.1215</v>
      </c>
      <c r="G339" s="30">
        <v>45964</v>
      </c>
      <c r="H339">
        <v>72</v>
      </c>
      <c r="I339">
        <v>0</v>
      </c>
      <c r="J339" s="34">
        <v>1270000</v>
      </c>
      <c r="K339" t="s">
        <v>171</v>
      </c>
      <c r="L339" s="34">
        <f>PMT(Loans[[#This Row],[InterestRate]]/12,Loans[[#This Row],[LoanTenureMonths]],-Loans[[#This Row],[LoanAmount]])</f>
        <v>19628.284055647549</v>
      </c>
      <c r="M339" s="30">
        <f>EDATE(Loans[[#This Row],[LoanStartDate]],Loans[[#This Row],[LoanTenureMonths]])</f>
        <v>48155</v>
      </c>
      <c r="N339" s="33">
        <f>IF(Loans[[#This Row],[LoanAmount]]=0,0,Loans[[#This Row],[CollateralValue]]/Loans[[#This Row],[LoanAmount]])</f>
        <v>1.27</v>
      </c>
      <c r="O339" t="str">
        <f>IF(Loans[[#This Row],[CollateralCoverageRatio]]&lt;1,"Undersecured","Secured")</f>
        <v>Secured</v>
      </c>
      <c r="P339" t="str">
        <f>_xlfn.XLOOKUP(Loans[[#This Row],[BranchCode]],BranchesTbl[BranchCode],BranchesTbl[BranchName])</f>
        <v>Nakuru</v>
      </c>
      <c r="Q339">
        <f>_xlfn.XLOOKUP(Loans[[#This Row],[CustomerID]],CustomerTbl[CustomerID],CustomerTbl[RiskScore])</f>
        <v>611</v>
      </c>
      <c r="R339" t="str">
        <f>IFERROR(INDEX(RiskTbl[Risk_Category],MATCH(Loans[[#This Row],[RiskScore]],RiskTbl[Score_Min],1)),"Unknown")</f>
        <v>Medium Risk</v>
      </c>
      <c r="S339" t="str">
        <f>IF(OR(Loans[[#This Row],[LoanStatus]]="Default",Loans[[#This Row],[LoanStatus]]="Watchlist",Loans[[#This Row],[CollateralRisk]]="Undersecured",Loans[[#This Row],[RiskCategory]]="High Risk"),"High Risk Exposure","Normal")</f>
        <v>Normal</v>
      </c>
      <c r="T339" t="str" cm="1">
        <f t="array" ref="T339">_xlfn.IFS(
Loans[[#This Row],[LoanStatus]]="Default","Critical",
OR(Loans[[#This Row],[LoanStatus]]="Watchlist",Loans[[#This Row],[CollateralRisk]]="Undersecured",Loans[[#This Row],[RiskCategory]]="High Risk"),"High",
TRUE,"Normal"
)</f>
        <v>Normal</v>
      </c>
    </row>
    <row r="340" spans="1:20" x14ac:dyDescent="0.35">
      <c r="A340" t="s">
        <v>787</v>
      </c>
      <c r="B340" t="s">
        <v>788</v>
      </c>
      <c r="C340" t="s">
        <v>196</v>
      </c>
      <c r="D340" t="s">
        <v>155</v>
      </c>
      <c r="E340" s="34">
        <v>500000</v>
      </c>
      <c r="F340" s="29">
        <v>0.1749</v>
      </c>
      <c r="G340" s="30">
        <v>44088</v>
      </c>
      <c r="H340">
        <v>12</v>
      </c>
      <c r="I340">
        <v>0</v>
      </c>
      <c r="J340" s="34">
        <v>0</v>
      </c>
      <c r="K340" t="s">
        <v>171</v>
      </c>
      <c r="L340" s="34">
        <f>PMT(Loans[[#This Row],[InterestRate]]/12,Loans[[#This Row],[LoanTenureMonths]],-Loans[[#This Row],[LoanAmount]])</f>
        <v>45718.725978093396</v>
      </c>
      <c r="M340" s="30">
        <f>EDATE(Loans[[#This Row],[LoanStartDate]],Loans[[#This Row],[LoanTenureMonths]])</f>
        <v>44453</v>
      </c>
      <c r="N340" s="33">
        <f>IF(Loans[[#This Row],[LoanAmount]]=0,0,Loans[[#This Row],[CollateralValue]]/Loans[[#This Row],[LoanAmount]])</f>
        <v>0</v>
      </c>
      <c r="O340" t="str">
        <f>IF(Loans[[#This Row],[CollateralCoverageRatio]]&lt;1,"Undersecured","Secured")</f>
        <v>Undersecured</v>
      </c>
      <c r="P340" t="str">
        <f>_xlfn.XLOOKUP(Loans[[#This Row],[BranchCode]],BranchesTbl[BranchCode],BranchesTbl[BranchName])</f>
        <v>Karen</v>
      </c>
      <c r="Q340">
        <f>_xlfn.XLOOKUP(Loans[[#This Row],[CustomerID]],CustomerTbl[CustomerID],CustomerTbl[RiskScore])</f>
        <v>705</v>
      </c>
      <c r="R340" t="str">
        <f>IFERROR(INDEX(RiskTbl[Risk_Category],MATCH(Loans[[#This Row],[RiskScore]],RiskTbl[Score_Min],1)),"Unknown")</f>
        <v>Low Risk</v>
      </c>
      <c r="S340" t="str">
        <f>IF(OR(Loans[[#This Row],[LoanStatus]]="Default",Loans[[#This Row],[LoanStatus]]="Watchlist",Loans[[#This Row],[CollateralRisk]]="Undersecured",Loans[[#This Row],[RiskCategory]]="High Risk"),"High Risk Exposure","Normal")</f>
        <v>High Risk Exposure</v>
      </c>
      <c r="T340" t="str" cm="1">
        <f t="array" ref="T340">_xlfn.IFS(
Loans[[#This Row],[LoanStatus]]="Default","Critical",
OR(Loans[[#This Row],[LoanStatus]]="Watchlist",Loans[[#This Row],[CollateralRisk]]="Undersecured",Loans[[#This Row],[RiskCategory]]="High Risk"),"High",
TRUE,"Normal"
)</f>
        <v>High</v>
      </c>
    </row>
    <row r="341" spans="1:20" x14ac:dyDescent="0.35">
      <c r="A341" t="s">
        <v>789</v>
      </c>
      <c r="B341" t="s">
        <v>790</v>
      </c>
      <c r="C341" t="s">
        <v>219</v>
      </c>
      <c r="D341" t="s">
        <v>156</v>
      </c>
      <c r="E341" s="34">
        <v>3000000</v>
      </c>
      <c r="F341" s="29">
        <v>0.22850000000000001</v>
      </c>
      <c r="G341" s="30">
        <v>45894</v>
      </c>
      <c r="H341">
        <v>24</v>
      </c>
      <c r="I341">
        <v>0</v>
      </c>
      <c r="J341" s="34">
        <v>2130000</v>
      </c>
      <c r="K341" t="s">
        <v>171</v>
      </c>
      <c r="L341" s="34">
        <f>PMT(Loans[[#This Row],[InterestRate]]/12,Loans[[#This Row],[LoanTenureMonths]],-Loans[[#This Row],[LoanAmount]])</f>
        <v>156896.59451650243</v>
      </c>
      <c r="M341" s="30">
        <f>EDATE(Loans[[#This Row],[LoanStartDate]],Loans[[#This Row],[LoanTenureMonths]])</f>
        <v>46624</v>
      </c>
      <c r="N341" s="33">
        <f>IF(Loans[[#This Row],[LoanAmount]]=0,0,Loans[[#This Row],[CollateralValue]]/Loans[[#This Row],[LoanAmount]])</f>
        <v>0.71</v>
      </c>
      <c r="O341" t="str">
        <f>IF(Loans[[#This Row],[CollateralCoverageRatio]]&lt;1,"Undersecured","Secured")</f>
        <v>Undersecured</v>
      </c>
      <c r="P341" t="str">
        <f>_xlfn.XLOOKUP(Loans[[#This Row],[BranchCode]],BranchesTbl[BranchCode],BranchesTbl[BranchName])</f>
        <v>Meru</v>
      </c>
      <c r="Q341">
        <f>_xlfn.XLOOKUP(Loans[[#This Row],[CustomerID]],CustomerTbl[CustomerID],CustomerTbl[RiskScore])</f>
        <v>651</v>
      </c>
      <c r="R341" t="str">
        <f>IFERROR(INDEX(RiskTbl[Risk_Category],MATCH(Loans[[#This Row],[RiskScore]],RiskTbl[Score_Min],1)),"Unknown")</f>
        <v>Medium Risk</v>
      </c>
      <c r="S341" t="str">
        <f>IF(OR(Loans[[#This Row],[LoanStatus]]="Default",Loans[[#This Row],[LoanStatus]]="Watchlist",Loans[[#This Row],[CollateralRisk]]="Undersecured",Loans[[#This Row],[RiskCategory]]="High Risk"),"High Risk Exposure","Normal")</f>
        <v>High Risk Exposure</v>
      </c>
      <c r="T341" t="str" cm="1">
        <f t="array" ref="T341">_xlfn.IFS(
Loans[[#This Row],[LoanStatus]]="Default","Critical",
OR(Loans[[#This Row],[LoanStatus]]="Watchlist",Loans[[#This Row],[CollateralRisk]]="Undersecured",Loans[[#This Row],[RiskCategory]]="High Risk"),"High",
TRUE,"Normal"
)</f>
        <v>High</v>
      </c>
    </row>
    <row r="342" spans="1:20" x14ac:dyDescent="0.35">
      <c r="A342" t="s">
        <v>791</v>
      </c>
      <c r="B342" t="s">
        <v>792</v>
      </c>
      <c r="C342" t="s">
        <v>193</v>
      </c>
      <c r="D342" t="s">
        <v>156</v>
      </c>
      <c r="E342" s="34">
        <v>1000000</v>
      </c>
      <c r="F342" s="29">
        <v>0.18820000000000001</v>
      </c>
      <c r="G342" s="30">
        <v>44060</v>
      </c>
      <c r="H342">
        <v>24</v>
      </c>
      <c r="I342">
        <v>0</v>
      </c>
      <c r="J342" s="34">
        <v>720000</v>
      </c>
      <c r="K342" t="s">
        <v>171</v>
      </c>
      <c r="L342" s="34">
        <f>PMT(Loans[[#This Row],[InterestRate]]/12,Loans[[#This Row],[LoanTenureMonths]],-Loans[[#This Row],[LoanAmount]])</f>
        <v>50321.207191269787</v>
      </c>
      <c r="M342" s="30">
        <f>EDATE(Loans[[#This Row],[LoanStartDate]],Loans[[#This Row],[LoanTenureMonths]])</f>
        <v>44790</v>
      </c>
      <c r="N342" s="33">
        <f>IF(Loans[[#This Row],[LoanAmount]]=0,0,Loans[[#This Row],[CollateralValue]]/Loans[[#This Row],[LoanAmount]])</f>
        <v>0.72</v>
      </c>
      <c r="O342" t="str">
        <f>IF(Loans[[#This Row],[CollateralCoverageRatio]]&lt;1,"Undersecured","Secured")</f>
        <v>Undersecured</v>
      </c>
      <c r="P342" t="str">
        <f>_xlfn.XLOOKUP(Loans[[#This Row],[BranchCode]],BranchesTbl[BranchCode],BranchesTbl[BranchName])</f>
        <v>Mombasa</v>
      </c>
      <c r="Q342">
        <f>_xlfn.XLOOKUP(Loans[[#This Row],[CustomerID]],CustomerTbl[CustomerID],CustomerTbl[RiskScore])</f>
        <v>664</v>
      </c>
      <c r="R342" t="str">
        <f>IFERROR(INDEX(RiskTbl[Risk_Category],MATCH(Loans[[#This Row],[RiskScore]],RiskTbl[Score_Min],1)),"Unknown")</f>
        <v>Medium Risk</v>
      </c>
      <c r="S342" t="str">
        <f>IF(OR(Loans[[#This Row],[LoanStatus]]="Default",Loans[[#This Row],[LoanStatus]]="Watchlist",Loans[[#This Row],[CollateralRisk]]="Undersecured",Loans[[#This Row],[RiskCategory]]="High Risk"),"High Risk Exposure","Normal")</f>
        <v>High Risk Exposure</v>
      </c>
      <c r="T342" t="str" cm="1">
        <f t="array" ref="T342">_xlfn.IFS(
Loans[[#This Row],[LoanStatus]]="Default","Critical",
OR(Loans[[#This Row],[LoanStatus]]="Watchlist",Loans[[#This Row],[CollateralRisk]]="Undersecured",Loans[[#This Row],[RiskCategory]]="High Risk"),"High",
TRUE,"Normal"
)</f>
        <v>High</v>
      </c>
    </row>
    <row r="343" spans="1:20" x14ac:dyDescent="0.35">
      <c r="A343" t="s">
        <v>793</v>
      </c>
      <c r="B343" t="s">
        <v>794</v>
      </c>
      <c r="C343" t="s">
        <v>187</v>
      </c>
      <c r="D343" t="s">
        <v>158</v>
      </c>
      <c r="E343" s="34">
        <v>1000000</v>
      </c>
      <c r="F343" s="29">
        <v>0.16039999999999999</v>
      </c>
      <c r="G343" s="30">
        <v>45766</v>
      </c>
      <c r="H343">
        <v>36</v>
      </c>
      <c r="I343">
        <v>20</v>
      </c>
      <c r="J343" s="34">
        <v>1190000</v>
      </c>
      <c r="K343" t="s">
        <v>171</v>
      </c>
      <c r="L343" s="34">
        <f>PMT(Loans[[#This Row],[InterestRate]]/12,Loans[[#This Row],[LoanTenureMonths]],-Loans[[#This Row],[LoanAmount]])</f>
        <v>35176.784316207973</v>
      </c>
      <c r="M343" s="30">
        <f>EDATE(Loans[[#This Row],[LoanStartDate]],Loans[[#This Row],[LoanTenureMonths]])</f>
        <v>46862</v>
      </c>
      <c r="N343" s="33">
        <f>IF(Loans[[#This Row],[LoanAmount]]=0,0,Loans[[#This Row],[CollateralValue]]/Loans[[#This Row],[LoanAmount]])</f>
        <v>1.19</v>
      </c>
      <c r="O343" t="str">
        <f>IF(Loans[[#This Row],[CollateralCoverageRatio]]&lt;1,"Undersecured","Secured")</f>
        <v>Secured</v>
      </c>
      <c r="P343" t="str">
        <f>_xlfn.XLOOKUP(Loans[[#This Row],[BranchCode]],BranchesTbl[BranchCode],BranchesTbl[BranchName])</f>
        <v>Eldoret</v>
      </c>
      <c r="Q343">
        <f>_xlfn.XLOOKUP(Loans[[#This Row],[CustomerID]],CustomerTbl[CustomerID],CustomerTbl[RiskScore])</f>
        <v>609</v>
      </c>
      <c r="R343" t="str">
        <f>IFERROR(INDEX(RiskTbl[Risk_Category],MATCH(Loans[[#This Row],[RiskScore]],RiskTbl[Score_Min],1)),"Unknown")</f>
        <v>Medium Risk</v>
      </c>
      <c r="S343" t="str">
        <f>IF(OR(Loans[[#This Row],[LoanStatus]]="Default",Loans[[#This Row],[LoanStatus]]="Watchlist",Loans[[#This Row],[CollateralRisk]]="Undersecured",Loans[[#This Row],[RiskCategory]]="High Risk"),"High Risk Exposure","Normal")</f>
        <v>Normal</v>
      </c>
      <c r="T343" t="str" cm="1">
        <f t="array" ref="T343">_xlfn.IFS(
Loans[[#This Row],[LoanStatus]]="Default","Critical",
OR(Loans[[#This Row],[LoanStatus]]="Watchlist",Loans[[#This Row],[CollateralRisk]]="Undersecured",Loans[[#This Row],[RiskCategory]]="High Risk"),"High",
TRUE,"Normal"
)</f>
        <v>Normal</v>
      </c>
    </row>
    <row r="344" spans="1:20" x14ac:dyDescent="0.35">
      <c r="A344" t="s">
        <v>795</v>
      </c>
      <c r="B344" t="s">
        <v>796</v>
      </c>
      <c r="C344" t="s">
        <v>184</v>
      </c>
      <c r="D344" t="s">
        <v>155</v>
      </c>
      <c r="E344" s="34">
        <v>100000</v>
      </c>
      <c r="F344" s="29">
        <v>0.24679999999999999</v>
      </c>
      <c r="G344" s="30">
        <v>44912</v>
      </c>
      <c r="H344">
        <v>24</v>
      </c>
      <c r="I344">
        <v>45</v>
      </c>
      <c r="J344" s="34">
        <v>0</v>
      </c>
      <c r="K344" t="s">
        <v>199</v>
      </c>
      <c r="L344" s="34">
        <f>PMT(Loans[[#This Row],[InterestRate]]/12,Loans[[#This Row],[LoanTenureMonths]],-Loans[[#This Row],[LoanAmount]])</f>
        <v>5321.1099075630673</v>
      </c>
      <c r="M344" s="30">
        <f>EDATE(Loans[[#This Row],[LoanStartDate]],Loans[[#This Row],[LoanTenureMonths]])</f>
        <v>45643</v>
      </c>
      <c r="N344" s="33">
        <f>IF(Loans[[#This Row],[LoanAmount]]=0,0,Loans[[#This Row],[CollateralValue]]/Loans[[#This Row],[LoanAmount]])</f>
        <v>0</v>
      </c>
      <c r="O344" t="str">
        <f>IF(Loans[[#This Row],[CollateralCoverageRatio]]&lt;1,"Undersecured","Secured")</f>
        <v>Undersecured</v>
      </c>
      <c r="P344" t="str">
        <f>_xlfn.XLOOKUP(Loans[[#This Row],[BranchCode]],BranchesTbl[BranchCode],BranchesTbl[BranchName])</f>
        <v>Kisumu</v>
      </c>
      <c r="Q344">
        <f>_xlfn.XLOOKUP(Loans[[#This Row],[CustomerID]],CustomerTbl[CustomerID],CustomerTbl[RiskScore])</f>
        <v>549</v>
      </c>
      <c r="R344" t="str">
        <f>IFERROR(INDEX(RiskTbl[Risk_Category],MATCH(Loans[[#This Row],[RiskScore]],RiskTbl[Score_Min],1)),"Unknown")</f>
        <v>High Risk</v>
      </c>
      <c r="S344" t="str">
        <f>IF(OR(Loans[[#This Row],[LoanStatus]]="Default",Loans[[#This Row],[LoanStatus]]="Watchlist",Loans[[#This Row],[CollateralRisk]]="Undersecured",Loans[[#This Row],[RiskCategory]]="High Risk"),"High Risk Exposure","Normal")</f>
        <v>High Risk Exposure</v>
      </c>
      <c r="T344" t="str" cm="1">
        <f t="array" ref="T344">_xlfn.IFS(
Loans[[#This Row],[LoanStatus]]="Default","Critical",
OR(Loans[[#This Row],[LoanStatus]]="Watchlist",Loans[[#This Row],[CollateralRisk]]="Undersecured",Loans[[#This Row],[RiskCategory]]="High Risk"),"High",
TRUE,"Normal"
)</f>
        <v>High</v>
      </c>
    </row>
    <row r="345" spans="1:20" x14ac:dyDescent="0.35">
      <c r="A345" t="s">
        <v>797</v>
      </c>
      <c r="B345" t="s">
        <v>798</v>
      </c>
      <c r="C345" t="s">
        <v>196</v>
      </c>
      <c r="D345" t="s">
        <v>158</v>
      </c>
      <c r="E345" s="34">
        <v>1000000</v>
      </c>
      <c r="F345" s="29">
        <v>0.19600000000000001</v>
      </c>
      <c r="G345" s="30">
        <v>45262</v>
      </c>
      <c r="H345">
        <v>72</v>
      </c>
      <c r="I345">
        <v>10</v>
      </c>
      <c r="J345" s="34">
        <v>1280000</v>
      </c>
      <c r="K345" t="s">
        <v>171</v>
      </c>
      <c r="L345" s="34">
        <f>PMT(Loans[[#This Row],[InterestRate]]/12,Loans[[#This Row],[LoanTenureMonths]],-Loans[[#This Row],[LoanAmount]])</f>
        <v>23721.530863948105</v>
      </c>
      <c r="M345" s="30">
        <f>EDATE(Loans[[#This Row],[LoanStartDate]],Loans[[#This Row],[LoanTenureMonths]])</f>
        <v>47454</v>
      </c>
      <c r="N345" s="33">
        <f>IF(Loans[[#This Row],[LoanAmount]]=0,0,Loans[[#This Row],[CollateralValue]]/Loans[[#This Row],[LoanAmount]])</f>
        <v>1.28</v>
      </c>
      <c r="O345" t="str">
        <f>IF(Loans[[#This Row],[CollateralCoverageRatio]]&lt;1,"Undersecured","Secured")</f>
        <v>Secured</v>
      </c>
      <c r="P345" t="str">
        <f>_xlfn.XLOOKUP(Loans[[#This Row],[BranchCode]],BranchesTbl[BranchCode],BranchesTbl[BranchName])</f>
        <v>Karen</v>
      </c>
      <c r="Q345">
        <f>_xlfn.XLOOKUP(Loans[[#This Row],[CustomerID]],CustomerTbl[CustomerID],CustomerTbl[RiskScore])</f>
        <v>642</v>
      </c>
      <c r="R345" t="str">
        <f>IFERROR(INDEX(RiskTbl[Risk_Category],MATCH(Loans[[#This Row],[RiskScore]],RiskTbl[Score_Min],1)),"Unknown")</f>
        <v>Medium Risk</v>
      </c>
      <c r="S345" t="str">
        <f>IF(OR(Loans[[#This Row],[LoanStatus]]="Default",Loans[[#This Row],[LoanStatus]]="Watchlist",Loans[[#This Row],[CollateralRisk]]="Undersecured",Loans[[#This Row],[RiskCategory]]="High Risk"),"High Risk Exposure","Normal")</f>
        <v>Normal</v>
      </c>
      <c r="T345" t="str" cm="1">
        <f t="array" ref="T345">_xlfn.IFS(
Loans[[#This Row],[LoanStatus]]="Default","Critical",
OR(Loans[[#This Row],[LoanStatus]]="Watchlist",Loans[[#This Row],[CollateralRisk]]="Undersecured",Loans[[#This Row],[RiskCategory]]="High Risk"),"High",
TRUE,"Normal"
)</f>
        <v>Normal</v>
      </c>
    </row>
    <row r="346" spans="1:20" x14ac:dyDescent="0.35">
      <c r="A346" t="s">
        <v>799</v>
      </c>
      <c r="B346" t="s">
        <v>800</v>
      </c>
      <c r="C346" t="s">
        <v>270</v>
      </c>
      <c r="D346" t="s">
        <v>158</v>
      </c>
      <c r="E346" s="34">
        <v>3000000</v>
      </c>
      <c r="F346" s="29">
        <v>0.15579999999999999</v>
      </c>
      <c r="G346" s="30">
        <v>43865</v>
      </c>
      <c r="H346">
        <v>24</v>
      </c>
      <c r="I346">
        <v>0</v>
      </c>
      <c r="J346" s="34">
        <v>2730000</v>
      </c>
      <c r="K346" t="s">
        <v>171</v>
      </c>
      <c r="L346" s="34">
        <f>PMT(Loans[[#This Row],[InterestRate]]/12,Loans[[#This Row],[LoanTenureMonths]],-Loans[[#This Row],[LoanAmount]])</f>
        <v>146288.0043594575</v>
      </c>
      <c r="M346" s="30">
        <f>EDATE(Loans[[#This Row],[LoanStartDate]],Loans[[#This Row],[LoanTenureMonths]])</f>
        <v>44596</v>
      </c>
      <c r="N346" s="33">
        <f>IF(Loans[[#This Row],[LoanAmount]]=0,0,Loans[[#This Row],[CollateralValue]]/Loans[[#This Row],[LoanAmount]])</f>
        <v>0.91</v>
      </c>
      <c r="O346" t="str">
        <f>IF(Loans[[#This Row],[CollateralCoverageRatio]]&lt;1,"Undersecured","Secured")</f>
        <v>Undersecured</v>
      </c>
      <c r="P346" t="str">
        <f>_xlfn.XLOOKUP(Loans[[#This Row],[BranchCode]],BranchesTbl[BranchCode],BranchesTbl[BranchName])</f>
        <v>Nakuru</v>
      </c>
      <c r="Q346">
        <f>_xlfn.XLOOKUP(Loans[[#This Row],[CustomerID]],CustomerTbl[CustomerID],CustomerTbl[RiskScore])</f>
        <v>305</v>
      </c>
      <c r="R346" t="str">
        <f>IFERROR(INDEX(RiskTbl[Risk_Category],MATCH(Loans[[#This Row],[RiskScore]],RiskTbl[Score_Min],1)),"Unknown")</f>
        <v>High Risk</v>
      </c>
      <c r="S346" t="str">
        <f>IF(OR(Loans[[#This Row],[LoanStatus]]="Default",Loans[[#This Row],[LoanStatus]]="Watchlist",Loans[[#This Row],[CollateralRisk]]="Undersecured",Loans[[#This Row],[RiskCategory]]="High Risk"),"High Risk Exposure","Normal")</f>
        <v>High Risk Exposure</v>
      </c>
      <c r="T346" t="str" cm="1">
        <f t="array" ref="T346">_xlfn.IFS(
Loans[[#This Row],[LoanStatus]]="Default","Critical",
OR(Loans[[#This Row],[LoanStatus]]="Watchlist",Loans[[#This Row],[CollateralRisk]]="Undersecured",Loans[[#This Row],[RiskCategory]]="High Risk"),"High",
TRUE,"Normal"
)</f>
        <v>High</v>
      </c>
    </row>
    <row r="347" spans="1:20" x14ac:dyDescent="0.35">
      <c r="A347" t="s">
        <v>801</v>
      </c>
      <c r="B347" t="s">
        <v>547</v>
      </c>
      <c r="C347" t="s">
        <v>196</v>
      </c>
      <c r="D347" t="s">
        <v>158</v>
      </c>
      <c r="E347" s="34">
        <v>500000</v>
      </c>
      <c r="F347" s="29">
        <v>0.1759</v>
      </c>
      <c r="G347" s="30">
        <v>45148</v>
      </c>
      <c r="H347">
        <v>24</v>
      </c>
      <c r="I347">
        <v>120</v>
      </c>
      <c r="J347" s="34">
        <v>650000</v>
      </c>
      <c r="K347" t="s">
        <v>178</v>
      </c>
      <c r="L347" s="34">
        <f>PMT(Loans[[#This Row],[InterestRate]]/12,Loans[[#This Row],[LoanTenureMonths]],-Loans[[#This Row],[LoanAmount]])</f>
        <v>24863.112105693548</v>
      </c>
      <c r="M347" s="30">
        <f>EDATE(Loans[[#This Row],[LoanStartDate]],Loans[[#This Row],[LoanTenureMonths]])</f>
        <v>45879</v>
      </c>
      <c r="N347" s="33">
        <f>IF(Loans[[#This Row],[LoanAmount]]=0,0,Loans[[#This Row],[CollateralValue]]/Loans[[#This Row],[LoanAmount]])</f>
        <v>1.3</v>
      </c>
      <c r="O347" t="str">
        <f>IF(Loans[[#This Row],[CollateralCoverageRatio]]&lt;1,"Undersecured","Secured")</f>
        <v>Secured</v>
      </c>
      <c r="P347" t="str">
        <f>_xlfn.XLOOKUP(Loans[[#This Row],[BranchCode]],BranchesTbl[BranchCode],BranchesTbl[BranchName])</f>
        <v>Karen</v>
      </c>
      <c r="Q347">
        <f>_xlfn.XLOOKUP(Loans[[#This Row],[CustomerID]],CustomerTbl[CustomerID],CustomerTbl[RiskScore])</f>
        <v>615</v>
      </c>
      <c r="R347" t="str">
        <f>IFERROR(INDEX(RiskTbl[Risk_Category],MATCH(Loans[[#This Row],[RiskScore]],RiskTbl[Score_Min],1)),"Unknown")</f>
        <v>Medium Risk</v>
      </c>
      <c r="S347" t="str">
        <f>IF(OR(Loans[[#This Row],[LoanStatus]]="Default",Loans[[#This Row],[LoanStatus]]="Watchlist",Loans[[#This Row],[CollateralRisk]]="Undersecured",Loans[[#This Row],[RiskCategory]]="High Risk"),"High Risk Exposure","Normal")</f>
        <v>High Risk Exposure</v>
      </c>
      <c r="T347" t="str" cm="1">
        <f t="array" ref="T347">_xlfn.IFS(
Loans[[#This Row],[LoanStatus]]="Default","Critical",
OR(Loans[[#This Row],[LoanStatus]]="Watchlist",Loans[[#This Row],[CollateralRisk]]="Undersecured",Loans[[#This Row],[RiskCategory]]="High Risk"),"High",
TRUE,"Normal"
)</f>
        <v>Critical</v>
      </c>
    </row>
    <row r="348" spans="1:20" x14ac:dyDescent="0.35">
      <c r="A348" t="s">
        <v>802</v>
      </c>
      <c r="B348" t="s">
        <v>803</v>
      </c>
      <c r="C348" t="s">
        <v>270</v>
      </c>
      <c r="D348" t="s">
        <v>155</v>
      </c>
      <c r="E348" s="34">
        <v>1000000</v>
      </c>
      <c r="F348" s="29">
        <v>0.23480000000000001</v>
      </c>
      <c r="G348" s="30">
        <v>43930</v>
      </c>
      <c r="H348">
        <v>36</v>
      </c>
      <c r="I348">
        <v>45</v>
      </c>
      <c r="J348" s="34">
        <v>0</v>
      </c>
      <c r="K348" t="s">
        <v>199</v>
      </c>
      <c r="L348" s="34">
        <f>PMT(Loans[[#This Row],[InterestRate]]/12,Loans[[#This Row],[LoanTenureMonths]],-Loans[[#This Row],[LoanAmount]])</f>
        <v>38960.34363946996</v>
      </c>
      <c r="M348" s="30">
        <f>EDATE(Loans[[#This Row],[LoanStartDate]],Loans[[#This Row],[LoanTenureMonths]])</f>
        <v>45025</v>
      </c>
      <c r="N348" s="33">
        <f>IF(Loans[[#This Row],[LoanAmount]]=0,0,Loans[[#This Row],[CollateralValue]]/Loans[[#This Row],[LoanAmount]])</f>
        <v>0</v>
      </c>
      <c r="O348" t="str">
        <f>IF(Loans[[#This Row],[CollateralCoverageRatio]]&lt;1,"Undersecured","Secured")</f>
        <v>Undersecured</v>
      </c>
      <c r="P348" t="str">
        <f>_xlfn.XLOOKUP(Loans[[#This Row],[BranchCode]],BranchesTbl[BranchCode],BranchesTbl[BranchName])</f>
        <v>Nakuru</v>
      </c>
      <c r="Q348">
        <f>_xlfn.XLOOKUP(Loans[[#This Row],[CustomerID]],CustomerTbl[CustomerID],CustomerTbl[RiskScore])</f>
        <v>486</v>
      </c>
      <c r="R348" t="str">
        <f>IFERROR(INDEX(RiskTbl[Risk_Category],MATCH(Loans[[#This Row],[RiskScore]],RiskTbl[Score_Min],1)),"Unknown")</f>
        <v>High Risk</v>
      </c>
      <c r="S348" t="str">
        <f>IF(OR(Loans[[#This Row],[LoanStatus]]="Default",Loans[[#This Row],[LoanStatus]]="Watchlist",Loans[[#This Row],[CollateralRisk]]="Undersecured",Loans[[#This Row],[RiskCategory]]="High Risk"),"High Risk Exposure","Normal")</f>
        <v>High Risk Exposure</v>
      </c>
      <c r="T348" t="str" cm="1">
        <f t="array" ref="T348">_xlfn.IFS(
Loans[[#This Row],[LoanStatus]]="Default","Critical",
OR(Loans[[#This Row],[LoanStatus]]="Watchlist",Loans[[#This Row],[CollateralRisk]]="Undersecured",Loans[[#This Row],[RiskCategory]]="High Risk"),"High",
TRUE,"Normal"
)</f>
        <v>High</v>
      </c>
    </row>
    <row r="349" spans="1:20" x14ac:dyDescent="0.35">
      <c r="A349" t="s">
        <v>804</v>
      </c>
      <c r="B349" t="s">
        <v>805</v>
      </c>
      <c r="C349" t="s">
        <v>174</v>
      </c>
      <c r="D349" t="s">
        <v>155</v>
      </c>
      <c r="E349" s="34">
        <v>1000000</v>
      </c>
      <c r="F349" s="29">
        <v>0.20399999999999999</v>
      </c>
      <c r="G349" s="30">
        <v>45842</v>
      </c>
      <c r="H349">
        <v>36</v>
      </c>
      <c r="I349">
        <v>45</v>
      </c>
      <c r="J349" s="34">
        <v>0</v>
      </c>
      <c r="K349" t="s">
        <v>199</v>
      </c>
      <c r="L349" s="34">
        <f>PMT(Loans[[#This Row],[InterestRate]]/12,Loans[[#This Row],[LoanTenureMonths]],-Loans[[#This Row],[LoanAmount]])</f>
        <v>37367.707512312096</v>
      </c>
      <c r="M349" s="30">
        <f>EDATE(Loans[[#This Row],[LoanStartDate]],Loans[[#This Row],[LoanTenureMonths]])</f>
        <v>46938</v>
      </c>
      <c r="N349" s="33">
        <f>IF(Loans[[#This Row],[LoanAmount]]=0,0,Loans[[#This Row],[CollateralValue]]/Loans[[#This Row],[LoanAmount]])</f>
        <v>0</v>
      </c>
      <c r="O349" t="str">
        <f>IF(Loans[[#This Row],[CollateralCoverageRatio]]&lt;1,"Undersecured","Secured")</f>
        <v>Undersecured</v>
      </c>
      <c r="P349" t="str">
        <f>_xlfn.XLOOKUP(Loans[[#This Row],[BranchCode]],BranchesTbl[BranchCode],BranchesTbl[BranchName])</f>
        <v>Westlands</v>
      </c>
      <c r="Q349">
        <f>_xlfn.XLOOKUP(Loans[[#This Row],[CustomerID]],CustomerTbl[CustomerID],CustomerTbl[RiskScore])</f>
        <v>755</v>
      </c>
      <c r="R349" t="str">
        <f>IFERROR(INDEX(RiskTbl[Risk_Category],MATCH(Loans[[#This Row],[RiskScore]],RiskTbl[Score_Min],1)),"Unknown")</f>
        <v>Very Low Risk</v>
      </c>
      <c r="S349" t="str">
        <f>IF(OR(Loans[[#This Row],[LoanStatus]]="Default",Loans[[#This Row],[LoanStatus]]="Watchlist",Loans[[#This Row],[CollateralRisk]]="Undersecured",Loans[[#This Row],[RiskCategory]]="High Risk"),"High Risk Exposure","Normal")</f>
        <v>High Risk Exposure</v>
      </c>
      <c r="T349" t="str" cm="1">
        <f t="array" ref="T349">_xlfn.IFS(
Loans[[#This Row],[LoanStatus]]="Default","Critical",
OR(Loans[[#This Row],[LoanStatus]]="Watchlist",Loans[[#This Row],[CollateralRisk]]="Undersecured",Loans[[#This Row],[RiskCategory]]="High Risk"),"High",
TRUE,"Normal"
)</f>
        <v>High</v>
      </c>
    </row>
    <row r="350" spans="1:20" x14ac:dyDescent="0.35">
      <c r="A350" t="s">
        <v>806</v>
      </c>
      <c r="B350" t="s">
        <v>807</v>
      </c>
      <c r="C350" t="s">
        <v>184</v>
      </c>
      <c r="D350" t="s">
        <v>155</v>
      </c>
      <c r="E350" s="34">
        <v>100000</v>
      </c>
      <c r="F350" s="29">
        <v>0.24379999999999999</v>
      </c>
      <c r="G350" s="30">
        <v>45141</v>
      </c>
      <c r="H350">
        <v>36</v>
      </c>
      <c r="I350">
        <v>0</v>
      </c>
      <c r="J350" s="34">
        <v>0</v>
      </c>
      <c r="K350" t="s">
        <v>171</v>
      </c>
      <c r="L350" s="34">
        <f>PMT(Loans[[#This Row],[InterestRate]]/12,Loans[[#This Row],[LoanTenureMonths]],-Loans[[#This Row],[LoanAmount]])</f>
        <v>3943.2650957069836</v>
      </c>
      <c r="M350" s="30">
        <f>EDATE(Loans[[#This Row],[LoanStartDate]],Loans[[#This Row],[LoanTenureMonths]])</f>
        <v>46237</v>
      </c>
      <c r="N350" s="33">
        <f>IF(Loans[[#This Row],[LoanAmount]]=0,0,Loans[[#This Row],[CollateralValue]]/Loans[[#This Row],[LoanAmount]])</f>
        <v>0</v>
      </c>
      <c r="O350" t="str">
        <f>IF(Loans[[#This Row],[CollateralCoverageRatio]]&lt;1,"Undersecured","Secured")</f>
        <v>Undersecured</v>
      </c>
      <c r="P350" t="str">
        <f>_xlfn.XLOOKUP(Loans[[#This Row],[BranchCode]],BranchesTbl[BranchCode],BranchesTbl[BranchName])</f>
        <v>Kisumu</v>
      </c>
      <c r="Q350">
        <f>_xlfn.XLOOKUP(Loans[[#This Row],[CustomerID]],CustomerTbl[CustomerID],CustomerTbl[RiskScore])</f>
        <v>572</v>
      </c>
      <c r="R350" t="str">
        <f>IFERROR(INDEX(RiskTbl[Risk_Category],MATCH(Loans[[#This Row],[RiskScore]],RiskTbl[Score_Min],1)),"Unknown")</f>
        <v>High Risk</v>
      </c>
      <c r="S350" t="str">
        <f>IF(OR(Loans[[#This Row],[LoanStatus]]="Default",Loans[[#This Row],[LoanStatus]]="Watchlist",Loans[[#This Row],[CollateralRisk]]="Undersecured",Loans[[#This Row],[RiskCategory]]="High Risk"),"High Risk Exposure","Normal")</f>
        <v>High Risk Exposure</v>
      </c>
      <c r="T350" t="str" cm="1">
        <f t="array" ref="T350">_xlfn.IFS(
Loans[[#This Row],[LoanStatus]]="Default","Critical",
OR(Loans[[#This Row],[LoanStatus]]="Watchlist",Loans[[#This Row],[CollateralRisk]]="Undersecured",Loans[[#This Row],[RiskCategory]]="High Risk"),"High",
TRUE,"Normal"
)</f>
        <v>High</v>
      </c>
    </row>
    <row r="351" spans="1:20" x14ac:dyDescent="0.35">
      <c r="A351" t="s">
        <v>808</v>
      </c>
      <c r="B351" t="s">
        <v>809</v>
      </c>
      <c r="C351" t="s">
        <v>177</v>
      </c>
      <c r="D351" t="s">
        <v>155</v>
      </c>
      <c r="E351" s="34">
        <v>250000</v>
      </c>
      <c r="F351" s="29">
        <v>0.2122</v>
      </c>
      <c r="G351" s="30">
        <v>44678</v>
      </c>
      <c r="H351">
        <v>72</v>
      </c>
      <c r="I351">
        <v>0</v>
      </c>
      <c r="J351" s="34">
        <v>0</v>
      </c>
      <c r="K351" t="s">
        <v>171</v>
      </c>
      <c r="L351" s="34">
        <f>PMT(Loans[[#This Row],[InterestRate]]/12,Loans[[#This Row],[LoanTenureMonths]],-Loans[[#This Row],[LoanAmount]])</f>
        <v>6166.307954098892</v>
      </c>
      <c r="M351" s="30">
        <f>EDATE(Loans[[#This Row],[LoanStartDate]],Loans[[#This Row],[LoanTenureMonths]])</f>
        <v>46870</v>
      </c>
      <c r="N351" s="33">
        <f>IF(Loans[[#This Row],[LoanAmount]]=0,0,Loans[[#This Row],[CollateralValue]]/Loans[[#This Row],[LoanAmount]])</f>
        <v>0</v>
      </c>
      <c r="O351" t="str">
        <f>IF(Loans[[#This Row],[CollateralCoverageRatio]]&lt;1,"Undersecured","Secured")</f>
        <v>Undersecured</v>
      </c>
      <c r="P351" t="str">
        <f>_xlfn.XLOOKUP(Loans[[#This Row],[BranchCode]],BranchesTbl[BranchCode],BranchesTbl[BranchName])</f>
        <v>Naivasha</v>
      </c>
      <c r="Q351">
        <f>_xlfn.XLOOKUP(Loans[[#This Row],[CustomerID]],CustomerTbl[CustomerID],CustomerTbl[RiskScore])</f>
        <v>434</v>
      </c>
      <c r="R351" t="str">
        <f>IFERROR(INDEX(RiskTbl[Risk_Category],MATCH(Loans[[#This Row],[RiskScore]],RiskTbl[Score_Min],1)),"Unknown")</f>
        <v>High Risk</v>
      </c>
      <c r="S351" t="str">
        <f>IF(OR(Loans[[#This Row],[LoanStatus]]="Default",Loans[[#This Row],[LoanStatus]]="Watchlist",Loans[[#This Row],[CollateralRisk]]="Undersecured",Loans[[#This Row],[RiskCategory]]="High Risk"),"High Risk Exposure","Normal")</f>
        <v>High Risk Exposure</v>
      </c>
      <c r="T351" t="str" cm="1">
        <f t="array" ref="T351">_xlfn.IFS(
Loans[[#This Row],[LoanStatus]]="Default","Critical",
OR(Loans[[#This Row],[LoanStatus]]="Watchlist",Loans[[#This Row],[CollateralRisk]]="Undersecured",Loans[[#This Row],[RiskCategory]]="High Risk"),"High",
TRUE,"Normal"
)</f>
        <v>High</v>
      </c>
    </row>
    <row r="352" spans="1:20" x14ac:dyDescent="0.35">
      <c r="A352" t="s">
        <v>810</v>
      </c>
      <c r="B352" t="s">
        <v>811</v>
      </c>
      <c r="C352" t="s">
        <v>267</v>
      </c>
      <c r="D352" t="s">
        <v>155</v>
      </c>
      <c r="E352" s="34">
        <v>500000</v>
      </c>
      <c r="F352" s="29">
        <v>0.2717</v>
      </c>
      <c r="G352" s="30">
        <v>44847</v>
      </c>
      <c r="H352">
        <v>72</v>
      </c>
      <c r="I352">
        <v>5</v>
      </c>
      <c r="J352" s="34">
        <v>0</v>
      </c>
      <c r="K352" t="s">
        <v>171</v>
      </c>
      <c r="L352" s="34">
        <f>PMT(Loans[[#This Row],[InterestRate]]/12,Loans[[#This Row],[LoanTenureMonths]],-Loans[[#This Row],[LoanAmount]])</f>
        <v>14141.929093225639</v>
      </c>
      <c r="M352" s="30">
        <f>EDATE(Loans[[#This Row],[LoanStartDate]],Loans[[#This Row],[LoanTenureMonths]])</f>
        <v>47039</v>
      </c>
      <c r="N352" s="33">
        <f>IF(Loans[[#This Row],[LoanAmount]]=0,0,Loans[[#This Row],[CollateralValue]]/Loans[[#This Row],[LoanAmount]])</f>
        <v>0</v>
      </c>
      <c r="O352" t="str">
        <f>IF(Loans[[#This Row],[CollateralCoverageRatio]]&lt;1,"Undersecured","Secured")</f>
        <v>Undersecured</v>
      </c>
      <c r="P352" t="str">
        <f>_xlfn.XLOOKUP(Loans[[#This Row],[BranchCode]],BranchesTbl[BranchCode],BranchesTbl[BranchName])</f>
        <v>Malindi</v>
      </c>
      <c r="Q352">
        <f>_xlfn.XLOOKUP(Loans[[#This Row],[CustomerID]],CustomerTbl[CustomerID],CustomerTbl[RiskScore])</f>
        <v>686</v>
      </c>
      <c r="R352" t="str">
        <f>IFERROR(INDEX(RiskTbl[Risk_Category],MATCH(Loans[[#This Row],[RiskScore]],RiskTbl[Score_Min],1)),"Unknown")</f>
        <v>Low Risk</v>
      </c>
      <c r="S352" t="str">
        <f>IF(OR(Loans[[#This Row],[LoanStatus]]="Default",Loans[[#This Row],[LoanStatus]]="Watchlist",Loans[[#This Row],[CollateralRisk]]="Undersecured",Loans[[#This Row],[RiskCategory]]="High Risk"),"High Risk Exposure","Normal")</f>
        <v>High Risk Exposure</v>
      </c>
      <c r="T352" t="str" cm="1">
        <f t="array" ref="T352">_xlfn.IFS(
Loans[[#This Row],[LoanStatus]]="Default","Critical",
OR(Loans[[#This Row],[LoanStatus]]="Watchlist",Loans[[#This Row],[CollateralRisk]]="Undersecured",Loans[[#This Row],[RiskCategory]]="High Risk"),"High",
TRUE,"Normal"
)</f>
        <v>High</v>
      </c>
    </row>
    <row r="353" spans="1:20" x14ac:dyDescent="0.35">
      <c r="A353" t="s">
        <v>812</v>
      </c>
      <c r="B353" t="s">
        <v>542</v>
      </c>
      <c r="C353" t="s">
        <v>206</v>
      </c>
      <c r="D353" t="s">
        <v>155</v>
      </c>
      <c r="E353" s="34">
        <v>100000</v>
      </c>
      <c r="F353" s="29">
        <v>0.25040000000000001</v>
      </c>
      <c r="G353" s="30">
        <v>44198</v>
      </c>
      <c r="H353">
        <v>48</v>
      </c>
      <c r="I353">
        <v>90</v>
      </c>
      <c r="J353" s="34">
        <v>0</v>
      </c>
      <c r="K353" t="s">
        <v>199</v>
      </c>
      <c r="L353" s="34">
        <f>PMT(Loans[[#This Row],[InterestRate]]/12,Loans[[#This Row],[LoanTenureMonths]],-Loans[[#This Row],[LoanAmount]])</f>
        <v>3317.944184011305</v>
      </c>
      <c r="M353" s="30">
        <f>EDATE(Loans[[#This Row],[LoanStartDate]],Loans[[#This Row],[LoanTenureMonths]])</f>
        <v>45659</v>
      </c>
      <c r="N353" s="33">
        <f>IF(Loans[[#This Row],[LoanAmount]]=0,0,Loans[[#This Row],[CollateralValue]]/Loans[[#This Row],[LoanAmount]])</f>
        <v>0</v>
      </c>
      <c r="O353" t="str">
        <f>IF(Loans[[#This Row],[CollateralCoverageRatio]]&lt;1,"Undersecured","Secured")</f>
        <v>Undersecured</v>
      </c>
      <c r="P353" t="str">
        <f>_xlfn.XLOOKUP(Loans[[#This Row],[BranchCode]],BranchesTbl[BranchCode],BranchesTbl[BranchName])</f>
        <v>Nyahururu</v>
      </c>
      <c r="Q353">
        <f>_xlfn.XLOOKUP(Loans[[#This Row],[CustomerID]],CustomerTbl[CustomerID],CustomerTbl[RiskScore])</f>
        <v>466</v>
      </c>
      <c r="R353" t="str">
        <f>IFERROR(INDEX(RiskTbl[Risk_Category],MATCH(Loans[[#This Row],[RiskScore]],RiskTbl[Score_Min],1)),"Unknown")</f>
        <v>High Risk</v>
      </c>
      <c r="S353" t="str">
        <f>IF(OR(Loans[[#This Row],[LoanStatus]]="Default",Loans[[#This Row],[LoanStatus]]="Watchlist",Loans[[#This Row],[CollateralRisk]]="Undersecured",Loans[[#This Row],[RiskCategory]]="High Risk"),"High Risk Exposure","Normal")</f>
        <v>High Risk Exposure</v>
      </c>
      <c r="T353" t="str" cm="1">
        <f t="array" ref="T353">_xlfn.IFS(
Loans[[#This Row],[LoanStatus]]="Default","Critical",
OR(Loans[[#This Row],[LoanStatus]]="Watchlist",Loans[[#This Row],[CollateralRisk]]="Undersecured",Loans[[#This Row],[RiskCategory]]="High Risk"),"High",
TRUE,"Normal"
)</f>
        <v>High</v>
      </c>
    </row>
    <row r="354" spans="1:20" x14ac:dyDescent="0.35">
      <c r="A354" t="s">
        <v>813</v>
      </c>
      <c r="B354" t="s">
        <v>306</v>
      </c>
      <c r="C354" t="s">
        <v>193</v>
      </c>
      <c r="D354" t="s">
        <v>155</v>
      </c>
      <c r="E354" s="34">
        <v>500000</v>
      </c>
      <c r="F354" s="29">
        <v>0.17319999999999999</v>
      </c>
      <c r="G354" s="30">
        <v>44537</v>
      </c>
      <c r="H354">
        <v>24</v>
      </c>
      <c r="I354">
        <v>0</v>
      </c>
      <c r="J354" s="34">
        <v>0</v>
      </c>
      <c r="K354" t="s">
        <v>171</v>
      </c>
      <c r="L354" s="34">
        <f>PMT(Loans[[#This Row],[InterestRate]]/12,Loans[[#This Row],[LoanTenureMonths]],-Loans[[#This Row],[LoanAmount]])</f>
        <v>24798.080242271259</v>
      </c>
      <c r="M354" s="30">
        <f>EDATE(Loans[[#This Row],[LoanStartDate]],Loans[[#This Row],[LoanTenureMonths]])</f>
        <v>45267</v>
      </c>
      <c r="N354" s="33">
        <f>IF(Loans[[#This Row],[LoanAmount]]=0,0,Loans[[#This Row],[CollateralValue]]/Loans[[#This Row],[LoanAmount]])</f>
        <v>0</v>
      </c>
      <c r="O354" t="str">
        <f>IF(Loans[[#This Row],[CollateralCoverageRatio]]&lt;1,"Undersecured","Secured")</f>
        <v>Undersecured</v>
      </c>
      <c r="P354" t="str">
        <f>_xlfn.XLOOKUP(Loans[[#This Row],[BranchCode]],BranchesTbl[BranchCode],BranchesTbl[BranchName])</f>
        <v>Mombasa</v>
      </c>
      <c r="Q354">
        <f>_xlfn.XLOOKUP(Loans[[#This Row],[CustomerID]],CustomerTbl[CustomerID],CustomerTbl[RiskScore])</f>
        <v>400</v>
      </c>
      <c r="R354" t="str">
        <f>IFERROR(INDEX(RiskTbl[Risk_Category],MATCH(Loans[[#This Row],[RiskScore]],RiskTbl[Score_Min],1)),"Unknown")</f>
        <v>High Risk</v>
      </c>
      <c r="S354" t="str">
        <f>IF(OR(Loans[[#This Row],[LoanStatus]]="Default",Loans[[#This Row],[LoanStatus]]="Watchlist",Loans[[#This Row],[CollateralRisk]]="Undersecured",Loans[[#This Row],[RiskCategory]]="High Risk"),"High Risk Exposure","Normal")</f>
        <v>High Risk Exposure</v>
      </c>
      <c r="T354" t="str" cm="1">
        <f t="array" ref="T354">_xlfn.IFS(
Loans[[#This Row],[LoanStatus]]="Default","Critical",
OR(Loans[[#This Row],[LoanStatus]]="Watchlist",Loans[[#This Row],[CollateralRisk]]="Undersecured",Loans[[#This Row],[RiskCategory]]="High Risk"),"High",
TRUE,"Normal"
)</f>
        <v>High</v>
      </c>
    </row>
    <row r="355" spans="1:20" x14ac:dyDescent="0.35">
      <c r="A355" t="s">
        <v>814</v>
      </c>
      <c r="B355" t="s">
        <v>815</v>
      </c>
      <c r="C355" t="s">
        <v>219</v>
      </c>
      <c r="D355" t="s">
        <v>157</v>
      </c>
      <c r="E355" s="34">
        <v>80000000</v>
      </c>
      <c r="F355" s="29">
        <v>9.8400000000000001E-2</v>
      </c>
      <c r="G355" s="30">
        <v>44738</v>
      </c>
      <c r="H355">
        <v>12</v>
      </c>
      <c r="I355">
        <v>20</v>
      </c>
      <c r="J355" s="34">
        <v>46400000</v>
      </c>
      <c r="K355" t="s">
        <v>171</v>
      </c>
      <c r="L355" s="34">
        <f>PMT(Loans[[#This Row],[InterestRate]]/12,Loans[[#This Row],[LoanTenureMonths]],-Loans[[#This Row],[LoanAmount]])</f>
        <v>7027319.2046188833</v>
      </c>
      <c r="M355" s="30">
        <f>EDATE(Loans[[#This Row],[LoanStartDate]],Loans[[#This Row],[LoanTenureMonths]])</f>
        <v>45103</v>
      </c>
      <c r="N355" s="33">
        <f>IF(Loans[[#This Row],[LoanAmount]]=0,0,Loans[[#This Row],[CollateralValue]]/Loans[[#This Row],[LoanAmount]])</f>
        <v>0.57999999999999996</v>
      </c>
      <c r="O355" t="str">
        <f>IF(Loans[[#This Row],[CollateralCoverageRatio]]&lt;1,"Undersecured","Secured")</f>
        <v>Undersecured</v>
      </c>
      <c r="P355" t="str">
        <f>_xlfn.XLOOKUP(Loans[[#This Row],[BranchCode]],BranchesTbl[BranchCode],BranchesTbl[BranchName])</f>
        <v>Meru</v>
      </c>
      <c r="Q355">
        <f>_xlfn.XLOOKUP(Loans[[#This Row],[CustomerID]],CustomerTbl[CustomerID],CustomerTbl[RiskScore])</f>
        <v>521</v>
      </c>
      <c r="R355" t="str">
        <f>IFERROR(INDEX(RiskTbl[Risk_Category],MATCH(Loans[[#This Row],[RiskScore]],RiskTbl[Score_Min],1)),"Unknown")</f>
        <v>High Risk</v>
      </c>
      <c r="S355" t="str">
        <f>IF(OR(Loans[[#This Row],[LoanStatus]]="Default",Loans[[#This Row],[LoanStatus]]="Watchlist",Loans[[#This Row],[CollateralRisk]]="Undersecured",Loans[[#This Row],[RiskCategory]]="High Risk"),"High Risk Exposure","Normal")</f>
        <v>High Risk Exposure</v>
      </c>
      <c r="T355" t="str" cm="1">
        <f t="array" ref="T355">_xlfn.IFS(
Loans[[#This Row],[LoanStatus]]="Default","Critical",
OR(Loans[[#This Row],[LoanStatus]]="Watchlist",Loans[[#This Row],[CollateralRisk]]="Undersecured",Loans[[#This Row],[RiskCategory]]="High Risk"),"High",
TRUE,"Normal"
)</f>
        <v>High</v>
      </c>
    </row>
    <row r="356" spans="1:20" x14ac:dyDescent="0.35">
      <c r="A356" t="s">
        <v>816</v>
      </c>
      <c r="B356" t="s">
        <v>583</v>
      </c>
      <c r="C356" t="s">
        <v>206</v>
      </c>
      <c r="D356" t="s">
        <v>155</v>
      </c>
      <c r="E356" s="34">
        <v>250000</v>
      </c>
      <c r="F356" s="29">
        <v>0.25119999999999998</v>
      </c>
      <c r="G356" s="30">
        <v>44283</v>
      </c>
      <c r="H356">
        <v>36</v>
      </c>
      <c r="I356">
        <v>0</v>
      </c>
      <c r="J356" s="34">
        <v>0</v>
      </c>
      <c r="K356" t="s">
        <v>171</v>
      </c>
      <c r="L356" s="34">
        <f>PMT(Loans[[#This Row],[InterestRate]]/12,Loans[[#This Row],[LoanTenureMonths]],-Loans[[#This Row],[LoanAmount]])</f>
        <v>9955.8299773833114</v>
      </c>
      <c r="M356" s="30">
        <f>EDATE(Loans[[#This Row],[LoanStartDate]],Loans[[#This Row],[LoanTenureMonths]])</f>
        <v>45379</v>
      </c>
      <c r="N356" s="33">
        <f>IF(Loans[[#This Row],[LoanAmount]]=0,0,Loans[[#This Row],[CollateralValue]]/Loans[[#This Row],[LoanAmount]])</f>
        <v>0</v>
      </c>
      <c r="O356" t="str">
        <f>IF(Loans[[#This Row],[CollateralCoverageRatio]]&lt;1,"Undersecured","Secured")</f>
        <v>Undersecured</v>
      </c>
      <c r="P356" t="str">
        <f>_xlfn.XLOOKUP(Loans[[#This Row],[BranchCode]],BranchesTbl[BranchCode],BranchesTbl[BranchName])</f>
        <v>Nyahururu</v>
      </c>
      <c r="Q356">
        <f>_xlfn.XLOOKUP(Loans[[#This Row],[CustomerID]],CustomerTbl[CustomerID],CustomerTbl[RiskScore])</f>
        <v>717</v>
      </c>
      <c r="R356" t="str">
        <f>IFERROR(INDEX(RiskTbl[Risk_Category],MATCH(Loans[[#This Row],[RiskScore]],RiskTbl[Score_Min],1)),"Unknown")</f>
        <v>Low Risk</v>
      </c>
      <c r="S356" t="str">
        <f>IF(OR(Loans[[#This Row],[LoanStatus]]="Default",Loans[[#This Row],[LoanStatus]]="Watchlist",Loans[[#This Row],[CollateralRisk]]="Undersecured",Loans[[#This Row],[RiskCategory]]="High Risk"),"High Risk Exposure","Normal")</f>
        <v>High Risk Exposure</v>
      </c>
      <c r="T356" t="str" cm="1">
        <f t="array" ref="T356">_xlfn.IFS(
Loans[[#This Row],[LoanStatus]]="Default","Critical",
OR(Loans[[#This Row],[LoanStatus]]="Watchlist",Loans[[#This Row],[CollateralRisk]]="Undersecured",Loans[[#This Row],[RiskCategory]]="High Risk"),"High",
TRUE,"Normal"
)</f>
        <v>High</v>
      </c>
    </row>
    <row r="357" spans="1:20" x14ac:dyDescent="0.35">
      <c r="A357" t="s">
        <v>817</v>
      </c>
      <c r="B357" t="s">
        <v>288</v>
      </c>
      <c r="C357" t="s">
        <v>232</v>
      </c>
      <c r="D357" t="s">
        <v>158</v>
      </c>
      <c r="E357" s="34">
        <v>3000000</v>
      </c>
      <c r="F357" s="29">
        <v>0.16619999999999999</v>
      </c>
      <c r="G357" s="30">
        <v>45846</v>
      </c>
      <c r="H357">
        <v>72</v>
      </c>
      <c r="I357">
        <v>5</v>
      </c>
      <c r="J357" s="34">
        <v>4320000</v>
      </c>
      <c r="K357" t="s">
        <v>171</v>
      </c>
      <c r="L357" s="34">
        <f>PMT(Loans[[#This Row],[InterestRate]]/12,Loans[[#This Row],[LoanTenureMonths]],-Loans[[#This Row],[LoanAmount]])</f>
        <v>66103.882374637193</v>
      </c>
      <c r="M357" s="30">
        <f>EDATE(Loans[[#This Row],[LoanStartDate]],Loans[[#This Row],[LoanTenureMonths]])</f>
        <v>48037</v>
      </c>
      <c r="N357" s="33">
        <f>IF(Loans[[#This Row],[LoanAmount]]=0,0,Loans[[#This Row],[CollateralValue]]/Loans[[#This Row],[LoanAmount]])</f>
        <v>1.44</v>
      </c>
      <c r="O357" t="str">
        <f>IF(Loans[[#This Row],[CollateralCoverageRatio]]&lt;1,"Undersecured","Secured")</f>
        <v>Secured</v>
      </c>
      <c r="P357" t="str">
        <f>_xlfn.XLOOKUP(Loans[[#This Row],[BranchCode]],BranchesTbl[BranchCode],BranchesTbl[BranchName])</f>
        <v>Upper Hill</v>
      </c>
      <c r="Q357">
        <f>_xlfn.XLOOKUP(Loans[[#This Row],[CustomerID]],CustomerTbl[CustomerID],CustomerTbl[RiskScore])</f>
        <v>666</v>
      </c>
      <c r="R357" t="str">
        <f>IFERROR(INDEX(RiskTbl[Risk_Category],MATCH(Loans[[#This Row],[RiskScore]],RiskTbl[Score_Min],1)),"Unknown")</f>
        <v>Medium Risk</v>
      </c>
      <c r="S357" t="str">
        <f>IF(OR(Loans[[#This Row],[LoanStatus]]="Default",Loans[[#This Row],[LoanStatus]]="Watchlist",Loans[[#This Row],[CollateralRisk]]="Undersecured",Loans[[#This Row],[RiskCategory]]="High Risk"),"High Risk Exposure","Normal")</f>
        <v>Normal</v>
      </c>
      <c r="T357" t="str" cm="1">
        <f t="array" ref="T357">_xlfn.IFS(
Loans[[#This Row],[LoanStatus]]="Default","Critical",
OR(Loans[[#This Row],[LoanStatus]]="Watchlist",Loans[[#This Row],[CollateralRisk]]="Undersecured",Loans[[#This Row],[RiskCategory]]="High Risk"),"High",
TRUE,"Normal"
)</f>
        <v>Normal</v>
      </c>
    </row>
    <row r="358" spans="1:20" x14ac:dyDescent="0.35">
      <c r="A358" t="s">
        <v>818</v>
      </c>
      <c r="B358" t="s">
        <v>381</v>
      </c>
      <c r="C358" t="s">
        <v>267</v>
      </c>
      <c r="D358" t="s">
        <v>155</v>
      </c>
      <c r="E358" s="34">
        <v>100000</v>
      </c>
      <c r="F358" s="29">
        <v>0.2581</v>
      </c>
      <c r="G358" s="30">
        <v>44182</v>
      </c>
      <c r="H358">
        <v>12</v>
      </c>
      <c r="I358">
        <v>0</v>
      </c>
      <c r="J358" s="34">
        <v>0</v>
      </c>
      <c r="K358" t="s">
        <v>171</v>
      </c>
      <c r="L358" s="34">
        <f>PMT(Loans[[#This Row],[InterestRate]]/12,Loans[[#This Row],[LoanTenureMonths]],-Loans[[#This Row],[LoanAmount]])</f>
        <v>9543.7709040710652</v>
      </c>
      <c r="M358" s="30">
        <f>EDATE(Loans[[#This Row],[LoanStartDate]],Loans[[#This Row],[LoanTenureMonths]])</f>
        <v>44547</v>
      </c>
      <c r="N358" s="33">
        <f>IF(Loans[[#This Row],[LoanAmount]]=0,0,Loans[[#This Row],[CollateralValue]]/Loans[[#This Row],[LoanAmount]])</f>
        <v>0</v>
      </c>
      <c r="O358" t="str">
        <f>IF(Loans[[#This Row],[CollateralCoverageRatio]]&lt;1,"Undersecured","Secured")</f>
        <v>Undersecured</v>
      </c>
      <c r="P358" t="str">
        <f>_xlfn.XLOOKUP(Loans[[#This Row],[BranchCode]],BranchesTbl[BranchCode],BranchesTbl[BranchName])</f>
        <v>Malindi</v>
      </c>
      <c r="Q358">
        <f>_xlfn.XLOOKUP(Loans[[#This Row],[CustomerID]],CustomerTbl[CustomerID],CustomerTbl[RiskScore])</f>
        <v>628</v>
      </c>
      <c r="R358" t="str">
        <f>IFERROR(INDEX(RiskTbl[Risk_Category],MATCH(Loans[[#This Row],[RiskScore]],RiskTbl[Score_Min],1)),"Unknown")</f>
        <v>Medium Risk</v>
      </c>
      <c r="S358" t="str">
        <f>IF(OR(Loans[[#This Row],[LoanStatus]]="Default",Loans[[#This Row],[LoanStatus]]="Watchlist",Loans[[#This Row],[CollateralRisk]]="Undersecured",Loans[[#This Row],[RiskCategory]]="High Risk"),"High Risk Exposure","Normal")</f>
        <v>High Risk Exposure</v>
      </c>
      <c r="T358" t="str" cm="1">
        <f t="array" ref="T358">_xlfn.IFS(
Loans[[#This Row],[LoanStatus]]="Default","Critical",
OR(Loans[[#This Row],[LoanStatus]]="Watchlist",Loans[[#This Row],[CollateralRisk]]="Undersecured",Loans[[#This Row],[RiskCategory]]="High Risk"),"High",
TRUE,"Normal"
)</f>
        <v>High</v>
      </c>
    </row>
    <row r="359" spans="1:20" x14ac:dyDescent="0.35">
      <c r="A359" t="s">
        <v>819</v>
      </c>
      <c r="B359" t="s">
        <v>735</v>
      </c>
      <c r="C359" t="s">
        <v>239</v>
      </c>
      <c r="D359" t="s">
        <v>157</v>
      </c>
      <c r="E359" s="34">
        <v>25000000</v>
      </c>
      <c r="F359" s="29">
        <v>0.12559999999999999</v>
      </c>
      <c r="G359" s="30">
        <v>45860</v>
      </c>
      <c r="H359">
        <v>36</v>
      </c>
      <c r="I359">
        <v>90</v>
      </c>
      <c r="J359" s="34">
        <v>17000000</v>
      </c>
      <c r="K359" t="s">
        <v>199</v>
      </c>
      <c r="L359" s="34">
        <f>PMT(Loans[[#This Row],[InterestRate]]/12,Loans[[#This Row],[LoanTenureMonths]],-Loans[[#This Row],[LoanAmount]])</f>
        <v>837060.28548163327</v>
      </c>
      <c r="M359" s="30">
        <f>EDATE(Loans[[#This Row],[LoanStartDate]],Loans[[#This Row],[LoanTenureMonths]])</f>
        <v>46956</v>
      </c>
      <c r="N359" s="33">
        <f>IF(Loans[[#This Row],[LoanAmount]]=0,0,Loans[[#This Row],[CollateralValue]]/Loans[[#This Row],[LoanAmount]])</f>
        <v>0.68</v>
      </c>
      <c r="O359" t="str">
        <f>IF(Loans[[#This Row],[CollateralCoverageRatio]]&lt;1,"Undersecured","Secured")</f>
        <v>Undersecured</v>
      </c>
      <c r="P359" t="str">
        <f>_xlfn.XLOOKUP(Loans[[#This Row],[BranchCode]],BranchesTbl[BranchCode],BranchesTbl[BranchName])</f>
        <v>Machakos</v>
      </c>
      <c r="Q359">
        <f>_xlfn.XLOOKUP(Loans[[#This Row],[CustomerID]],CustomerTbl[CustomerID],CustomerTbl[RiskScore])</f>
        <v>318</v>
      </c>
      <c r="R359" t="str">
        <f>IFERROR(INDEX(RiskTbl[Risk_Category],MATCH(Loans[[#This Row],[RiskScore]],RiskTbl[Score_Min],1)),"Unknown")</f>
        <v>High Risk</v>
      </c>
      <c r="S359" t="str">
        <f>IF(OR(Loans[[#This Row],[LoanStatus]]="Default",Loans[[#This Row],[LoanStatus]]="Watchlist",Loans[[#This Row],[CollateralRisk]]="Undersecured",Loans[[#This Row],[RiskCategory]]="High Risk"),"High Risk Exposure","Normal")</f>
        <v>High Risk Exposure</v>
      </c>
      <c r="T359" t="str" cm="1">
        <f t="array" ref="T359">_xlfn.IFS(
Loans[[#This Row],[LoanStatus]]="Default","Critical",
OR(Loans[[#This Row],[LoanStatus]]="Watchlist",Loans[[#This Row],[CollateralRisk]]="Undersecured",Loans[[#This Row],[RiskCategory]]="High Risk"),"High",
TRUE,"Normal"
)</f>
        <v>High</v>
      </c>
    </row>
    <row r="360" spans="1:20" x14ac:dyDescent="0.35">
      <c r="A360" t="s">
        <v>820</v>
      </c>
      <c r="B360" t="s">
        <v>821</v>
      </c>
      <c r="C360" t="s">
        <v>219</v>
      </c>
      <c r="D360" t="s">
        <v>156</v>
      </c>
      <c r="E360" s="34">
        <v>25000000</v>
      </c>
      <c r="F360" s="29">
        <v>0.22720000000000001</v>
      </c>
      <c r="G360" s="30">
        <v>45769</v>
      </c>
      <c r="H360">
        <v>48</v>
      </c>
      <c r="I360">
        <v>0</v>
      </c>
      <c r="J360" s="34">
        <v>17750000</v>
      </c>
      <c r="K360" t="s">
        <v>171</v>
      </c>
      <c r="L360" s="34">
        <f>PMT(Loans[[#This Row],[InterestRate]]/12,Loans[[#This Row],[LoanTenureMonths]],-Loans[[#This Row],[LoanAmount]])</f>
        <v>797456.46339717065</v>
      </c>
      <c r="M360" s="30">
        <f>EDATE(Loans[[#This Row],[LoanStartDate]],Loans[[#This Row],[LoanTenureMonths]])</f>
        <v>47230</v>
      </c>
      <c r="N360" s="33">
        <f>IF(Loans[[#This Row],[LoanAmount]]=0,0,Loans[[#This Row],[CollateralValue]]/Loans[[#This Row],[LoanAmount]])</f>
        <v>0.71</v>
      </c>
      <c r="O360" t="str">
        <f>IF(Loans[[#This Row],[CollateralCoverageRatio]]&lt;1,"Undersecured","Secured")</f>
        <v>Undersecured</v>
      </c>
      <c r="P360" t="str">
        <f>_xlfn.XLOOKUP(Loans[[#This Row],[BranchCode]],BranchesTbl[BranchCode],BranchesTbl[BranchName])</f>
        <v>Meru</v>
      </c>
      <c r="Q360">
        <f>_xlfn.XLOOKUP(Loans[[#This Row],[CustomerID]],CustomerTbl[CustomerID],CustomerTbl[RiskScore])</f>
        <v>435</v>
      </c>
      <c r="R360" t="str">
        <f>IFERROR(INDEX(RiskTbl[Risk_Category],MATCH(Loans[[#This Row],[RiskScore]],RiskTbl[Score_Min],1)),"Unknown")</f>
        <v>High Risk</v>
      </c>
      <c r="S360" t="str">
        <f>IF(OR(Loans[[#This Row],[LoanStatus]]="Default",Loans[[#This Row],[LoanStatus]]="Watchlist",Loans[[#This Row],[CollateralRisk]]="Undersecured",Loans[[#This Row],[RiskCategory]]="High Risk"),"High Risk Exposure","Normal")</f>
        <v>High Risk Exposure</v>
      </c>
      <c r="T360" t="str" cm="1">
        <f t="array" ref="T360">_xlfn.IFS(
Loans[[#This Row],[LoanStatus]]="Default","Critical",
OR(Loans[[#This Row],[LoanStatus]]="Watchlist",Loans[[#This Row],[CollateralRisk]]="Undersecured",Loans[[#This Row],[RiskCategory]]="High Risk"),"High",
TRUE,"Normal"
)</f>
        <v>High</v>
      </c>
    </row>
    <row r="361" spans="1:20" x14ac:dyDescent="0.35">
      <c r="A361" t="s">
        <v>822</v>
      </c>
      <c r="B361" t="s">
        <v>517</v>
      </c>
      <c r="C361" t="s">
        <v>181</v>
      </c>
      <c r="D361" t="s">
        <v>158</v>
      </c>
      <c r="E361" s="34">
        <v>6000000</v>
      </c>
      <c r="F361" s="29">
        <v>0.19600000000000001</v>
      </c>
      <c r="G361" s="30">
        <v>45244</v>
      </c>
      <c r="H361">
        <v>24</v>
      </c>
      <c r="I361">
        <v>0</v>
      </c>
      <c r="J361" s="34">
        <v>7620000</v>
      </c>
      <c r="K361" t="s">
        <v>171</v>
      </c>
      <c r="L361" s="34">
        <f>PMT(Loans[[#This Row],[InterestRate]]/12,Loans[[#This Row],[LoanTenureMonths]],-Loans[[#This Row],[LoanAmount]])</f>
        <v>304203.65104908304</v>
      </c>
      <c r="M361" s="30">
        <f>EDATE(Loans[[#This Row],[LoanStartDate]],Loans[[#This Row],[LoanTenureMonths]])</f>
        <v>45975</v>
      </c>
      <c r="N361" s="33">
        <f>IF(Loans[[#This Row],[LoanAmount]]=0,0,Loans[[#This Row],[CollateralValue]]/Loans[[#This Row],[LoanAmount]])</f>
        <v>1.27</v>
      </c>
      <c r="O361" t="str">
        <f>IF(Loans[[#This Row],[CollateralCoverageRatio]]&lt;1,"Undersecured","Secured")</f>
        <v>Secured</v>
      </c>
      <c r="P361" t="str">
        <f>_xlfn.XLOOKUP(Loans[[#This Row],[BranchCode]],BranchesTbl[BranchCode],BranchesTbl[BranchName])</f>
        <v>Kitale</v>
      </c>
      <c r="Q361">
        <f>_xlfn.XLOOKUP(Loans[[#This Row],[CustomerID]],CustomerTbl[CustomerID],CustomerTbl[RiskScore])</f>
        <v>474</v>
      </c>
      <c r="R361" t="str">
        <f>IFERROR(INDEX(RiskTbl[Risk_Category],MATCH(Loans[[#This Row],[RiskScore]],RiskTbl[Score_Min],1)),"Unknown")</f>
        <v>High Risk</v>
      </c>
      <c r="S361" t="str">
        <f>IF(OR(Loans[[#This Row],[LoanStatus]]="Default",Loans[[#This Row],[LoanStatus]]="Watchlist",Loans[[#This Row],[CollateralRisk]]="Undersecured",Loans[[#This Row],[RiskCategory]]="High Risk"),"High Risk Exposure","Normal")</f>
        <v>High Risk Exposure</v>
      </c>
      <c r="T361" t="str" cm="1">
        <f t="array" ref="T361">_xlfn.IFS(
Loans[[#This Row],[LoanStatus]]="Default","Critical",
OR(Loans[[#This Row],[LoanStatus]]="Watchlist",Loans[[#This Row],[CollateralRisk]]="Undersecured",Loans[[#This Row],[RiskCategory]]="High Risk"),"High",
TRUE,"Normal"
)</f>
        <v>High</v>
      </c>
    </row>
    <row r="362" spans="1:20" x14ac:dyDescent="0.35">
      <c r="A362" t="s">
        <v>823</v>
      </c>
      <c r="B362" t="s">
        <v>824</v>
      </c>
      <c r="C362" t="s">
        <v>270</v>
      </c>
      <c r="D362" t="s">
        <v>156</v>
      </c>
      <c r="E362" s="34">
        <v>25000000</v>
      </c>
      <c r="F362" s="29">
        <v>0.151</v>
      </c>
      <c r="G362" s="30">
        <v>43942</v>
      </c>
      <c r="H362">
        <v>60</v>
      </c>
      <c r="I362">
        <v>0</v>
      </c>
      <c r="J362" s="34">
        <v>20000000</v>
      </c>
      <c r="K362" t="s">
        <v>171</v>
      </c>
      <c r="L362" s="34">
        <f>PMT(Loans[[#This Row],[InterestRate]]/12,Loans[[#This Row],[LoanTenureMonths]],-Loans[[#This Row],[LoanAmount]])</f>
        <v>596061.33864910319</v>
      </c>
      <c r="M362" s="30">
        <f>EDATE(Loans[[#This Row],[LoanStartDate]],Loans[[#This Row],[LoanTenureMonths]])</f>
        <v>45768</v>
      </c>
      <c r="N362" s="33">
        <f>IF(Loans[[#This Row],[LoanAmount]]=0,0,Loans[[#This Row],[CollateralValue]]/Loans[[#This Row],[LoanAmount]])</f>
        <v>0.8</v>
      </c>
      <c r="O362" t="str">
        <f>IF(Loans[[#This Row],[CollateralCoverageRatio]]&lt;1,"Undersecured","Secured")</f>
        <v>Undersecured</v>
      </c>
      <c r="P362" t="str">
        <f>_xlfn.XLOOKUP(Loans[[#This Row],[BranchCode]],BranchesTbl[BranchCode],BranchesTbl[BranchName])</f>
        <v>Nakuru</v>
      </c>
      <c r="Q362">
        <f>_xlfn.XLOOKUP(Loans[[#This Row],[CustomerID]],CustomerTbl[CustomerID],CustomerTbl[RiskScore])</f>
        <v>835</v>
      </c>
      <c r="R362" t="str">
        <f>IFERROR(INDEX(RiskTbl[Risk_Category],MATCH(Loans[[#This Row],[RiskScore]],RiskTbl[Score_Min],1)),"Unknown")</f>
        <v>Prime</v>
      </c>
      <c r="S362" t="str">
        <f>IF(OR(Loans[[#This Row],[LoanStatus]]="Default",Loans[[#This Row],[LoanStatus]]="Watchlist",Loans[[#This Row],[CollateralRisk]]="Undersecured",Loans[[#This Row],[RiskCategory]]="High Risk"),"High Risk Exposure","Normal")</f>
        <v>High Risk Exposure</v>
      </c>
      <c r="T362" t="str" cm="1">
        <f t="array" ref="T362">_xlfn.IFS(
Loans[[#This Row],[LoanStatus]]="Default","Critical",
OR(Loans[[#This Row],[LoanStatus]]="Watchlist",Loans[[#This Row],[CollateralRisk]]="Undersecured",Loans[[#This Row],[RiskCategory]]="High Risk"),"High",
TRUE,"Normal"
)</f>
        <v>High</v>
      </c>
    </row>
    <row r="363" spans="1:20" x14ac:dyDescent="0.35">
      <c r="A363" t="s">
        <v>825</v>
      </c>
      <c r="B363" t="s">
        <v>610</v>
      </c>
      <c r="C363" t="s">
        <v>177</v>
      </c>
      <c r="D363" t="s">
        <v>156</v>
      </c>
      <c r="E363" s="34">
        <v>1000000</v>
      </c>
      <c r="F363" s="29">
        <v>0.18429999999999999</v>
      </c>
      <c r="G363" s="30">
        <v>43915</v>
      </c>
      <c r="H363">
        <v>48</v>
      </c>
      <c r="I363">
        <v>20</v>
      </c>
      <c r="J363" s="34">
        <v>560000</v>
      </c>
      <c r="K363" t="s">
        <v>171</v>
      </c>
      <c r="L363" s="34">
        <f>PMT(Loans[[#This Row],[InterestRate]]/12,Loans[[#This Row],[LoanTenureMonths]],-Loans[[#This Row],[LoanAmount]])</f>
        <v>29600.170151886105</v>
      </c>
      <c r="M363" s="30">
        <f>EDATE(Loans[[#This Row],[LoanStartDate]],Loans[[#This Row],[LoanTenureMonths]])</f>
        <v>45376</v>
      </c>
      <c r="N363" s="33">
        <f>IF(Loans[[#This Row],[LoanAmount]]=0,0,Loans[[#This Row],[CollateralValue]]/Loans[[#This Row],[LoanAmount]])</f>
        <v>0.56000000000000005</v>
      </c>
      <c r="O363" t="str">
        <f>IF(Loans[[#This Row],[CollateralCoverageRatio]]&lt;1,"Undersecured","Secured")</f>
        <v>Undersecured</v>
      </c>
      <c r="P363" t="str">
        <f>_xlfn.XLOOKUP(Loans[[#This Row],[BranchCode]],BranchesTbl[BranchCode],BranchesTbl[BranchName])</f>
        <v>Naivasha</v>
      </c>
      <c r="Q363">
        <f>_xlfn.XLOOKUP(Loans[[#This Row],[CustomerID]],CustomerTbl[CustomerID],CustomerTbl[RiskScore])</f>
        <v>602</v>
      </c>
      <c r="R363" t="str">
        <f>IFERROR(INDEX(RiskTbl[Risk_Category],MATCH(Loans[[#This Row],[RiskScore]],RiskTbl[Score_Min],1)),"Unknown")</f>
        <v>Medium Risk</v>
      </c>
      <c r="S363" t="str">
        <f>IF(OR(Loans[[#This Row],[LoanStatus]]="Default",Loans[[#This Row],[LoanStatus]]="Watchlist",Loans[[#This Row],[CollateralRisk]]="Undersecured",Loans[[#This Row],[RiskCategory]]="High Risk"),"High Risk Exposure","Normal")</f>
        <v>High Risk Exposure</v>
      </c>
      <c r="T363" t="str" cm="1">
        <f t="array" ref="T363">_xlfn.IFS(
Loans[[#This Row],[LoanStatus]]="Default","Critical",
OR(Loans[[#This Row],[LoanStatus]]="Watchlist",Loans[[#This Row],[CollateralRisk]]="Undersecured",Loans[[#This Row],[RiskCategory]]="High Risk"),"High",
TRUE,"Normal"
)</f>
        <v>High</v>
      </c>
    </row>
    <row r="364" spans="1:20" x14ac:dyDescent="0.35">
      <c r="A364" t="s">
        <v>826</v>
      </c>
      <c r="B364" t="s">
        <v>827</v>
      </c>
      <c r="C364" t="s">
        <v>193</v>
      </c>
      <c r="D364" t="s">
        <v>156</v>
      </c>
      <c r="E364" s="34">
        <v>25000000</v>
      </c>
      <c r="F364" s="29">
        <v>0.17549999999999999</v>
      </c>
      <c r="G364" s="30">
        <v>44640</v>
      </c>
      <c r="H364">
        <v>36</v>
      </c>
      <c r="I364">
        <v>0</v>
      </c>
      <c r="J364" s="34">
        <v>14500000</v>
      </c>
      <c r="K364" t="s">
        <v>171</v>
      </c>
      <c r="L364" s="34">
        <f>PMT(Loans[[#This Row],[InterestRate]]/12,Loans[[#This Row],[LoanTenureMonths]],-Loans[[#This Row],[LoanAmount]])</f>
        <v>898176.35711398255</v>
      </c>
      <c r="M364" s="30">
        <f>EDATE(Loans[[#This Row],[LoanStartDate]],Loans[[#This Row],[LoanTenureMonths]])</f>
        <v>45736</v>
      </c>
      <c r="N364" s="33">
        <f>IF(Loans[[#This Row],[LoanAmount]]=0,0,Loans[[#This Row],[CollateralValue]]/Loans[[#This Row],[LoanAmount]])</f>
        <v>0.57999999999999996</v>
      </c>
      <c r="O364" t="str">
        <f>IF(Loans[[#This Row],[CollateralCoverageRatio]]&lt;1,"Undersecured","Secured")</f>
        <v>Undersecured</v>
      </c>
      <c r="P364" t="str">
        <f>_xlfn.XLOOKUP(Loans[[#This Row],[BranchCode]],BranchesTbl[BranchCode],BranchesTbl[BranchName])</f>
        <v>Mombasa</v>
      </c>
      <c r="Q364">
        <f>_xlfn.XLOOKUP(Loans[[#This Row],[CustomerID]],CustomerTbl[CustomerID],CustomerTbl[RiskScore])</f>
        <v>523</v>
      </c>
      <c r="R364" t="str">
        <f>IFERROR(INDEX(RiskTbl[Risk_Category],MATCH(Loans[[#This Row],[RiskScore]],RiskTbl[Score_Min],1)),"Unknown")</f>
        <v>High Risk</v>
      </c>
      <c r="S364" t="str">
        <f>IF(OR(Loans[[#This Row],[LoanStatus]]="Default",Loans[[#This Row],[LoanStatus]]="Watchlist",Loans[[#This Row],[CollateralRisk]]="Undersecured",Loans[[#This Row],[RiskCategory]]="High Risk"),"High Risk Exposure","Normal")</f>
        <v>High Risk Exposure</v>
      </c>
      <c r="T364" t="str" cm="1">
        <f t="array" ref="T364">_xlfn.IFS(
Loans[[#This Row],[LoanStatus]]="Default","Critical",
OR(Loans[[#This Row],[LoanStatus]]="Watchlist",Loans[[#This Row],[CollateralRisk]]="Undersecured",Loans[[#This Row],[RiskCategory]]="High Risk"),"High",
TRUE,"Normal"
)</f>
        <v>High</v>
      </c>
    </row>
    <row r="365" spans="1:20" x14ac:dyDescent="0.35">
      <c r="A365" t="s">
        <v>828</v>
      </c>
      <c r="B365" t="s">
        <v>829</v>
      </c>
      <c r="C365" t="s">
        <v>187</v>
      </c>
      <c r="D365" t="s">
        <v>155</v>
      </c>
      <c r="E365" s="34">
        <v>100000</v>
      </c>
      <c r="F365" s="29">
        <v>0.22209999999999999</v>
      </c>
      <c r="G365" s="30">
        <v>44847</v>
      </c>
      <c r="H365">
        <v>60</v>
      </c>
      <c r="I365">
        <v>0</v>
      </c>
      <c r="J365" s="34">
        <v>0</v>
      </c>
      <c r="K365" t="s">
        <v>171</v>
      </c>
      <c r="L365" s="34">
        <f>PMT(Loans[[#This Row],[InterestRate]]/12,Loans[[#This Row],[LoanTenureMonths]],-Loans[[#This Row],[LoanAmount]])</f>
        <v>2773.8443524211548</v>
      </c>
      <c r="M365" s="30">
        <f>EDATE(Loans[[#This Row],[LoanStartDate]],Loans[[#This Row],[LoanTenureMonths]])</f>
        <v>46673</v>
      </c>
      <c r="N365" s="33">
        <f>IF(Loans[[#This Row],[LoanAmount]]=0,0,Loans[[#This Row],[CollateralValue]]/Loans[[#This Row],[LoanAmount]])</f>
        <v>0</v>
      </c>
      <c r="O365" t="str">
        <f>IF(Loans[[#This Row],[CollateralCoverageRatio]]&lt;1,"Undersecured","Secured")</f>
        <v>Undersecured</v>
      </c>
      <c r="P365" t="str">
        <f>_xlfn.XLOOKUP(Loans[[#This Row],[BranchCode]],BranchesTbl[BranchCode],BranchesTbl[BranchName])</f>
        <v>Eldoret</v>
      </c>
      <c r="Q365">
        <f>_xlfn.XLOOKUP(Loans[[#This Row],[CustomerID]],CustomerTbl[CustomerID],CustomerTbl[RiskScore])</f>
        <v>580</v>
      </c>
      <c r="R365" t="str">
        <f>IFERROR(INDEX(RiskTbl[Risk_Category],MATCH(Loans[[#This Row],[RiskScore]],RiskTbl[Score_Min],1)),"Unknown")</f>
        <v>Medium Risk</v>
      </c>
      <c r="S365" t="str">
        <f>IF(OR(Loans[[#This Row],[LoanStatus]]="Default",Loans[[#This Row],[LoanStatus]]="Watchlist",Loans[[#This Row],[CollateralRisk]]="Undersecured",Loans[[#This Row],[RiskCategory]]="High Risk"),"High Risk Exposure","Normal")</f>
        <v>High Risk Exposure</v>
      </c>
      <c r="T365" t="str" cm="1">
        <f t="array" ref="T365">_xlfn.IFS(
Loans[[#This Row],[LoanStatus]]="Default","Critical",
OR(Loans[[#This Row],[LoanStatus]]="Watchlist",Loans[[#This Row],[CollateralRisk]]="Undersecured",Loans[[#This Row],[RiskCategory]]="High Risk"),"High",
TRUE,"Normal"
)</f>
        <v>High</v>
      </c>
    </row>
    <row r="366" spans="1:20" x14ac:dyDescent="0.35">
      <c r="A366" t="s">
        <v>830</v>
      </c>
      <c r="B366" t="s">
        <v>749</v>
      </c>
      <c r="C366" t="s">
        <v>174</v>
      </c>
      <c r="D366" t="s">
        <v>155</v>
      </c>
      <c r="E366" s="34">
        <v>100000</v>
      </c>
      <c r="F366" s="29">
        <v>0.25419999999999998</v>
      </c>
      <c r="G366" s="30">
        <v>44877</v>
      </c>
      <c r="H366">
        <v>24</v>
      </c>
      <c r="I366">
        <v>90</v>
      </c>
      <c r="J366" s="34">
        <v>0</v>
      </c>
      <c r="K366" t="s">
        <v>199</v>
      </c>
      <c r="L366" s="34">
        <f>PMT(Loans[[#This Row],[InterestRate]]/12,Loans[[#This Row],[LoanTenureMonths]],-Loans[[#This Row],[LoanAmount]])</f>
        <v>5358.2480816711677</v>
      </c>
      <c r="M366" s="30">
        <f>EDATE(Loans[[#This Row],[LoanStartDate]],Loans[[#This Row],[LoanTenureMonths]])</f>
        <v>45608</v>
      </c>
      <c r="N366" s="33">
        <f>IF(Loans[[#This Row],[LoanAmount]]=0,0,Loans[[#This Row],[CollateralValue]]/Loans[[#This Row],[LoanAmount]])</f>
        <v>0</v>
      </c>
      <c r="O366" t="str">
        <f>IF(Loans[[#This Row],[CollateralCoverageRatio]]&lt;1,"Undersecured","Secured")</f>
        <v>Undersecured</v>
      </c>
      <c r="P366" t="str">
        <f>_xlfn.XLOOKUP(Loans[[#This Row],[BranchCode]],BranchesTbl[BranchCode],BranchesTbl[BranchName])</f>
        <v>Westlands</v>
      </c>
      <c r="Q366">
        <f>_xlfn.XLOOKUP(Loans[[#This Row],[CustomerID]],CustomerTbl[CustomerID],CustomerTbl[RiskScore])</f>
        <v>841</v>
      </c>
      <c r="R366" t="str">
        <f>IFERROR(INDEX(RiskTbl[Risk_Category],MATCH(Loans[[#This Row],[RiskScore]],RiskTbl[Score_Min],1)),"Unknown")</f>
        <v>Prime</v>
      </c>
      <c r="S366" t="str">
        <f>IF(OR(Loans[[#This Row],[LoanStatus]]="Default",Loans[[#This Row],[LoanStatus]]="Watchlist",Loans[[#This Row],[CollateralRisk]]="Undersecured",Loans[[#This Row],[RiskCategory]]="High Risk"),"High Risk Exposure","Normal")</f>
        <v>High Risk Exposure</v>
      </c>
      <c r="T366" t="str" cm="1">
        <f t="array" ref="T366">_xlfn.IFS(
Loans[[#This Row],[LoanStatus]]="Default","Critical",
OR(Loans[[#This Row],[LoanStatus]]="Watchlist",Loans[[#This Row],[CollateralRisk]]="Undersecured",Loans[[#This Row],[RiskCategory]]="High Risk"),"High",
TRUE,"Normal"
)</f>
        <v>High</v>
      </c>
    </row>
    <row r="367" spans="1:20" x14ac:dyDescent="0.35">
      <c r="A367" t="s">
        <v>831</v>
      </c>
      <c r="B367" t="s">
        <v>832</v>
      </c>
      <c r="C367" t="s">
        <v>181</v>
      </c>
      <c r="D367" t="s">
        <v>156</v>
      </c>
      <c r="E367" s="34">
        <v>1000000</v>
      </c>
      <c r="F367" s="29">
        <v>0.14699999999999999</v>
      </c>
      <c r="G367" s="30">
        <v>44470</v>
      </c>
      <c r="H367">
        <v>12</v>
      </c>
      <c r="I367">
        <v>0</v>
      </c>
      <c r="J367" s="34">
        <v>1390000</v>
      </c>
      <c r="K367" t="s">
        <v>171</v>
      </c>
      <c r="L367" s="34">
        <f>PMT(Loans[[#This Row],[InterestRate]]/12,Loans[[#This Row],[LoanTenureMonths]],-Loans[[#This Row],[LoanAmount]])</f>
        <v>90116.81199923926</v>
      </c>
      <c r="M367" s="30">
        <f>EDATE(Loans[[#This Row],[LoanStartDate]],Loans[[#This Row],[LoanTenureMonths]])</f>
        <v>44835</v>
      </c>
      <c r="N367" s="33">
        <f>IF(Loans[[#This Row],[LoanAmount]]=0,0,Loans[[#This Row],[CollateralValue]]/Loans[[#This Row],[LoanAmount]])</f>
        <v>1.39</v>
      </c>
      <c r="O367" t="str">
        <f>IF(Loans[[#This Row],[CollateralCoverageRatio]]&lt;1,"Undersecured","Secured")</f>
        <v>Secured</v>
      </c>
      <c r="P367" t="str">
        <f>_xlfn.XLOOKUP(Loans[[#This Row],[BranchCode]],BranchesTbl[BranchCode],BranchesTbl[BranchName])</f>
        <v>Kitale</v>
      </c>
      <c r="Q367">
        <f>_xlfn.XLOOKUP(Loans[[#This Row],[CustomerID]],CustomerTbl[CustomerID],CustomerTbl[RiskScore])</f>
        <v>540</v>
      </c>
      <c r="R367" t="str">
        <f>IFERROR(INDEX(RiskTbl[Risk_Category],MATCH(Loans[[#This Row],[RiskScore]],RiskTbl[Score_Min],1)),"Unknown")</f>
        <v>High Risk</v>
      </c>
      <c r="S367" t="str">
        <f>IF(OR(Loans[[#This Row],[LoanStatus]]="Default",Loans[[#This Row],[LoanStatus]]="Watchlist",Loans[[#This Row],[CollateralRisk]]="Undersecured",Loans[[#This Row],[RiskCategory]]="High Risk"),"High Risk Exposure","Normal")</f>
        <v>High Risk Exposure</v>
      </c>
      <c r="T367" t="str" cm="1">
        <f t="array" ref="T367">_xlfn.IFS(
Loans[[#This Row],[LoanStatus]]="Default","Critical",
OR(Loans[[#This Row],[LoanStatus]]="Watchlist",Loans[[#This Row],[CollateralRisk]]="Undersecured",Loans[[#This Row],[RiskCategory]]="High Risk"),"High",
TRUE,"Normal"
)</f>
        <v>High</v>
      </c>
    </row>
    <row r="368" spans="1:20" x14ac:dyDescent="0.35">
      <c r="A368" t="s">
        <v>833</v>
      </c>
      <c r="B368" t="s">
        <v>834</v>
      </c>
      <c r="C368" t="s">
        <v>181</v>
      </c>
      <c r="D368" t="s">
        <v>155</v>
      </c>
      <c r="E368" s="34">
        <v>250000</v>
      </c>
      <c r="F368" s="29">
        <v>0.25790000000000002</v>
      </c>
      <c r="G368" s="30">
        <v>43876</v>
      </c>
      <c r="H368">
        <v>24</v>
      </c>
      <c r="I368">
        <v>0</v>
      </c>
      <c r="J368" s="34">
        <v>0</v>
      </c>
      <c r="K368" t="s">
        <v>171</v>
      </c>
      <c r="L368" s="34">
        <f>PMT(Loans[[#This Row],[InterestRate]]/12,Loans[[#This Row],[LoanTenureMonths]],-Loans[[#This Row],[LoanAmount]])</f>
        <v>13442.177486399405</v>
      </c>
      <c r="M368" s="30">
        <f>EDATE(Loans[[#This Row],[LoanStartDate]],Loans[[#This Row],[LoanTenureMonths]])</f>
        <v>44607</v>
      </c>
      <c r="N368" s="33">
        <f>IF(Loans[[#This Row],[LoanAmount]]=0,0,Loans[[#This Row],[CollateralValue]]/Loans[[#This Row],[LoanAmount]])</f>
        <v>0</v>
      </c>
      <c r="O368" t="str">
        <f>IF(Loans[[#This Row],[CollateralCoverageRatio]]&lt;1,"Undersecured","Secured")</f>
        <v>Undersecured</v>
      </c>
      <c r="P368" t="str">
        <f>_xlfn.XLOOKUP(Loans[[#This Row],[BranchCode]],BranchesTbl[BranchCode],BranchesTbl[BranchName])</f>
        <v>Kitale</v>
      </c>
      <c r="Q368">
        <f>_xlfn.XLOOKUP(Loans[[#This Row],[CustomerID]],CustomerTbl[CustomerID],CustomerTbl[RiskScore])</f>
        <v>760</v>
      </c>
      <c r="R368" t="str">
        <f>IFERROR(INDEX(RiskTbl[Risk_Category],MATCH(Loans[[#This Row],[RiskScore]],RiskTbl[Score_Min],1)),"Unknown")</f>
        <v>Very Low Risk</v>
      </c>
      <c r="S368" t="str">
        <f>IF(OR(Loans[[#This Row],[LoanStatus]]="Default",Loans[[#This Row],[LoanStatus]]="Watchlist",Loans[[#This Row],[CollateralRisk]]="Undersecured",Loans[[#This Row],[RiskCategory]]="High Risk"),"High Risk Exposure","Normal")</f>
        <v>High Risk Exposure</v>
      </c>
      <c r="T368" t="str" cm="1">
        <f t="array" ref="T368">_xlfn.IFS(
Loans[[#This Row],[LoanStatus]]="Default","Critical",
OR(Loans[[#This Row],[LoanStatus]]="Watchlist",Loans[[#This Row],[CollateralRisk]]="Undersecured",Loans[[#This Row],[RiskCategory]]="High Risk"),"High",
TRUE,"Normal"
)</f>
        <v>High</v>
      </c>
    </row>
    <row r="369" spans="1:20" x14ac:dyDescent="0.35">
      <c r="A369" t="s">
        <v>835</v>
      </c>
      <c r="B369" t="s">
        <v>836</v>
      </c>
      <c r="C369" t="s">
        <v>170</v>
      </c>
      <c r="D369" t="s">
        <v>156</v>
      </c>
      <c r="E369" s="34">
        <v>1000000</v>
      </c>
      <c r="F369" s="29">
        <v>0.18540000000000001</v>
      </c>
      <c r="G369" s="30">
        <v>45304</v>
      </c>
      <c r="H369">
        <v>36</v>
      </c>
      <c r="I369">
        <v>45</v>
      </c>
      <c r="J369" s="34">
        <v>1050000</v>
      </c>
      <c r="K369" t="s">
        <v>199</v>
      </c>
      <c r="L369" s="34">
        <f>PMT(Loans[[#This Row],[InterestRate]]/12,Loans[[#This Row],[LoanTenureMonths]],-Loans[[#This Row],[LoanAmount]])</f>
        <v>36423.862475051101</v>
      </c>
      <c r="M369" s="30">
        <f>EDATE(Loans[[#This Row],[LoanStartDate]],Loans[[#This Row],[LoanTenureMonths]])</f>
        <v>46400</v>
      </c>
      <c r="N369" s="33">
        <f>IF(Loans[[#This Row],[LoanAmount]]=0,0,Loans[[#This Row],[CollateralValue]]/Loans[[#This Row],[LoanAmount]])</f>
        <v>1.05</v>
      </c>
      <c r="O369" t="str">
        <f>IF(Loans[[#This Row],[CollateralCoverageRatio]]&lt;1,"Undersecured","Secured")</f>
        <v>Secured</v>
      </c>
      <c r="P369" t="str">
        <f>_xlfn.XLOOKUP(Loans[[#This Row],[BranchCode]],BranchesTbl[BranchCode],BranchesTbl[BranchName])</f>
        <v>Thika</v>
      </c>
      <c r="Q369">
        <f>_xlfn.XLOOKUP(Loans[[#This Row],[CustomerID]],CustomerTbl[CustomerID],CustomerTbl[RiskScore])</f>
        <v>734</v>
      </c>
      <c r="R369" t="str">
        <f>IFERROR(INDEX(RiskTbl[Risk_Category],MATCH(Loans[[#This Row],[RiskScore]],RiskTbl[Score_Min],1)),"Unknown")</f>
        <v>Low Risk</v>
      </c>
      <c r="S369" t="str">
        <f>IF(OR(Loans[[#This Row],[LoanStatus]]="Default",Loans[[#This Row],[LoanStatus]]="Watchlist",Loans[[#This Row],[CollateralRisk]]="Undersecured",Loans[[#This Row],[RiskCategory]]="High Risk"),"High Risk Exposure","Normal")</f>
        <v>High Risk Exposure</v>
      </c>
      <c r="T369" t="str" cm="1">
        <f t="array" ref="T369">_xlfn.IFS(
Loans[[#This Row],[LoanStatus]]="Default","Critical",
OR(Loans[[#This Row],[LoanStatus]]="Watchlist",Loans[[#This Row],[CollateralRisk]]="Undersecured",Loans[[#This Row],[RiskCategory]]="High Risk"),"High",
TRUE,"Normal"
)</f>
        <v>High</v>
      </c>
    </row>
    <row r="370" spans="1:20" x14ac:dyDescent="0.35">
      <c r="A370" t="s">
        <v>837</v>
      </c>
      <c r="B370" t="s">
        <v>264</v>
      </c>
      <c r="C370" t="s">
        <v>270</v>
      </c>
      <c r="D370" t="s">
        <v>158</v>
      </c>
      <c r="E370" s="34">
        <v>3000000</v>
      </c>
      <c r="F370" s="29">
        <v>0.1933</v>
      </c>
      <c r="G370" s="30">
        <v>44154</v>
      </c>
      <c r="H370">
        <v>12</v>
      </c>
      <c r="I370">
        <v>0</v>
      </c>
      <c r="J370" s="34">
        <v>2670000</v>
      </c>
      <c r="K370" t="s">
        <v>171</v>
      </c>
      <c r="L370" s="34">
        <f>PMT(Loans[[#This Row],[InterestRate]]/12,Loans[[#This Row],[LoanTenureMonths]],-Loans[[#This Row],[LoanAmount]])</f>
        <v>276942.43819577532</v>
      </c>
      <c r="M370" s="30">
        <f>EDATE(Loans[[#This Row],[LoanStartDate]],Loans[[#This Row],[LoanTenureMonths]])</f>
        <v>44519</v>
      </c>
      <c r="N370" s="33">
        <f>IF(Loans[[#This Row],[LoanAmount]]=0,0,Loans[[#This Row],[CollateralValue]]/Loans[[#This Row],[LoanAmount]])</f>
        <v>0.89</v>
      </c>
      <c r="O370" t="str">
        <f>IF(Loans[[#This Row],[CollateralCoverageRatio]]&lt;1,"Undersecured","Secured")</f>
        <v>Undersecured</v>
      </c>
      <c r="P370" t="str">
        <f>_xlfn.XLOOKUP(Loans[[#This Row],[BranchCode]],BranchesTbl[BranchCode],BranchesTbl[BranchName])</f>
        <v>Nakuru</v>
      </c>
      <c r="Q370">
        <f>_xlfn.XLOOKUP(Loans[[#This Row],[CustomerID]],CustomerTbl[CustomerID],CustomerTbl[RiskScore])</f>
        <v>316</v>
      </c>
      <c r="R370" t="str">
        <f>IFERROR(INDEX(RiskTbl[Risk_Category],MATCH(Loans[[#This Row],[RiskScore]],RiskTbl[Score_Min],1)),"Unknown")</f>
        <v>High Risk</v>
      </c>
      <c r="S370" t="str">
        <f>IF(OR(Loans[[#This Row],[LoanStatus]]="Default",Loans[[#This Row],[LoanStatus]]="Watchlist",Loans[[#This Row],[CollateralRisk]]="Undersecured",Loans[[#This Row],[RiskCategory]]="High Risk"),"High Risk Exposure","Normal")</f>
        <v>High Risk Exposure</v>
      </c>
      <c r="T370" t="str" cm="1">
        <f t="array" ref="T370">_xlfn.IFS(
Loans[[#This Row],[LoanStatus]]="Default","Critical",
OR(Loans[[#This Row],[LoanStatus]]="Watchlist",Loans[[#This Row],[CollateralRisk]]="Undersecured",Loans[[#This Row],[RiskCategory]]="High Risk"),"High",
TRUE,"Normal"
)</f>
        <v>High</v>
      </c>
    </row>
    <row r="371" spans="1:20" x14ac:dyDescent="0.35">
      <c r="A371" t="s">
        <v>838</v>
      </c>
      <c r="B371" t="s">
        <v>839</v>
      </c>
      <c r="C371" t="s">
        <v>181</v>
      </c>
      <c r="D371" t="s">
        <v>158</v>
      </c>
      <c r="E371" s="34">
        <v>500000</v>
      </c>
      <c r="F371" s="29">
        <v>0.13550000000000001</v>
      </c>
      <c r="G371" s="30">
        <v>44860</v>
      </c>
      <c r="H371">
        <v>72</v>
      </c>
      <c r="I371">
        <v>120</v>
      </c>
      <c r="J371" s="34">
        <v>495000</v>
      </c>
      <c r="K371" t="s">
        <v>178</v>
      </c>
      <c r="L371" s="34">
        <f>PMT(Loans[[#This Row],[InterestRate]]/12,Loans[[#This Row],[LoanTenureMonths]],-Loans[[#This Row],[LoanAmount]])</f>
        <v>10182.776828654976</v>
      </c>
      <c r="M371" s="30">
        <f>EDATE(Loans[[#This Row],[LoanStartDate]],Loans[[#This Row],[LoanTenureMonths]])</f>
        <v>47052</v>
      </c>
      <c r="N371" s="33">
        <f>IF(Loans[[#This Row],[LoanAmount]]=0,0,Loans[[#This Row],[CollateralValue]]/Loans[[#This Row],[LoanAmount]])</f>
        <v>0.99</v>
      </c>
      <c r="O371" t="str">
        <f>IF(Loans[[#This Row],[CollateralCoverageRatio]]&lt;1,"Undersecured","Secured")</f>
        <v>Undersecured</v>
      </c>
      <c r="P371" t="str">
        <f>_xlfn.XLOOKUP(Loans[[#This Row],[BranchCode]],BranchesTbl[BranchCode],BranchesTbl[BranchName])</f>
        <v>Kitale</v>
      </c>
      <c r="Q371">
        <f>_xlfn.XLOOKUP(Loans[[#This Row],[CustomerID]],CustomerTbl[CustomerID],CustomerTbl[RiskScore])</f>
        <v>634</v>
      </c>
      <c r="R371" t="str">
        <f>IFERROR(INDEX(RiskTbl[Risk_Category],MATCH(Loans[[#This Row],[RiskScore]],RiskTbl[Score_Min],1)),"Unknown")</f>
        <v>Medium Risk</v>
      </c>
      <c r="S371" t="str">
        <f>IF(OR(Loans[[#This Row],[LoanStatus]]="Default",Loans[[#This Row],[LoanStatus]]="Watchlist",Loans[[#This Row],[CollateralRisk]]="Undersecured",Loans[[#This Row],[RiskCategory]]="High Risk"),"High Risk Exposure","Normal")</f>
        <v>High Risk Exposure</v>
      </c>
      <c r="T371" t="str" cm="1">
        <f t="array" ref="T371">_xlfn.IFS(
Loans[[#This Row],[LoanStatus]]="Default","Critical",
OR(Loans[[#This Row],[LoanStatus]]="Watchlist",Loans[[#This Row],[CollateralRisk]]="Undersecured",Loans[[#This Row],[RiskCategory]]="High Risk"),"High",
TRUE,"Normal"
)</f>
        <v>Critical</v>
      </c>
    </row>
    <row r="372" spans="1:20" x14ac:dyDescent="0.35">
      <c r="A372" t="s">
        <v>840</v>
      </c>
      <c r="B372" t="s">
        <v>841</v>
      </c>
      <c r="C372" t="s">
        <v>170</v>
      </c>
      <c r="D372" t="s">
        <v>157</v>
      </c>
      <c r="E372" s="34">
        <v>25000000</v>
      </c>
      <c r="F372" s="29">
        <v>0.11210000000000001</v>
      </c>
      <c r="G372" s="30">
        <v>43893</v>
      </c>
      <c r="H372">
        <v>24</v>
      </c>
      <c r="I372">
        <v>10</v>
      </c>
      <c r="J372" s="34">
        <v>20000000</v>
      </c>
      <c r="K372" t="s">
        <v>171</v>
      </c>
      <c r="L372" s="34">
        <f>PMT(Loans[[#This Row],[InterestRate]]/12,Loans[[#This Row],[LoanTenureMonths]],-Loans[[#This Row],[LoanAmount]])</f>
        <v>1167634.8932606883</v>
      </c>
      <c r="M372" s="30">
        <f>EDATE(Loans[[#This Row],[LoanStartDate]],Loans[[#This Row],[LoanTenureMonths]])</f>
        <v>44623</v>
      </c>
      <c r="N372" s="33">
        <f>IF(Loans[[#This Row],[LoanAmount]]=0,0,Loans[[#This Row],[CollateralValue]]/Loans[[#This Row],[LoanAmount]])</f>
        <v>0.8</v>
      </c>
      <c r="O372" t="str">
        <f>IF(Loans[[#This Row],[CollateralCoverageRatio]]&lt;1,"Undersecured","Secured")</f>
        <v>Undersecured</v>
      </c>
      <c r="P372" t="str">
        <f>_xlfn.XLOOKUP(Loans[[#This Row],[BranchCode]],BranchesTbl[BranchCode],BranchesTbl[BranchName])</f>
        <v>Thika</v>
      </c>
      <c r="Q372">
        <f>_xlfn.XLOOKUP(Loans[[#This Row],[CustomerID]],CustomerTbl[CustomerID],CustomerTbl[RiskScore])</f>
        <v>810</v>
      </c>
      <c r="R372" t="str">
        <f>IFERROR(INDEX(RiskTbl[Risk_Category],MATCH(Loans[[#This Row],[RiskScore]],RiskTbl[Score_Min],1)),"Unknown")</f>
        <v>Prime</v>
      </c>
      <c r="S372" t="str">
        <f>IF(OR(Loans[[#This Row],[LoanStatus]]="Default",Loans[[#This Row],[LoanStatus]]="Watchlist",Loans[[#This Row],[CollateralRisk]]="Undersecured",Loans[[#This Row],[RiskCategory]]="High Risk"),"High Risk Exposure","Normal")</f>
        <v>High Risk Exposure</v>
      </c>
      <c r="T372" t="str" cm="1">
        <f t="array" ref="T372">_xlfn.IFS(
Loans[[#This Row],[LoanStatus]]="Default","Critical",
OR(Loans[[#This Row],[LoanStatus]]="Watchlist",Loans[[#This Row],[CollateralRisk]]="Undersecured",Loans[[#This Row],[RiskCategory]]="High Risk"),"High",
TRUE,"Normal"
)</f>
        <v>High</v>
      </c>
    </row>
    <row r="373" spans="1:20" x14ac:dyDescent="0.35">
      <c r="A373" t="s">
        <v>842</v>
      </c>
      <c r="B373" t="s">
        <v>843</v>
      </c>
      <c r="C373" t="s">
        <v>174</v>
      </c>
      <c r="D373" t="s">
        <v>155</v>
      </c>
      <c r="E373" s="34">
        <v>1000000</v>
      </c>
      <c r="F373" s="29">
        <v>0.27839999999999998</v>
      </c>
      <c r="G373" s="30">
        <v>45026</v>
      </c>
      <c r="H373">
        <v>24</v>
      </c>
      <c r="I373">
        <v>0</v>
      </c>
      <c r="J373" s="34">
        <v>0</v>
      </c>
      <c r="K373" t="s">
        <v>171</v>
      </c>
      <c r="L373" s="34">
        <f>PMT(Loans[[#This Row],[InterestRate]]/12,Loans[[#This Row],[LoanTenureMonths]],-Loans[[#This Row],[LoanAmount]])</f>
        <v>54806.99979049369</v>
      </c>
      <c r="M373" s="30">
        <f>EDATE(Loans[[#This Row],[LoanStartDate]],Loans[[#This Row],[LoanTenureMonths]])</f>
        <v>45757</v>
      </c>
      <c r="N373" s="33">
        <f>IF(Loans[[#This Row],[LoanAmount]]=0,0,Loans[[#This Row],[CollateralValue]]/Loans[[#This Row],[LoanAmount]])</f>
        <v>0</v>
      </c>
      <c r="O373" t="str">
        <f>IF(Loans[[#This Row],[CollateralCoverageRatio]]&lt;1,"Undersecured","Secured")</f>
        <v>Undersecured</v>
      </c>
      <c r="P373" t="str">
        <f>_xlfn.XLOOKUP(Loans[[#This Row],[BranchCode]],BranchesTbl[BranchCode],BranchesTbl[BranchName])</f>
        <v>Westlands</v>
      </c>
      <c r="Q373">
        <f>_xlfn.XLOOKUP(Loans[[#This Row],[CustomerID]],CustomerTbl[CustomerID],CustomerTbl[RiskScore])</f>
        <v>607</v>
      </c>
      <c r="R373" t="str">
        <f>IFERROR(INDEX(RiskTbl[Risk_Category],MATCH(Loans[[#This Row],[RiskScore]],RiskTbl[Score_Min],1)),"Unknown")</f>
        <v>Medium Risk</v>
      </c>
      <c r="S373" t="str">
        <f>IF(OR(Loans[[#This Row],[LoanStatus]]="Default",Loans[[#This Row],[LoanStatus]]="Watchlist",Loans[[#This Row],[CollateralRisk]]="Undersecured",Loans[[#This Row],[RiskCategory]]="High Risk"),"High Risk Exposure","Normal")</f>
        <v>High Risk Exposure</v>
      </c>
      <c r="T373" t="str" cm="1">
        <f t="array" ref="T373">_xlfn.IFS(
Loans[[#This Row],[LoanStatus]]="Default","Critical",
OR(Loans[[#This Row],[LoanStatus]]="Watchlist",Loans[[#This Row],[CollateralRisk]]="Undersecured",Loans[[#This Row],[RiskCategory]]="High Risk"),"High",
TRUE,"Normal"
)</f>
        <v>High</v>
      </c>
    </row>
    <row r="374" spans="1:20" x14ac:dyDescent="0.35">
      <c r="A374" t="s">
        <v>844</v>
      </c>
      <c r="B374" t="s">
        <v>845</v>
      </c>
      <c r="C374" t="s">
        <v>177</v>
      </c>
      <c r="D374" t="s">
        <v>155</v>
      </c>
      <c r="E374" s="34">
        <v>500000</v>
      </c>
      <c r="F374" s="29">
        <v>0.2525</v>
      </c>
      <c r="G374" s="30">
        <v>44866</v>
      </c>
      <c r="H374">
        <v>24</v>
      </c>
      <c r="I374">
        <v>0</v>
      </c>
      <c r="J374" s="34">
        <v>0</v>
      </c>
      <c r="K374" t="s">
        <v>171</v>
      </c>
      <c r="L374" s="34">
        <f>PMT(Loans[[#This Row],[InterestRate]]/12,Loans[[#This Row],[LoanTenureMonths]],-Loans[[#This Row],[LoanAmount]])</f>
        <v>26748.518160596952</v>
      </c>
      <c r="M374" s="30">
        <f>EDATE(Loans[[#This Row],[LoanStartDate]],Loans[[#This Row],[LoanTenureMonths]])</f>
        <v>45597</v>
      </c>
      <c r="N374" s="33">
        <f>IF(Loans[[#This Row],[LoanAmount]]=0,0,Loans[[#This Row],[CollateralValue]]/Loans[[#This Row],[LoanAmount]])</f>
        <v>0</v>
      </c>
      <c r="O374" t="str">
        <f>IF(Loans[[#This Row],[CollateralCoverageRatio]]&lt;1,"Undersecured","Secured")</f>
        <v>Undersecured</v>
      </c>
      <c r="P374" t="str">
        <f>_xlfn.XLOOKUP(Loans[[#This Row],[BranchCode]],BranchesTbl[BranchCode],BranchesTbl[BranchName])</f>
        <v>Naivasha</v>
      </c>
      <c r="Q374">
        <f>_xlfn.XLOOKUP(Loans[[#This Row],[CustomerID]],CustomerTbl[CustomerID],CustomerTbl[RiskScore])</f>
        <v>350</v>
      </c>
      <c r="R374" t="str">
        <f>IFERROR(INDEX(RiskTbl[Risk_Category],MATCH(Loans[[#This Row],[RiskScore]],RiskTbl[Score_Min],1)),"Unknown")</f>
        <v>High Risk</v>
      </c>
      <c r="S374" t="str">
        <f>IF(OR(Loans[[#This Row],[LoanStatus]]="Default",Loans[[#This Row],[LoanStatus]]="Watchlist",Loans[[#This Row],[CollateralRisk]]="Undersecured",Loans[[#This Row],[RiskCategory]]="High Risk"),"High Risk Exposure","Normal")</f>
        <v>High Risk Exposure</v>
      </c>
      <c r="T374" t="str" cm="1">
        <f t="array" ref="T374">_xlfn.IFS(
Loans[[#This Row],[LoanStatus]]="Default","Critical",
OR(Loans[[#This Row],[LoanStatus]]="Watchlist",Loans[[#This Row],[CollateralRisk]]="Undersecured",Loans[[#This Row],[RiskCategory]]="High Risk"),"High",
TRUE,"Normal"
)</f>
        <v>High</v>
      </c>
    </row>
    <row r="375" spans="1:20" x14ac:dyDescent="0.35">
      <c r="A375" t="s">
        <v>846</v>
      </c>
      <c r="B375" t="s">
        <v>627</v>
      </c>
      <c r="C375" t="s">
        <v>184</v>
      </c>
      <c r="D375" t="s">
        <v>157</v>
      </c>
      <c r="E375" s="34">
        <v>80000000</v>
      </c>
      <c r="F375" s="29">
        <v>0.1154</v>
      </c>
      <c r="G375" s="30">
        <v>44293</v>
      </c>
      <c r="H375">
        <v>48</v>
      </c>
      <c r="I375">
        <v>0</v>
      </c>
      <c r="J375" s="34">
        <v>73600000</v>
      </c>
      <c r="K375" t="s">
        <v>171</v>
      </c>
      <c r="L375" s="34">
        <f>PMT(Loans[[#This Row],[InterestRate]]/12,Loans[[#This Row],[LoanTenureMonths]],-Loans[[#This Row],[LoanAmount]])</f>
        <v>2088683.6600406822</v>
      </c>
      <c r="M375" s="30">
        <f>EDATE(Loans[[#This Row],[LoanStartDate]],Loans[[#This Row],[LoanTenureMonths]])</f>
        <v>45754</v>
      </c>
      <c r="N375" s="33">
        <f>IF(Loans[[#This Row],[LoanAmount]]=0,0,Loans[[#This Row],[CollateralValue]]/Loans[[#This Row],[LoanAmount]])</f>
        <v>0.92</v>
      </c>
      <c r="O375" t="str">
        <f>IF(Loans[[#This Row],[CollateralCoverageRatio]]&lt;1,"Undersecured","Secured")</f>
        <v>Undersecured</v>
      </c>
      <c r="P375" t="str">
        <f>_xlfn.XLOOKUP(Loans[[#This Row],[BranchCode]],BranchesTbl[BranchCode],BranchesTbl[BranchName])</f>
        <v>Kisumu</v>
      </c>
      <c r="Q375">
        <f>_xlfn.XLOOKUP(Loans[[#This Row],[CustomerID]],CustomerTbl[CustomerID],CustomerTbl[RiskScore])</f>
        <v>659</v>
      </c>
      <c r="R375" t="str">
        <f>IFERROR(INDEX(RiskTbl[Risk_Category],MATCH(Loans[[#This Row],[RiskScore]],RiskTbl[Score_Min],1)),"Unknown")</f>
        <v>Medium Risk</v>
      </c>
      <c r="S375" t="str">
        <f>IF(OR(Loans[[#This Row],[LoanStatus]]="Default",Loans[[#This Row],[LoanStatus]]="Watchlist",Loans[[#This Row],[CollateralRisk]]="Undersecured",Loans[[#This Row],[RiskCategory]]="High Risk"),"High Risk Exposure","Normal")</f>
        <v>High Risk Exposure</v>
      </c>
      <c r="T375" t="str" cm="1">
        <f t="array" ref="T375">_xlfn.IFS(
Loans[[#This Row],[LoanStatus]]="Default","Critical",
OR(Loans[[#This Row],[LoanStatus]]="Watchlist",Loans[[#This Row],[CollateralRisk]]="Undersecured",Loans[[#This Row],[RiskCategory]]="High Risk"),"High",
TRUE,"Normal"
)</f>
        <v>High</v>
      </c>
    </row>
    <row r="376" spans="1:20" x14ac:dyDescent="0.35">
      <c r="A376" t="s">
        <v>847</v>
      </c>
      <c r="B376" t="s">
        <v>848</v>
      </c>
      <c r="C376" t="s">
        <v>267</v>
      </c>
      <c r="D376" t="s">
        <v>155</v>
      </c>
      <c r="E376" s="34">
        <v>500000</v>
      </c>
      <c r="F376" s="29">
        <v>0.2402</v>
      </c>
      <c r="G376" s="30">
        <v>44120</v>
      </c>
      <c r="H376">
        <v>72</v>
      </c>
      <c r="I376">
        <v>120</v>
      </c>
      <c r="J376" s="34">
        <v>0</v>
      </c>
      <c r="K376" t="s">
        <v>178</v>
      </c>
      <c r="L376" s="34">
        <f>PMT(Loans[[#This Row],[InterestRate]]/12,Loans[[#This Row],[LoanTenureMonths]],-Loans[[#This Row],[LoanAmount]])</f>
        <v>13169.48654731382</v>
      </c>
      <c r="M376" s="30">
        <f>EDATE(Loans[[#This Row],[LoanStartDate]],Loans[[#This Row],[LoanTenureMonths]])</f>
        <v>46311</v>
      </c>
      <c r="N376" s="33">
        <f>IF(Loans[[#This Row],[LoanAmount]]=0,0,Loans[[#This Row],[CollateralValue]]/Loans[[#This Row],[LoanAmount]])</f>
        <v>0</v>
      </c>
      <c r="O376" t="str">
        <f>IF(Loans[[#This Row],[CollateralCoverageRatio]]&lt;1,"Undersecured","Secured")</f>
        <v>Undersecured</v>
      </c>
      <c r="P376" t="str">
        <f>_xlfn.XLOOKUP(Loans[[#This Row],[BranchCode]],BranchesTbl[BranchCode],BranchesTbl[BranchName])</f>
        <v>Malindi</v>
      </c>
      <c r="Q376">
        <f>_xlfn.XLOOKUP(Loans[[#This Row],[CustomerID]],CustomerTbl[CustomerID],CustomerTbl[RiskScore])</f>
        <v>517</v>
      </c>
      <c r="R376" t="str">
        <f>IFERROR(INDEX(RiskTbl[Risk_Category],MATCH(Loans[[#This Row],[RiskScore]],RiskTbl[Score_Min],1)),"Unknown")</f>
        <v>High Risk</v>
      </c>
      <c r="S376" t="str">
        <f>IF(OR(Loans[[#This Row],[LoanStatus]]="Default",Loans[[#This Row],[LoanStatus]]="Watchlist",Loans[[#This Row],[CollateralRisk]]="Undersecured",Loans[[#This Row],[RiskCategory]]="High Risk"),"High Risk Exposure","Normal")</f>
        <v>High Risk Exposure</v>
      </c>
      <c r="T376" t="str" cm="1">
        <f t="array" ref="T376">_xlfn.IFS(
Loans[[#This Row],[LoanStatus]]="Default","Critical",
OR(Loans[[#This Row],[LoanStatus]]="Watchlist",Loans[[#This Row],[CollateralRisk]]="Undersecured",Loans[[#This Row],[RiskCategory]]="High Risk"),"High",
TRUE,"Normal"
)</f>
        <v>Critical</v>
      </c>
    </row>
    <row r="377" spans="1:20" x14ac:dyDescent="0.35">
      <c r="A377" t="s">
        <v>849</v>
      </c>
      <c r="B377" t="s">
        <v>850</v>
      </c>
      <c r="C377" t="s">
        <v>193</v>
      </c>
      <c r="D377" t="s">
        <v>157</v>
      </c>
      <c r="E377" s="34">
        <v>6000000</v>
      </c>
      <c r="F377" s="29">
        <v>0.13919999999999999</v>
      </c>
      <c r="G377" s="30">
        <v>44758</v>
      </c>
      <c r="H377">
        <v>24</v>
      </c>
      <c r="I377">
        <v>20</v>
      </c>
      <c r="J377" s="34">
        <v>5520000</v>
      </c>
      <c r="K377" t="s">
        <v>171</v>
      </c>
      <c r="L377" s="34">
        <f>PMT(Loans[[#This Row],[InterestRate]]/12,Loans[[#This Row],[LoanTenureMonths]],-Loans[[#This Row],[LoanAmount]])</f>
        <v>287850.59291757777</v>
      </c>
      <c r="M377" s="30">
        <f>EDATE(Loans[[#This Row],[LoanStartDate]],Loans[[#This Row],[LoanTenureMonths]])</f>
        <v>45489</v>
      </c>
      <c r="N377" s="33">
        <f>IF(Loans[[#This Row],[LoanAmount]]=0,0,Loans[[#This Row],[CollateralValue]]/Loans[[#This Row],[LoanAmount]])</f>
        <v>0.92</v>
      </c>
      <c r="O377" t="str">
        <f>IF(Loans[[#This Row],[CollateralCoverageRatio]]&lt;1,"Undersecured","Secured")</f>
        <v>Undersecured</v>
      </c>
      <c r="P377" t="str">
        <f>_xlfn.XLOOKUP(Loans[[#This Row],[BranchCode]],BranchesTbl[BranchCode],BranchesTbl[BranchName])</f>
        <v>Mombasa</v>
      </c>
      <c r="Q377">
        <f>_xlfn.XLOOKUP(Loans[[#This Row],[CustomerID]],CustomerTbl[CustomerID],CustomerTbl[RiskScore])</f>
        <v>317</v>
      </c>
      <c r="R377" t="str">
        <f>IFERROR(INDEX(RiskTbl[Risk_Category],MATCH(Loans[[#This Row],[RiskScore]],RiskTbl[Score_Min],1)),"Unknown")</f>
        <v>High Risk</v>
      </c>
      <c r="S377" t="str">
        <f>IF(OR(Loans[[#This Row],[LoanStatus]]="Default",Loans[[#This Row],[LoanStatus]]="Watchlist",Loans[[#This Row],[CollateralRisk]]="Undersecured",Loans[[#This Row],[RiskCategory]]="High Risk"),"High Risk Exposure","Normal")</f>
        <v>High Risk Exposure</v>
      </c>
      <c r="T377" t="str" cm="1">
        <f t="array" ref="T377">_xlfn.IFS(
Loans[[#This Row],[LoanStatus]]="Default","Critical",
OR(Loans[[#This Row],[LoanStatus]]="Watchlist",Loans[[#This Row],[CollateralRisk]]="Undersecured",Loans[[#This Row],[RiskCategory]]="High Risk"),"High",
TRUE,"Normal"
)</f>
        <v>High</v>
      </c>
    </row>
    <row r="378" spans="1:20" x14ac:dyDescent="0.35">
      <c r="A378" t="s">
        <v>851</v>
      </c>
      <c r="B378" t="s">
        <v>852</v>
      </c>
      <c r="C378" t="s">
        <v>174</v>
      </c>
      <c r="D378" t="s">
        <v>158</v>
      </c>
      <c r="E378" s="34">
        <v>1000000</v>
      </c>
      <c r="F378" s="29">
        <v>0.14810000000000001</v>
      </c>
      <c r="G378" s="30">
        <v>45604</v>
      </c>
      <c r="H378">
        <v>36</v>
      </c>
      <c r="I378">
        <v>0</v>
      </c>
      <c r="J378" s="34">
        <v>910000</v>
      </c>
      <c r="K378" t="s">
        <v>171</v>
      </c>
      <c r="L378" s="34">
        <f>PMT(Loans[[#This Row],[InterestRate]]/12,Loans[[#This Row],[LoanTenureMonths]],-Loans[[#This Row],[LoanAmount]])</f>
        <v>34572.357024408637</v>
      </c>
      <c r="M378" s="30">
        <f>EDATE(Loans[[#This Row],[LoanStartDate]],Loans[[#This Row],[LoanTenureMonths]])</f>
        <v>46699</v>
      </c>
      <c r="N378" s="33">
        <f>IF(Loans[[#This Row],[LoanAmount]]=0,0,Loans[[#This Row],[CollateralValue]]/Loans[[#This Row],[LoanAmount]])</f>
        <v>0.91</v>
      </c>
      <c r="O378" t="str">
        <f>IF(Loans[[#This Row],[CollateralCoverageRatio]]&lt;1,"Undersecured","Secured")</f>
        <v>Undersecured</v>
      </c>
      <c r="P378" t="str">
        <f>_xlfn.XLOOKUP(Loans[[#This Row],[BranchCode]],BranchesTbl[BranchCode],BranchesTbl[BranchName])</f>
        <v>Westlands</v>
      </c>
      <c r="Q378">
        <f>_xlfn.XLOOKUP(Loans[[#This Row],[CustomerID]],CustomerTbl[CustomerID],CustomerTbl[RiskScore])</f>
        <v>640</v>
      </c>
      <c r="R378" t="str">
        <f>IFERROR(INDEX(RiskTbl[Risk_Category],MATCH(Loans[[#This Row],[RiskScore]],RiskTbl[Score_Min],1)),"Unknown")</f>
        <v>Medium Risk</v>
      </c>
      <c r="S378" t="str">
        <f>IF(OR(Loans[[#This Row],[LoanStatus]]="Default",Loans[[#This Row],[LoanStatus]]="Watchlist",Loans[[#This Row],[CollateralRisk]]="Undersecured",Loans[[#This Row],[RiskCategory]]="High Risk"),"High Risk Exposure","Normal")</f>
        <v>High Risk Exposure</v>
      </c>
      <c r="T378" t="str" cm="1">
        <f t="array" ref="T378">_xlfn.IFS(
Loans[[#This Row],[LoanStatus]]="Default","Critical",
OR(Loans[[#This Row],[LoanStatus]]="Watchlist",Loans[[#This Row],[CollateralRisk]]="Undersecured",Loans[[#This Row],[RiskCategory]]="High Risk"),"High",
TRUE,"Normal"
)</f>
        <v>High</v>
      </c>
    </row>
    <row r="379" spans="1:20" x14ac:dyDescent="0.35">
      <c r="A379" t="s">
        <v>853</v>
      </c>
      <c r="B379" t="s">
        <v>854</v>
      </c>
      <c r="C379" t="s">
        <v>187</v>
      </c>
      <c r="D379" t="s">
        <v>155</v>
      </c>
      <c r="E379" s="34">
        <v>100000</v>
      </c>
      <c r="F379" s="29">
        <v>0.1681</v>
      </c>
      <c r="G379" s="30">
        <v>44934</v>
      </c>
      <c r="H379">
        <v>36</v>
      </c>
      <c r="I379">
        <v>0</v>
      </c>
      <c r="J379" s="34">
        <v>0</v>
      </c>
      <c r="K379" t="s">
        <v>171</v>
      </c>
      <c r="L379" s="34">
        <f>PMT(Loans[[#This Row],[InterestRate]]/12,Loans[[#This Row],[LoanTenureMonths]],-Loans[[#This Row],[LoanAmount]])</f>
        <v>3555.823930114464</v>
      </c>
      <c r="M379" s="30">
        <f>EDATE(Loans[[#This Row],[LoanStartDate]],Loans[[#This Row],[LoanTenureMonths]])</f>
        <v>46030</v>
      </c>
      <c r="N379" s="33">
        <f>IF(Loans[[#This Row],[LoanAmount]]=0,0,Loans[[#This Row],[CollateralValue]]/Loans[[#This Row],[LoanAmount]])</f>
        <v>0</v>
      </c>
      <c r="O379" t="str">
        <f>IF(Loans[[#This Row],[CollateralCoverageRatio]]&lt;1,"Undersecured","Secured")</f>
        <v>Undersecured</v>
      </c>
      <c r="P379" t="str">
        <f>_xlfn.XLOOKUP(Loans[[#This Row],[BranchCode]],BranchesTbl[BranchCode],BranchesTbl[BranchName])</f>
        <v>Eldoret</v>
      </c>
      <c r="Q379">
        <f>_xlfn.XLOOKUP(Loans[[#This Row],[CustomerID]],CustomerTbl[CustomerID],CustomerTbl[RiskScore])</f>
        <v>455</v>
      </c>
      <c r="R379" t="str">
        <f>IFERROR(INDEX(RiskTbl[Risk_Category],MATCH(Loans[[#This Row],[RiskScore]],RiskTbl[Score_Min],1)),"Unknown")</f>
        <v>High Risk</v>
      </c>
      <c r="S379" t="str">
        <f>IF(OR(Loans[[#This Row],[LoanStatus]]="Default",Loans[[#This Row],[LoanStatus]]="Watchlist",Loans[[#This Row],[CollateralRisk]]="Undersecured",Loans[[#This Row],[RiskCategory]]="High Risk"),"High Risk Exposure","Normal")</f>
        <v>High Risk Exposure</v>
      </c>
      <c r="T379" t="str" cm="1">
        <f t="array" ref="T379">_xlfn.IFS(
Loans[[#This Row],[LoanStatus]]="Default","Critical",
OR(Loans[[#This Row],[LoanStatus]]="Watchlist",Loans[[#This Row],[CollateralRisk]]="Undersecured",Loans[[#This Row],[RiskCategory]]="High Risk"),"High",
TRUE,"Normal"
)</f>
        <v>High</v>
      </c>
    </row>
    <row r="380" spans="1:20" x14ac:dyDescent="0.35">
      <c r="A380" t="s">
        <v>855</v>
      </c>
      <c r="B380" t="s">
        <v>856</v>
      </c>
      <c r="C380" t="s">
        <v>174</v>
      </c>
      <c r="D380" t="s">
        <v>158</v>
      </c>
      <c r="E380" s="34">
        <v>1000000</v>
      </c>
      <c r="F380" s="29">
        <v>0.17879999999999999</v>
      </c>
      <c r="G380" s="30">
        <v>45541</v>
      </c>
      <c r="H380">
        <v>12</v>
      </c>
      <c r="I380">
        <v>0</v>
      </c>
      <c r="J380" s="34">
        <v>730000</v>
      </c>
      <c r="K380" t="s">
        <v>171</v>
      </c>
      <c r="L380" s="34">
        <f>PMT(Loans[[#This Row],[InterestRate]]/12,Loans[[#This Row],[LoanTenureMonths]],-Loans[[#This Row],[LoanAmount]])</f>
        <v>91622.892975817842</v>
      </c>
      <c r="M380" s="30">
        <f>EDATE(Loans[[#This Row],[LoanStartDate]],Loans[[#This Row],[LoanTenureMonths]])</f>
        <v>45906</v>
      </c>
      <c r="N380" s="33">
        <f>IF(Loans[[#This Row],[LoanAmount]]=0,0,Loans[[#This Row],[CollateralValue]]/Loans[[#This Row],[LoanAmount]])</f>
        <v>0.73</v>
      </c>
      <c r="O380" t="str">
        <f>IF(Loans[[#This Row],[CollateralCoverageRatio]]&lt;1,"Undersecured","Secured")</f>
        <v>Undersecured</v>
      </c>
      <c r="P380" t="str">
        <f>_xlfn.XLOOKUP(Loans[[#This Row],[BranchCode]],BranchesTbl[BranchCode],BranchesTbl[BranchName])</f>
        <v>Westlands</v>
      </c>
      <c r="Q380">
        <f>_xlfn.XLOOKUP(Loans[[#This Row],[CustomerID]],CustomerTbl[CustomerID],CustomerTbl[RiskScore])</f>
        <v>593</v>
      </c>
      <c r="R380" t="str">
        <f>IFERROR(INDEX(RiskTbl[Risk_Category],MATCH(Loans[[#This Row],[RiskScore]],RiskTbl[Score_Min],1)),"Unknown")</f>
        <v>Medium Risk</v>
      </c>
      <c r="S380" t="str">
        <f>IF(OR(Loans[[#This Row],[LoanStatus]]="Default",Loans[[#This Row],[LoanStatus]]="Watchlist",Loans[[#This Row],[CollateralRisk]]="Undersecured",Loans[[#This Row],[RiskCategory]]="High Risk"),"High Risk Exposure","Normal")</f>
        <v>High Risk Exposure</v>
      </c>
      <c r="T380" t="str" cm="1">
        <f t="array" ref="T380">_xlfn.IFS(
Loans[[#This Row],[LoanStatus]]="Default","Critical",
OR(Loans[[#This Row],[LoanStatus]]="Watchlist",Loans[[#This Row],[CollateralRisk]]="Undersecured",Loans[[#This Row],[RiskCategory]]="High Risk"),"High",
TRUE,"Normal"
)</f>
        <v>High</v>
      </c>
    </row>
    <row r="381" spans="1:20" x14ac:dyDescent="0.35">
      <c r="A381" t="s">
        <v>857</v>
      </c>
      <c r="B381" t="s">
        <v>406</v>
      </c>
      <c r="C381" t="s">
        <v>219</v>
      </c>
      <c r="D381" t="s">
        <v>156</v>
      </c>
      <c r="E381" s="34">
        <v>3000000</v>
      </c>
      <c r="F381" s="29">
        <v>0.1736</v>
      </c>
      <c r="G381" s="30">
        <v>45116</v>
      </c>
      <c r="H381">
        <v>12</v>
      </c>
      <c r="I381">
        <v>0</v>
      </c>
      <c r="J381" s="34">
        <v>3780000</v>
      </c>
      <c r="K381" t="s">
        <v>171</v>
      </c>
      <c r="L381" s="34">
        <f>PMT(Loans[[#This Row],[InterestRate]]/12,Loans[[#This Row],[LoanTenureMonths]],-Loans[[#This Row],[LoanAmount]])</f>
        <v>274127.05127165484</v>
      </c>
      <c r="M381" s="30">
        <f>EDATE(Loans[[#This Row],[LoanStartDate]],Loans[[#This Row],[LoanTenureMonths]])</f>
        <v>45482</v>
      </c>
      <c r="N381" s="33">
        <f>IF(Loans[[#This Row],[LoanAmount]]=0,0,Loans[[#This Row],[CollateralValue]]/Loans[[#This Row],[LoanAmount]])</f>
        <v>1.26</v>
      </c>
      <c r="O381" t="str">
        <f>IF(Loans[[#This Row],[CollateralCoverageRatio]]&lt;1,"Undersecured","Secured")</f>
        <v>Secured</v>
      </c>
      <c r="P381" t="str">
        <f>_xlfn.XLOOKUP(Loans[[#This Row],[BranchCode]],BranchesTbl[BranchCode],BranchesTbl[BranchName])</f>
        <v>Meru</v>
      </c>
      <c r="Q381">
        <f>_xlfn.XLOOKUP(Loans[[#This Row],[CustomerID]],CustomerTbl[CustomerID],CustomerTbl[RiskScore])</f>
        <v>824</v>
      </c>
      <c r="R381" t="str">
        <f>IFERROR(INDEX(RiskTbl[Risk_Category],MATCH(Loans[[#This Row],[RiskScore]],RiskTbl[Score_Min],1)),"Unknown")</f>
        <v>Prime</v>
      </c>
      <c r="S381" t="str">
        <f>IF(OR(Loans[[#This Row],[LoanStatus]]="Default",Loans[[#This Row],[LoanStatus]]="Watchlist",Loans[[#This Row],[CollateralRisk]]="Undersecured",Loans[[#This Row],[RiskCategory]]="High Risk"),"High Risk Exposure","Normal")</f>
        <v>Normal</v>
      </c>
      <c r="T381" t="str" cm="1">
        <f t="array" ref="T381">_xlfn.IFS(
Loans[[#This Row],[LoanStatus]]="Default","Critical",
OR(Loans[[#This Row],[LoanStatus]]="Watchlist",Loans[[#This Row],[CollateralRisk]]="Undersecured",Loans[[#This Row],[RiskCategory]]="High Risk"),"High",
TRUE,"Normal"
)</f>
        <v>Normal</v>
      </c>
    </row>
    <row r="382" spans="1:20" x14ac:dyDescent="0.35">
      <c r="A382" t="s">
        <v>858</v>
      </c>
      <c r="B382" t="s">
        <v>859</v>
      </c>
      <c r="C382" t="s">
        <v>232</v>
      </c>
      <c r="D382" t="s">
        <v>156</v>
      </c>
      <c r="E382" s="34">
        <v>25000000</v>
      </c>
      <c r="F382" s="29">
        <v>0.23849999999999999</v>
      </c>
      <c r="G382" s="30">
        <v>44858</v>
      </c>
      <c r="H382">
        <v>48</v>
      </c>
      <c r="I382">
        <v>0</v>
      </c>
      <c r="J382" s="34">
        <v>26500000</v>
      </c>
      <c r="K382" t="s">
        <v>171</v>
      </c>
      <c r="L382" s="34">
        <f>PMT(Loans[[#This Row],[InterestRate]]/12,Loans[[#This Row],[LoanTenureMonths]],-Loans[[#This Row],[LoanAmount]])</f>
        <v>812974.14287367242</v>
      </c>
      <c r="M382" s="30">
        <f>EDATE(Loans[[#This Row],[LoanStartDate]],Loans[[#This Row],[LoanTenureMonths]])</f>
        <v>46319</v>
      </c>
      <c r="N382" s="33">
        <f>IF(Loans[[#This Row],[LoanAmount]]=0,0,Loans[[#This Row],[CollateralValue]]/Loans[[#This Row],[LoanAmount]])</f>
        <v>1.06</v>
      </c>
      <c r="O382" t="str">
        <f>IF(Loans[[#This Row],[CollateralCoverageRatio]]&lt;1,"Undersecured","Secured")</f>
        <v>Secured</v>
      </c>
      <c r="P382" t="str">
        <f>_xlfn.XLOOKUP(Loans[[#This Row],[BranchCode]],BranchesTbl[BranchCode],BranchesTbl[BranchName])</f>
        <v>Upper Hill</v>
      </c>
      <c r="Q382">
        <f>_xlfn.XLOOKUP(Loans[[#This Row],[CustomerID]],CustomerTbl[CustomerID],CustomerTbl[RiskScore])</f>
        <v>816</v>
      </c>
      <c r="R382" t="str">
        <f>IFERROR(INDEX(RiskTbl[Risk_Category],MATCH(Loans[[#This Row],[RiskScore]],RiskTbl[Score_Min],1)),"Unknown")</f>
        <v>Prime</v>
      </c>
      <c r="S382" t="str">
        <f>IF(OR(Loans[[#This Row],[LoanStatus]]="Default",Loans[[#This Row],[LoanStatus]]="Watchlist",Loans[[#This Row],[CollateralRisk]]="Undersecured",Loans[[#This Row],[RiskCategory]]="High Risk"),"High Risk Exposure","Normal")</f>
        <v>Normal</v>
      </c>
      <c r="T382" t="str" cm="1">
        <f t="array" ref="T382">_xlfn.IFS(
Loans[[#This Row],[LoanStatus]]="Default","Critical",
OR(Loans[[#This Row],[LoanStatus]]="Watchlist",Loans[[#This Row],[CollateralRisk]]="Undersecured",Loans[[#This Row],[RiskCategory]]="High Risk"),"High",
TRUE,"Normal"
)</f>
        <v>Normal</v>
      </c>
    </row>
    <row r="383" spans="1:20" x14ac:dyDescent="0.35">
      <c r="A383" t="s">
        <v>860</v>
      </c>
      <c r="B383" t="s">
        <v>861</v>
      </c>
      <c r="C383" t="s">
        <v>239</v>
      </c>
      <c r="D383" t="s">
        <v>157</v>
      </c>
      <c r="E383" s="34">
        <v>6000000</v>
      </c>
      <c r="F383" s="29">
        <v>0.1095</v>
      </c>
      <c r="G383" s="30">
        <v>45303</v>
      </c>
      <c r="H383">
        <v>72</v>
      </c>
      <c r="I383">
        <v>0</v>
      </c>
      <c r="J383" s="34">
        <v>4980000</v>
      </c>
      <c r="K383" t="s">
        <v>171</v>
      </c>
      <c r="L383" s="34">
        <f>PMT(Loans[[#This Row],[InterestRate]]/12,Loans[[#This Row],[LoanTenureMonths]],-Loans[[#This Row],[LoanAmount]])</f>
        <v>114050.8763119144</v>
      </c>
      <c r="M383" s="30">
        <f>EDATE(Loans[[#This Row],[LoanStartDate]],Loans[[#This Row],[LoanTenureMonths]])</f>
        <v>47495</v>
      </c>
      <c r="N383" s="33">
        <f>IF(Loans[[#This Row],[LoanAmount]]=0,0,Loans[[#This Row],[CollateralValue]]/Loans[[#This Row],[LoanAmount]])</f>
        <v>0.83</v>
      </c>
      <c r="O383" t="str">
        <f>IF(Loans[[#This Row],[CollateralCoverageRatio]]&lt;1,"Undersecured","Secured")</f>
        <v>Undersecured</v>
      </c>
      <c r="P383" t="str">
        <f>_xlfn.XLOOKUP(Loans[[#This Row],[BranchCode]],BranchesTbl[BranchCode],BranchesTbl[BranchName])</f>
        <v>Machakos</v>
      </c>
      <c r="Q383">
        <f>_xlfn.XLOOKUP(Loans[[#This Row],[CustomerID]],CustomerTbl[CustomerID],CustomerTbl[RiskScore])</f>
        <v>687</v>
      </c>
      <c r="R383" t="str">
        <f>IFERROR(INDEX(RiskTbl[Risk_Category],MATCH(Loans[[#This Row],[RiskScore]],RiskTbl[Score_Min],1)),"Unknown")</f>
        <v>Low Risk</v>
      </c>
      <c r="S383" t="str">
        <f>IF(OR(Loans[[#This Row],[LoanStatus]]="Default",Loans[[#This Row],[LoanStatus]]="Watchlist",Loans[[#This Row],[CollateralRisk]]="Undersecured",Loans[[#This Row],[RiskCategory]]="High Risk"),"High Risk Exposure","Normal")</f>
        <v>High Risk Exposure</v>
      </c>
      <c r="T383" t="str" cm="1">
        <f t="array" ref="T383">_xlfn.IFS(
Loans[[#This Row],[LoanStatus]]="Default","Critical",
OR(Loans[[#This Row],[LoanStatus]]="Watchlist",Loans[[#This Row],[CollateralRisk]]="Undersecured",Loans[[#This Row],[RiskCategory]]="High Risk"),"High",
TRUE,"Normal"
)</f>
        <v>High</v>
      </c>
    </row>
    <row r="384" spans="1:20" x14ac:dyDescent="0.35">
      <c r="A384" t="s">
        <v>862</v>
      </c>
      <c r="B384" t="s">
        <v>863</v>
      </c>
      <c r="C384" t="s">
        <v>184</v>
      </c>
      <c r="D384" t="s">
        <v>158</v>
      </c>
      <c r="E384" s="34">
        <v>6000000</v>
      </c>
      <c r="F384" s="29">
        <v>0.17480000000000001</v>
      </c>
      <c r="G384" s="30">
        <v>45037</v>
      </c>
      <c r="H384">
        <v>48</v>
      </c>
      <c r="I384">
        <v>0</v>
      </c>
      <c r="J384" s="34">
        <v>7440000</v>
      </c>
      <c r="K384" t="s">
        <v>171</v>
      </c>
      <c r="L384" s="34">
        <f>PMT(Loans[[#This Row],[InterestRate]]/12,Loans[[#This Row],[LoanTenureMonths]],-Loans[[#This Row],[LoanAmount]])</f>
        <v>174623.85281525357</v>
      </c>
      <c r="M384" s="30">
        <f>EDATE(Loans[[#This Row],[LoanStartDate]],Loans[[#This Row],[LoanTenureMonths]])</f>
        <v>46498</v>
      </c>
      <c r="N384" s="33">
        <f>IF(Loans[[#This Row],[LoanAmount]]=0,0,Loans[[#This Row],[CollateralValue]]/Loans[[#This Row],[LoanAmount]])</f>
        <v>1.24</v>
      </c>
      <c r="O384" t="str">
        <f>IF(Loans[[#This Row],[CollateralCoverageRatio]]&lt;1,"Undersecured","Secured")</f>
        <v>Secured</v>
      </c>
      <c r="P384" t="str">
        <f>_xlfn.XLOOKUP(Loans[[#This Row],[BranchCode]],BranchesTbl[BranchCode],BranchesTbl[BranchName])</f>
        <v>Kisumu</v>
      </c>
      <c r="Q384">
        <f>_xlfn.XLOOKUP(Loans[[#This Row],[CustomerID]],CustomerTbl[CustomerID],CustomerTbl[RiskScore])</f>
        <v>422</v>
      </c>
      <c r="R384" t="str">
        <f>IFERROR(INDEX(RiskTbl[Risk_Category],MATCH(Loans[[#This Row],[RiskScore]],RiskTbl[Score_Min],1)),"Unknown")</f>
        <v>High Risk</v>
      </c>
      <c r="S384" t="str">
        <f>IF(OR(Loans[[#This Row],[LoanStatus]]="Default",Loans[[#This Row],[LoanStatus]]="Watchlist",Loans[[#This Row],[CollateralRisk]]="Undersecured",Loans[[#This Row],[RiskCategory]]="High Risk"),"High Risk Exposure","Normal")</f>
        <v>High Risk Exposure</v>
      </c>
      <c r="T384" t="str" cm="1">
        <f t="array" ref="T384">_xlfn.IFS(
Loans[[#This Row],[LoanStatus]]="Default","Critical",
OR(Loans[[#This Row],[LoanStatus]]="Watchlist",Loans[[#This Row],[CollateralRisk]]="Undersecured",Loans[[#This Row],[RiskCategory]]="High Risk"),"High",
TRUE,"Normal"
)</f>
        <v>High</v>
      </c>
    </row>
    <row r="385" spans="1:20" x14ac:dyDescent="0.35">
      <c r="A385" t="s">
        <v>864</v>
      </c>
      <c r="B385" t="s">
        <v>865</v>
      </c>
      <c r="C385" t="s">
        <v>177</v>
      </c>
      <c r="D385" t="s">
        <v>157</v>
      </c>
      <c r="E385" s="34">
        <v>25000000</v>
      </c>
      <c r="F385" s="29">
        <v>0.13730000000000001</v>
      </c>
      <c r="G385" s="30">
        <v>45826</v>
      </c>
      <c r="H385">
        <v>48</v>
      </c>
      <c r="I385">
        <v>0</v>
      </c>
      <c r="J385" s="34">
        <v>14500000</v>
      </c>
      <c r="K385" t="s">
        <v>171</v>
      </c>
      <c r="L385" s="34">
        <f>PMT(Loans[[#This Row],[InterestRate]]/12,Loans[[#This Row],[LoanTenureMonths]],-Loans[[#This Row],[LoanAmount]])</f>
        <v>679780.72632864385</v>
      </c>
      <c r="M385" s="30">
        <f>EDATE(Loans[[#This Row],[LoanStartDate]],Loans[[#This Row],[LoanTenureMonths]])</f>
        <v>47287</v>
      </c>
      <c r="N385" s="33">
        <f>IF(Loans[[#This Row],[LoanAmount]]=0,0,Loans[[#This Row],[CollateralValue]]/Loans[[#This Row],[LoanAmount]])</f>
        <v>0.57999999999999996</v>
      </c>
      <c r="O385" t="str">
        <f>IF(Loans[[#This Row],[CollateralCoverageRatio]]&lt;1,"Undersecured","Secured")</f>
        <v>Undersecured</v>
      </c>
      <c r="P385" t="str">
        <f>_xlfn.XLOOKUP(Loans[[#This Row],[BranchCode]],BranchesTbl[BranchCode],BranchesTbl[BranchName])</f>
        <v>Naivasha</v>
      </c>
      <c r="Q385">
        <f>_xlfn.XLOOKUP(Loans[[#This Row],[CustomerID]],CustomerTbl[CustomerID],CustomerTbl[RiskScore])</f>
        <v>821</v>
      </c>
      <c r="R385" t="str">
        <f>IFERROR(INDEX(RiskTbl[Risk_Category],MATCH(Loans[[#This Row],[RiskScore]],RiskTbl[Score_Min],1)),"Unknown")</f>
        <v>Prime</v>
      </c>
      <c r="S385" t="str">
        <f>IF(OR(Loans[[#This Row],[LoanStatus]]="Default",Loans[[#This Row],[LoanStatus]]="Watchlist",Loans[[#This Row],[CollateralRisk]]="Undersecured",Loans[[#This Row],[RiskCategory]]="High Risk"),"High Risk Exposure","Normal")</f>
        <v>High Risk Exposure</v>
      </c>
      <c r="T385" t="str" cm="1">
        <f t="array" ref="T385">_xlfn.IFS(
Loans[[#This Row],[LoanStatus]]="Default","Critical",
OR(Loans[[#This Row],[LoanStatus]]="Watchlist",Loans[[#This Row],[CollateralRisk]]="Undersecured",Loans[[#This Row],[RiskCategory]]="High Risk"),"High",
TRUE,"Normal"
)</f>
        <v>High</v>
      </c>
    </row>
    <row r="386" spans="1:20" x14ac:dyDescent="0.35">
      <c r="A386" t="s">
        <v>866</v>
      </c>
      <c r="B386" t="s">
        <v>189</v>
      </c>
      <c r="C386" t="s">
        <v>184</v>
      </c>
      <c r="D386" t="s">
        <v>156</v>
      </c>
      <c r="E386" s="34">
        <v>25000000</v>
      </c>
      <c r="F386" s="29">
        <v>0.23150000000000001</v>
      </c>
      <c r="G386" s="30">
        <v>45592</v>
      </c>
      <c r="H386">
        <v>72</v>
      </c>
      <c r="I386">
        <v>90</v>
      </c>
      <c r="J386" s="34">
        <v>35500000</v>
      </c>
      <c r="K386" t="s">
        <v>199</v>
      </c>
      <c r="L386" s="34">
        <f>PMT(Loans[[#This Row],[InterestRate]]/12,Loans[[#This Row],[LoanTenureMonths]],-Loans[[#This Row],[LoanAmount]])</f>
        <v>645331.01893528213</v>
      </c>
      <c r="M386" s="30">
        <f>EDATE(Loans[[#This Row],[LoanStartDate]],Loans[[#This Row],[LoanTenureMonths]])</f>
        <v>47783</v>
      </c>
      <c r="N386" s="33">
        <f>IF(Loans[[#This Row],[LoanAmount]]=0,0,Loans[[#This Row],[CollateralValue]]/Loans[[#This Row],[LoanAmount]])</f>
        <v>1.42</v>
      </c>
      <c r="O386" t="str">
        <f>IF(Loans[[#This Row],[CollateralCoverageRatio]]&lt;1,"Undersecured","Secured")</f>
        <v>Secured</v>
      </c>
      <c r="P386" t="str">
        <f>_xlfn.XLOOKUP(Loans[[#This Row],[BranchCode]],BranchesTbl[BranchCode],BranchesTbl[BranchName])</f>
        <v>Kisumu</v>
      </c>
      <c r="Q386">
        <f>_xlfn.XLOOKUP(Loans[[#This Row],[CustomerID]],CustomerTbl[CustomerID],CustomerTbl[RiskScore])</f>
        <v>348</v>
      </c>
      <c r="R386" t="str">
        <f>IFERROR(INDEX(RiskTbl[Risk_Category],MATCH(Loans[[#This Row],[RiskScore]],RiskTbl[Score_Min],1)),"Unknown")</f>
        <v>High Risk</v>
      </c>
      <c r="S386" t="str">
        <f>IF(OR(Loans[[#This Row],[LoanStatus]]="Default",Loans[[#This Row],[LoanStatus]]="Watchlist",Loans[[#This Row],[CollateralRisk]]="Undersecured",Loans[[#This Row],[RiskCategory]]="High Risk"),"High Risk Exposure","Normal")</f>
        <v>High Risk Exposure</v>
      </c>
      <c r="T386" t="str" cm="1">
        <f t="array" ref="T386">_xlfn.IFS(
Loans[[#This Row],[LoanStatus]]="Default","Critical",
OR(Loans[[#This Row],[LoanStatus]]="Watchlist",Loans[[#This Row],[CollateralRisk]]="Undersecured",Loans[[#This Row],[RiskCategory]]="High Risk"),"High",
TRUE,"Normal"
)</f>
        <v>High</v>
      </c>
    </row>
    <row r="387" spans="1:20" x14ac:dyDescent="0.35">
      <c r="A387" t="s">
        <v>867</v>
      </c>
      <c r="B387" t="s">
        <v>868</v>
      </c>
      <c r="C387" t="s">
        <v>196</v>
      </c>
      <c r="D387" t="s">
        <v>158</v>
      </c>
      <c r="E387" s="34">
        <v>1000000</v>
      </c>
      <c r="F387" s="29">
        <v>0.187</v>
      </c>
      <c r="G387" s="30">
        <v>43834</v>
      </c>
      <c r="H387">
        <v>60</v>
      </c>
      <c r="I387">
        <v>10</v>
      </c>
      <c r="J387" s="34">
        <v>1250000</v>
      </c>
      <c r="K387" t="s">
        <v>171</v>
      </c>
      <c r="L387" s="34">
        <f>PMT(Loans[[#This Row],[InterestRate]]/12,Loans[[#This Row],[LoanTenureMonths]],-Loans[[#This Row],[LoanAmount]])</f>
        <v>25775.759179812514</v>
      </c>
      <c r="M387" s="30">
        <f>EDATE(Loans[[#This Row],[LoanStartDate]],Loans[[#This Row],[LoanTenureMonths]])</f>
        <v>45661</v>
      </c>
      <c r="N387" s="33">
        <f>IF(Loans[[#This Row],[LoanAmount]]=0,0,Loans[[#This Row],[CollateralValue]]/Loans[[#This Row],[LoanAmount]])</f>
        <v>1.25</v>
      </c>
      <c r="O387" t="str">
        <f>IF(Loans[[#This Row],[CollateralCoverageRatio]]&lt;1,"Undersecured","Secured")</f>
        <v>Secured</v>
      </c>
      <c r="P387" t="str">
        <f>_xlfn.XLOOKUP(Loans[[#This Row],[BranchCode]],BranchesTbl[BranchCode],BranchesTbl[BranchName])</f>
        <v>Karen</v>
      </c>
      <c r="Q387">
        <f>_xlfn.XLOOKUP(Loans[[#This Row],[CustomerID]],CustomerTbl[CustomerID],CustomerTbl[RiskScore])</f>
        <v>600</v>
      </c>
      <c r="R387" t="str">
        <f>IFERROR(INDEX(RiskTbl[Risk_Category],MATCH(Loans[[#This Row],[RiskScore]],RiskTbl[Score_Min],1)),"Unknown")</f>
        <v>Medium Risk</v>
      </c>
      <c r="S387" t="str">
        <f>IF(OR(Loans[[#This Row],[LoanStatus]]="Default",Loans[[#This Row],[LoanStatus]]="Watchlist",Loans[[#This Row],[CollateralRisk]]="Undersecured",Loans[[#This Row],[RiskCategory]]="High Risk"),"High Risk Exposure","Normal")</f>
        <v>Normal</v>
      </c>
      <c r="T387" t="str" cm="1">
        <f t="array" ref="T387">_xlfn.IFS(
Loans[[#This Row],[LoanStatus]]="Default","Critical",
OR(Loans[[#This Row],[LoanStatus]]="Watchlist",Loans[[#This Row],[CollateralRisk]]="Undersecured",Loans[[#This Row],[RiskCategory]]="High Risk"),"High",
TRUE,"Normal"
)</f>
        <v>Normal</v>
      </c>
    </row>
    <row r="388" spans="1:20" x14ac:dyDescent="0.35">
      <c r="A388" t="s">
        <v>869</v>
      </c>
      <c r="B388" t="s">
        <v>870</v>
      </c>
      <c r="C388" t="s">
        <v>196</v>
      </c>
      <c r="D388" t="s">
        <v>155</v>
      </c>
      <c r="E388" s="34">
        <v>1000000</v>
      </c>
      <c r="F388" s="29">
        <v>0.2258</v>
      </c>
      <c r="G388" s="30">
        <v>44906</v>
      </c>
      <c r="H388">
        <v>24</v>
      </c>
      <c r="I388">
        <v>0</v>
      </c>
      <c r="J388" s="34">
        <v>0</v>
      </c>
      <c r="K388" t="s">
        <v>171</v>
      </c>
      <c r="L388" s="34">
        <f>PMT(Loans[[#This Row],[InterestRate]]/12,Loans[[#This Row],[LoanTenureMonths]],-Loans[[#This Row],[LoanAmount]])</f>
        <v>52165.02046009848</v>
      </c>
      <c r="M388" s="30">
        <f>EDATE(Loans[[#This Row],[LoanStartDate]],Loans[[#This Row],[LoanTenureMonths]])</f>
        <v>45637</v>
      </c>
      <c r="N388" s="33">
        <f>IF(Loans[[#This Row],[LoanAmount]]=0,0,Loans[[#This Row],[CollateralValue]]/Loans[[#This Row],[LoanAmount]])</f>
        <v>0</v>
      </c>
      <c r="O388" t="str">
        <f>IF(Loans[[#This Row],[CollateralCoverageRatio]]&lt;1,"Undersecured","Secured")</f>
        <v>Undersecured</v>
      </c>
      <c r="P388" t="str">
        <f>_xlfn.XLOOKUP(Loans[[#This Row],[BranchCode]],BranchesTbl[BranchCode],BranchesTbl[BranchName])</f>
        <v>Karen</v>
      </c>
      <c r="Q388">
        <f>_xlfn.XLOOKUP(Loans[[#This Row],[CustomerID]],CustomerTbl[CustomerID],CustomerTbl[RiskScore])</f>
        <v>603</v>
      </c>
      <c r="R388" t="str">
        <f>IFERROR(INDEX(RiskTbl[Risk_Category],MATCH(Loans[[#This Row],[RiskScore]],RiskTbl[Score_Min],1)),"Unknown")</f>
        <v>Medium Risk</v>
      </c>
      <c r="S388" t="str">
        <f>IF(OR(Loans[[#This Row],[LoanStatus]]="Default",Loans[[#This Row],[LoanStatus]]="Watchlist",Loans[[#This Row],[CollateralRisk]]="Undersecured",Loans[[#This Row],[RiskCategory]]="High Risk"),"High Risk Exposure","Normal")</f>
        <v>High Risk Exposure</v>
      </c>
      <c r="T388" t="str" cm="1">
        <f t="array" ref="T388">_xlfn.IFS(
Loans[[#This Row],[LoanStatus]]="Default","Critical",
OR(Loans[[#This Row],[LoanStatus]]="Watchlist",Loans[[#This Row],[CollateralRisk]]="Undersecured",Loans[[#This Row],[RiskCategory]]="High Risk"),"High",
TRUE,"Normal"
)</f>
        <v>High</v>
      </c>
    </row>
    <row r="389" spans="1:20" x14ac:dyDescent="0.35">
      <c r="A389" t="s">
        <v>871</v>
      </c>
      <c r="B389" t="s">
        <v>872</v>
      </c>
      <c r="C389" t="s">
        <v>270</v>
      </c>
      <c r="D389" t="s">
        <v>155</v>
      </c>
      <c r="E389" s="34">
        <v>250000</v>
      </c>
      <c r="F389" s="29">
        <v>0.2253</v>
      </c>
      <c r="G389" s="30">
        <v>44368</v>
      </c>
      <c r="H389">
        <v>60</v>
      </c>
      <c r="I389">
        <v>10</v>
      </c>
      <c r="J389" s="34">
        <v>0</v>
      </c>
      <c r="K389" t="s">
        <v>171</v>
      </c>
      <c r="L389" s="34">
        <f>PMT(Loans[[#This Row],[InterestRate]]/12,Loans[[#This Row],[LoanTenureMonths]],-Loans[[#This Row],[LoanAmount]])</f>
        <v>6980.2736654601795</v>
      </c>
      <c r="M389" s="30">
        <f>EDATE(Loans[[#This Row],[LoanStartDate]],Loans[[#This Row],[LoanTenureMonths]])</f>
        <v>46194</v>
      </c>
      <c r="N389" s="33">
        <f>IF(Loans[[#This Row],[LoanAmount]]=0,0,Loans[[#This Row],[CollateralValue]]/Loans[[#This Row],[LoanAmount]])</f>
        <v>0</v>
      </c>
      <c r="O389" t="str">
        <f>IF(Loans[[#This Row],[CollateralCoverageRatio]]&lt;1,"Undersecured","Secured")</f>
        <v>Undersecured</v>
      </c>
      <c r="P389" t="str">
        <f>_xlfn.XLOOKUP(Loans[[#This Row],[BranchCode]],BranchesTbl[BranchCode],BranchesTbl[BranchName])</f>
        <v>Nakuru</v>
      </c>
      <c r="Q389">
        <f>_xlfn.XLOOKUP(Loans[[#This Row],[CustomerID]],CustomerTbl[CustomerID],CustomerTbl[RiskScore])</f>
        <v>741</v>
      </c>
      <c r="R389" t="str">
        <f>IFERROR(INDEX(RiskTbl[Risk_Category],MATCH(Loans[[#This Row],[RiskScore]],RiskTbl[Score_Min],1)),"Unknown")</f>
        <v>Very Low Risk</v>
      </c>
      <c r="S389" t="str">
        <f>IF(OR(Loans[[#This Row],[LoanStatus]]="Default",Loans[[#This Row],[LoanStatus]]="Watchlist",Loans[[#This Row],[CollateralRisk]]="Undersecured",Loans[[#This Row],[RiskCategory]]="High Risk"),"High Risk Exposure","Normal")</f>
        <v>High Risk Exposure</v>
      </c>
      <c r="T389" t="str" cm="1">
        <f t="array" ref="T389">_xlfn.IFS(
Loans[[#This Row],[LoanStatus]]="Default","Critical",
OR(Loans[[#This Row],[LoanStatus]]="Watchlist",Loans[[#This Row],[CollateralRisk]]="Undersecured",Loans[[#This Row],[RiskCategory]]="High Risk"),"High",
TRUE,"Normal"
)</f>
        <v>High</v>
      </c>
    </row>
    <row r="390" spans="1:20" x14ac:dyDescent="0.35">
      <c r="A390" t="s">
        <v>873</v>
      </c>
      <c r="B390" t="s">
        <v>874</v>
      </c>
      <c r="C390" t="s">
        <v>270</v>
      </c>
      <c r="D390" t="s">
        <v>156</v>
      </c>
      <c r="E390" s="34">
        <v>3000000</v>
      </c>
      <c r="F390" s="29">
        <v>0.23860000000000001</v>
      </c>
      <c r="G390" s="30">
        <v>44794</v>
      </c>
      <c r="H390">
        <v>36</v>
      </c>
      <c r="I390">
        <v>90</v>
      </c>
      <c r="J390" s="34">
        <v>3270000</v>
      </c>
      <c r="K390" t="s">
        <v>199</v>
      </c>
      <c r="L390" s="34">
        <f>PMT(Loans[[#This Row],[InterestRate]]/12,Loans[[#This Row],[LoanTenureMonths]],-Loans[[#This Row],[LoanAmount]])</f>
        <v>117478.1474265233</v>
      </c>
      <c r="M390" s="30">
        <f>EDATE(Loans[[#This Row],[LoanStartDate]],Loans[[#This Row],[LoanTenureMonths]])</f>
        <v>45890</v>
      </c>
      <c r="N390" s="33">
        <f>IF(Loans[[#This Row],[LoanAmount]]=0,0,Loans[[#This Row],[CollateralValue]]/Loans[[#This Row],[LoanAmount]])</f>
        <v>1.0900000000000001</v>
      </c>
      <c r="O390" t="str">
        <f>IF(Loans[[#This Row],[CollateralCoverageRatio]]&lt;1,"Undersecured","Secured")</f>
        <v>Secured</v>
      </c>
      <c r="P390" t="str">
        <f>_xlfn.XLOOKUP(Loans[[#This Row],[BranchCode]],BranchesTbl[BranchCode],BranchesTbl[BranchName])</f>
        <v>Nakuru</v>
      </c>
      <c r="Q390">
        <f>_xlfn.XLOOKUP(Loans[[#This Row],[CustomerID]],CustomerTbl[CustomerID],CustomerTbl[RiskScore])</f>
        <v>574</v>
      </c>
      <c r="R390" t="str">
        <f>IFERROR(INDEX(RiskTbl[Risk_Category],MATCH(Loans[[#This Row],[RiskScore]],RiskTbl[Score_Min],1)),"Unknown")</f>
        <v>High Risk</v>
      </c>
      <c r="S390" t="str">
        <f>IF(OR(Loans[[#This Row],[LoanStatus]]="Default",Loans[[#This Row],[LoanStatus]]="Watchlist",Loans[[#This Row],[CollateralRisk]]="Undersecured",Loans[[#This Row],[RiskCategory]]="High Risk"),"High Risk Exposure","Normal")</f>
        <v>High Risk Exposure</v>
      </c>
      <c r="T390" t="str" cm="1">
        <f t="array" ref="T390">_xlfn.IFS(
Loans[[#This Row],[LoanStatus]]="Default","Critical",
OR(Loans[[#This Row],[LoanStatus]]="Watchlist",Loans[[#This Row],[CollateralRisk]]="Undersecured",Loans[[#This Row],[RiskCategory]]="High Risk"),"High",
TRUE,"Normal"
)</f>
        <v>High</v>
      </c>
    </row>
    <row r="391" spans="1:20" x14ac:dyDescent="0.35">
      <c r="A391" t="s">
        <v>875</v>
      </c>
      <c r="B391" t="s">
        <v>876</v>
      </c>
      <c r="C391" t="s">
        <v>193</v>
      </c>
      <c r="D391" t="s">
        <v>157</v>
      </c>
      <c r="E391" s="34">
        <v>6000000</v>
      </c>
      <c r="F391" s="29">
        <v>0.1135</v>
      </c>
      <c r="G391" s="30">
        <v>44545</v>
      </c>
      <c r="H391">
        <v>72</v>
      </c>
      <c r="I391">
        <v>10</v>
      </c>
      <c r="J391" s="34">
        <v>9000000</v>
      </c>
      <c r="K391" t="s">
        <v>171</v>
      </c>
      <c r="L391" s="34">
        <f>PMT(Loans[[#This Row],[InterestRate]]/12,Loans[[#This Row],[LoanTenureMonths]],-Loans[[#This Row],[LoanAmount]])</f>
        <v>115282.96138325059</v>
      </c>
      <c r="M391" s="30">
        <f>EDATE(Loans[[#This Row],[LoanStartDate]],Loans[[#This Row],[LoanTenureMonths]])</f>
        <v>46736</v>
      </c>
      <c r="N391" s="33">
        <f>IF(Loans[[#This Row],[LoanAmount]]=0,0,Loans[[#This Row],[CollateralValue]]/Loans[[#This Row],[LoanAmount]])</f>
        <v>1.5</v>
      </c>
      <c r="O391" t="str">
        <f>IF(Loans[[#This Row],[CollateralCoverageRatio]]&lt;1,"Undersecured","Secured")</f>
        <v>Secured</v>
      </c>
      <c r="P391" t="str">
        <f>_xlfn.XLOOKUP(Loans[[#This Row],[BranchCode]],BranchesTbl[BranchCode],BranchesTbl[BranchName])</f>
        <v>Mombasa</v>
      </c>
      <c r="Q391">
        <f>_xlfn.XLOOKUP(Loans[[#This Row],[CustomerID]],CustomerTbl[CustomerID],CustomerTbl[RiskScore])</f>
        <v>313</v>
      </c>
      <c r="R391" t="str">
        <f>IFERROR(INDEX(RiskTbl[Risk_Category],MATCH(Loans[[#This Row],[RiskScore]],RiskTbl[Score_Min],1)),"Unknown")</f>
        <v>High Risk</v>
      </c>
      <c r="S391" t="str">
        <f>IF(OR(Loans[[#This Row],[LoanStatus]]="Default",Loans[[#This Row],[LoanStatus]]="Watchlist",Loans[[#This Row],[CollateralRisk]]="Undersecured",Loans[[#This Row],[RiskCategory]]="High Risk"),"High Risk Exposure","Normal")</f>
        <v>High Risk Exposure</v>
      </c>
      <c r="T391" t="str" cm="1">
        <f t="array" ref="T391">_xlfn.IFS(
Loans[[#This Row],[LoanStatus]]="Default","Critical",
OR(Loans[[#This Row],[LoanStatus]]="Watchlist",Loans[[#This Row],[CollateralRisk]]="Undersecured",Loans[[#This Row],[RiskCategory]]="High Risk"),"High",
TRUE,"Normal"
)</f>
        <v>High</v>
      </c>
    </row>
    <row r="392" spans="1:20" x14ac:dyDescent="0.35">
      <c r="A392" t="s">
        <v>877</v>
      </c>
      <c r="B392" t="s">
        <v>231</v>
      </c>
      <c r="C392" t="s">
        <v>219</v>
      </c>
      <c r="D392" t="s">
        <v>158</v>
      </c>
      <c r="E392" s="34">
        <v>6000000</v>
      </c>
      <c r="F392" s="29">
        <v>0.13539999999999999</v>
      </c>
      <c r="G392" s="30">
        <v>44744</v>
      </c>
      <c r="H392">
        <v>60</v>
      </c>
      <c r="I392">
        <v>45</v>
      </c>
      <c r="J392" s="34">
        <v>8940000</v>
      </c>
      <c r="K392" t="s">
        <v>199</v>
      </c>
      <c r="L392" s="34">
        <f>PMT(Loans[[#This Row],[InterestRate]]/12,Loans[[#This Row],[LoanTenureMonths]],-Loans[[#This Row],[LoanAmount]])</f>
        <v>138182.75061350947</v>
      </c>
      <c r="M392" s="30">
        <f>EDATE(Loans[[#This Row],[LoanStartDate]],Loans[[#This Row],[LoanTenureMonths]])</f>
        <v>46570</v>
      </c>
      <c r="N392" s="33">
        <f>IF(Loans[[#This Row],[LoanAmount]]=0,0,Loans[[#This Row],[CollateralValue]]/Loans[[#This Row],[LoanAmount]])</f>
        <v>1.49</v>
      </c>
      <c r="O392" t="str">
        <f>IF(Loans[[#This Row],[CollateralCoverageRatio]]&lt;1,"Undersecured","Secured")</f>
        <v>Secured</v>
      </c>
      <c r="P392" t="str">
        <f>_xlfn.XLOOKUP(Loans[[#This Row],[BranchCode]],BranchesTbl[BranchCode],BranchesTbl[BranchName])</f>
        <v>Meru</v>
      </c>
      <c r="Q392">
        <f>_xlfn.XLOOKUP(Loans[[#This Row],[CustomerID]],CustomerTbl[CustomerID],CustomerTbl[RiskScore])</f>
        <v>831</v>
      </c>
      <c r="R392" t="str">
        <f>IFERROR(INDEX(RiskTbl[Risk_Category],MATCH(Loans[[#This Row],[RiskScore]],RiskTbl[Score_Min],1)),"Unknown")</f>
        <v>Prime</v>
      </c>
      <c r="S392" t="str">
        <f>IF(OR(Loans[[#This Row],[LoanStatus]]="Default",Loans[[#This Row],[LoanStatus]]="Watchlist",Loans[[#This Row],[CollateralRisk]]="Undersecured",Loans[[#This Row],[RiskCategory]]="High Risk"),"High Risk Exposure","Normal")</f>
        <v>High Risk Exposure</v>
      </c>
      <c r="T392" t="str" cm="1">
        <f t="array" ref="T392">_xlfn.IFS(
Loans[[#This Row],[LoanStatus]]="Default","Critical",
OR(Loans[[#This Row],[LoanStatus]]="Watchlist",Loans[[#This Row],[CollateralRisk]]="Undersecured",Loans[[#This Row],[RiskCategory]]="High Risk"),"High",
TRUE,"Normal"
)</f>
        <v>High</v>
      </c>
    </row>
    <row r="393" spans="1:20" x14ac:dyDescent="0.35">
      <c r="A393" t="s">
        <v>878</v>
      </c>
      <c r="B393" t="s">
        <v>879</v>
      </c>
      <c r="C393" t="s">
        <v>177</v>
      </c>
      <c r="D393" t="s">
        <v>157</v>
      </c>
      <c r="E393" s="34">
        <v>6000000</v>
      </c>
      <c r="F393" s="29">
        <v>0.12239999999999999</v>
      </c>
      <c r="G393" s="30">
        <v>44155</v>
      </c>
      <c r="H393">
        <v>72</v>
      </c>
      <c r="I393">
        <v>0</v>
      </c>
      <c r="J393" s="34">
        <v>4440000</v>
      </c>
      <c r="K393" t="s">
        <v>171</v>
      </c>
      <c r="L393" s="34">
        <f>PMT(Loans[[#This Row],[InterestRate]]/12,Loans[[#This Row],[LoanTenureMonths]],-Loans[[#This Row],[LoanAmount]])</f>
        <v>118051.33869936412</v>
      </c>
      <c r="M393" s="30">
        <f>EDATE(Loans[[#This Row],[LoanStartDate]],Loans[[#This Row],[LoanTenureMonths]])</f>
        <v>46346</v>
      </c>
      <c r="N393" s="33">
        <f>IF(Loans[[#This Row],[LoanAmount]]=0,0,Loans[[#This Row],[CollateralValue]]/Loans[[#This Row],[LoanAmount]])</f>
        <v>0.74</v>
      </c>
      <c r="O393" t="str">
        <f>IF(Loans[[#This Row],[CollateralCoverageRatio]]&lt;1,"Undersecured","Secured")</f>
        <v>Undersecured</v>
      </c>
      <c r="P393" t="str">
        <f>_xlfn.XLOOKUP(Loans[[#This Row],[BranchCode]],BranchesTbl[BranchCode],BranchesTbl[BranchName])</f>
        <v>Naivasha</v>
      </c>
      <c r="Q393">
        <f>_xlfn.XLOOKUP(Loans[[#This Row],[CustomerID]],CustomerTbl[CustomerID],CustomerTbl[RiskScore])</f>
        <v>580</v>
      </c>
      <c r="R393" t="str">
        <f>IFERROR(INDEX(RiskTbl[Risk_Category],MATCH(Loans[[#This Row],[RiskScore]],RiskTbl[Score_Min],1)),"Unknown")</f>
        <v>Medium Risk</v>
      </c>
      <c r="S393" t="str">
        <f>IF(OR(Loans[[#This Row],[LoanStatus]]="Default",Loans[[#This Row],[LoanStatus]]="Watchlist",Loans[[#This Row],[CollateralRisk]]="Undersecured",Loans[[#This Row],[RiskCategory]]="High Risk"),"High Risk Exposure","Normal")</f>
        <v>High Risk Exposure</v>
      </c>
      <c r="T393" t="str" cm="1">
        <f t="array" ref="T393">_xlfn.IFS(
Loans[[#This Row],[LoanStatus]]="Default","Critical",
OR(Loans[[#This Row],[LoanStatus]]="Watchlist",Loans[[#This Row],[CollateralRisk]]="Undersecured",Loans[[#This Row],[RiskCategory]]="High Risk"),"High",
TRUE,"Normal"
)</f>
        <v>High</v>
      </c>
    </row>
    <row r="394" spans="1:20" x14ac:dyDescent="0.35">
      <c r="A394" t="s">
        <v>880</v>
      </c>
      <c r="B394" t="s">
        <v>881</v>
      </c>
      <c r="C394" t="s">
        <v>181</v>
      </c>
      <c r="D394" t="s">
        <v>156</v>
      </c>
      <c r="E394" s="34">
        <v>6000000</v>
      </c>
      <c r="F394" s="29">
        <v>0.19789999999999999</v>
      </c>
      <c r="G394" s="30">
        <v>45304</v>
      </c>
      <c r="H394">
        <v>48</v>
      </c>
      <c r="I394">
        <v>0</v>
      </c>
      <c r="J394" s="34">
        <v>8280000</v>
      </c>
      <c r="K394" t="s">
        <v>171</v>
      </c>
      <c r="L394" s="34">
        <f>PMT(Loans[[#This Row],[InterestRate]]/12,Loans[[#This Row],[LoanTenureMonths]],-Loans[[#This Row],[LoanAmount]])</f>
        <v>181911.52637339651</v>
      </c>
      <c r="M394" s="30">
        <f>EDATE(Loans[[#This Row],[LoanStartDate]],Loans[[#This Row],[LoanTenureMonths]])</f>
        <v>46765</v>
      </c>
      <c r="N394" s="33">
        <f>IF(Loans[[#This Row],[LoanAmount]]=0,0,Loans[[#This Row],[CollateralValue]]/Loans[[#This Row],[LoanAmount]])</f>
        <v>1.38</v>
      </c>
      <c r="O394" t="str">
        <f>IF(Loans[[#This Row],[CollateralCoverageRatio]]&lt;1,"Undersecured","Secured")</f>
        <v>Secured</v>
      </c>
      <c r="P394" t="str">
        <f>_xlfn.XLOOKUP(Loans[[#This Row],[BranchCode]],BranchesTbl[BranchCode],BranchesTbl[BranchName])</f>
        <v>Kitale</v>
      </c>
      <c r="Q394">
        <f>_xlfn.XLOOKUP(Loans[[#This Row],[CustomerID]],CustomerTbl[CustomerID],CustomerTbl[RiskScore])</f>
        <v>708</v>
      </c>
      <c r="R394" t="str">
        <f>IFERROR(INDEX(RiskTbl[Risk_Category],MATCH(Loans[[#This Row],[RiskScore]],RiskTbl[Score_Min],1)),"Unknown")</f>
        <v>Low Risk</v>
      </c>
      <c r="S394" t="str">
        <f>IF(OR(Loans[[#This Row],[LoanStatus]]="Default",Loans[[#This Row],[LoanStatus]]="Watchlist",Loans[[#This Row],[CollateralRisk]]="Undersecured",Loans[[#This Row],[RiskCategory]]="High Risk"),"High Risk Exposure","Normal")</f>
        <v>Normal</v>
      </c>
      <c r="T394" t="str" cm="1">
        <f t="array" ref="T394">_xlfn.IFS(
Loans[[#This Row],[LoanStatus]]="Default","Critical",
OR(Loans[[#This Row],[LoanStatus]]="Watchlist",Loans[[#This Row],[CollateralRisk]]="Undersecured",Loans[[#This Row],[RiskCategory]]="High Risk"),"High",
TRUE,"Normal"
)</f>
        <v>Normal</v>
      </c>
    </row>
    <row r="395" spans="1:20" x14ac:dyDescent="0.35">
      <c r="A395" t="s">
        <v>882</v>
      </c>
      <c r="B395" t="s">
        <v>883</v>
      </c>
      <c r="C395" t="s">
        <v>196</v>
      </c>
      <c r="D395" t="s">
        <v>158</v>
      </c>
      <c r="E395" s="34">
        <v>1000000</v>
      </c>
      <c r="F395" s="29">
        <v>0.19589999999999999</v>
      </c>
      <c r="G395" s="30">
        <v>44237</v>
      </c>
      <c r="H395">
        <v>48</v>
      </c>
      <c r="I395">
        <v>120</v>
      </c>
      <c r="J395" s="34">
        <v>900000</v>
      </c>
      <c r="K395" t="s">
        <v>178</v>
      </c>
      <c r="L395" s="34">
        <f>PMT(Loans[[#This Row],[InterestRate]]/12,Loans[[#This Row],[LoanTenureMonths]],-Loans[[#This Row],[LoanAmount]])</f>
        <v>30212.344664710312</v>
      </c>
      <c r="M395" s="30">
        <f>EDATE(Loans[[#This Row],[LoanStartDate]],Loans[[#This Row],[LoanTenureMonths]])</f>
        <v>45698</v>
      </c>
      <c r="N395" s="33">
        <f>IF(Loans[[#This Row],[LoanAmount]]=0,0,Loans[[#This Row],[CollateralValue]]/Loans[[#This Row],[LoanAmount]])</f>
        <v>0.9</v>
      </c>
      <c r="O395" t="str">
        <f>IF(Loans[[#This Row],[CollateralCoverageRatio]]&lt;1,"Undersecured","Secured")</f>
        <v>Undersecured</v>
      </c>
      <c r="P395" t="str">
        <f>_xlfn.XLOOKUP(Loans[[#This Row],[BranchCode]],BranchesTbl[BranchCode],BranchesTbl[BranchName])</f>
        <v>Karen</v>
      </c>
      <c r="Q395">
        <f>_xlfn.XLOOKUP(Loans[[#This Row],[CustomerID]],CustomerTbl[CustomerID],CustomerTbl[RiskScore])</f>
        <v>493</v>
      </c>
      <c r="R395" t="str">
        <f>IFERROR(INDEX(RiskTbl[Risk_Category],MATCH(Loans[[#This Row],[RiskScore]],RiskTbl[Score_Min],1)),"Unknown")</f>
        <v>High Risk</v>
      </c>
      <c r="S395" t="str">
        <f>IF(OR(Loans[[#This Row],[LoanStatus]]="Default",Loans[[#This Row],[LoanStatus]]="Watchlist",Loans[[#This Row],[CollateralRisk]]="Undersecured",Loans[[#This Row],[RiskCategory]]="High Risk"),"High Risk Exposure","Normal")</f>
        <v>High Risk Exposure</v>
      </c>
      <c r="T395" t="str" cm="1">
        <f t="array" ref="T395">_xlfn.IFS(
Loans[[#This Row],[LoanStatus]]="Default","Critical",
OR(Loans[[#This Row],[LoanStatus]]="Watchlist",Loans[[#This Row],[CollateralRisk]]="Undersecured",Loans[[#This Row],[RiskCategory]]="High Risk"),"High",
TRUE,"Normal"
)</f>
        <v>Critical</v>
      </c>
    </row>
    <row r="396" spans="1:20" x14ac:dyDescent="0.35">
      <c r="A396" t="s">
        <v>884</v>
      </c>
      <c r="B396" t="s">
        <v>885</v>
      </c>
      <c r="C396" t="s">
        <v>187</v>
      </c>
      <c r="D396" t="s">
        <v>158</v>
      </c>
      <c r="E396" s="34">
        <v>6000000</v>
      </c>
      <c r="F396" s="29">
        <v>0.16919999999999999</v>
      </c>
      <c r="G396" s="30">
        <v>45775</v>
      </c>
      <c r="H396">
        <v>60</v>
      </c>
      <c r="I396">
        <v>0</v>
      </c>
      <c r="J396" s="34">
        <v>6960000</v>
      </c>
      <c r="K396" t="s">
        <v>171</v>
      </c>
      <c r="L396" s="34">
        <f>PMT(Loans[[#This Row],[InterestRate]]/12,Loans[[#This Row],[LoanTenureMonths]],-Loans[[#This Row],[LoanAmount]])</f>
        <v>148857.48257213325</v>
      </c>
      <c r="M396" s="30">
        <f>EDATE(Loans[[#This Row],[LoanStartDate]],Loans[[#This Row],[LoanTenureMonths]])</f>
        <v>47601</v>
      </c>
      <c r="N396" s="33">
        <f>IF(Loans[[#This Row],[LoanAmount]]=0,0,Loans[[#This Row],[CollateralValue]]/Loans[[#This Row],[LoanAmount]])</f>
        <v>1.1599999999999999</v>
      </c>
      <c r="O396" t="str">
        <f>IF(Loans[[#This Row],[CollateralCoverageRatio]]&lt;1,"Undersecured","Secured")</f>
        <v>Secured</v>
      </c>
      <c r="P396" t="str">
        <f>_xlfn.XLOOKUP(Loans[[#This Row],[BranchCode]],BranchesTbl[BranchCode],BranchesTbl[BranchName])</f>
        <v>Eldoret</v>
      </c>
      <c r="Q396">
        <f>_xlfn.XLOOKUP(Loans[[#This Row],[CustomerID]],CustomerTbl[CustomerID],CustomerTbl[RiskScore])</f>
        <v>610</v>
      </c>
      <c r="R396" t="str">
        <f>IFERROR(INDEX(RiskTbl[Risk_Category],MATCH(Loans[[#This Row],[RiskScore]],RiskTbl[Score_Min],1)),"Unknown")</f>
        <v>Medium Risk</v>
      </c>
      <c r="S396" t="str">
        <f>IF(OR(Loans[[#This Row],[LoanStatus]]="Default",Loans[[#This Row],[LoanStatus]]="Watchlist",Loans[[#This Row],[CollateralRisk]]="Undersecured",Loans[[#This Row],[RiskCategory]]="High Risk"),"High Risk Exposure","Normal")</f>
        <v>Normal</v>
      </c>
      <c r="T396" t="str" cm="1">
        <f t="array" ref="T396">_xlfn.IFS(
Loans[[#This Row],[LoanStatus]]="Default","Critical",
OR(Loans[[#This Row],[LoanStatus]]="Watchlist",Loans[[#This Row],[CollateralRisk]]="Undersecured",Loans[[#This Row],[RiskCategory]]="High Risk"),"High",
TRUE,"Normal"
)</f>
        <v>Normal</v>
      </c>
    </row>
    <row r="397" spans="1:20" x14ac:dyDescent="0.35">
      <c r="A397" t="s">
        <v>886</v>
      </c>
      <c r="B397" t="s">
        <v>887</v>
      </c>
      <c r="C397" t="s">
        <v>190</v>
      </c>
      <c r="D397" t="s">
        <v>155</v>
      </c>
      <c r="E397" s="34">
        <v>500000</v>
      </c>
      <c r="F397" s="29">
        <v>0.23319999999999999</v>
      </c>
      <c r="G397" s="30">
        <v>45566</v>
      </c>
      <c r="H397">
        <v>48</v>
      </c>
      <c r="I397">
        <v>10</v>
      </c>
      <c r="J397" s="34">
        <v>0</v>
      </c>
      <c r="K397" t="s">
        <v>171</v>
      </c>
      <c r="L397" s="34">
        <f>PMT(Loans[[#This Row],[InterestRate]]/12,Loans[[#This Row],[LoanTenureMonths]],-Loans[[#This Row],[LoanAmount]])</f>
        <v>16113.524614121223</v>
      </c>
      <c r="M397" s="30">
        <f>EDATE(Loans[[#This Row],[LoanStartDate]],Loans[[#This Row],[LoanTenureMonths]])</f>
        <v>47027</v>
      </c>
      <c r="N397" s="33">
        <f>IF(Loans[[#This Row],[LoanAmount]]=0,0,Loans[[#This Row],[CollateralValue]]/Loans[[#This Row],[LoanAmount]])</f>
        <v>0</v>
      </c>
      <c r="O397" t="str">
        <f>IF(Loans[[#This Row],[CollateralCoverageRatio]]&lt;1,"Undersecured","Secured")</f>
        <v>Undersecured</v>
      </c>
      <c r="P397" t="str">
        <f>_xlfn.XLOOKUP(Loans[[#This Row],[BranchCode]],BranchesTbl[BranchCode],BranchesTbl[BranchName])</f>
        <v>Nyeri</v>
      </c>
      <c r="Q397">
        <f>_xlfn.XLOOKUP(Loans[[#This Row],[CustomerID]],CustomerTbl[CustomerID],CustomerTbl[RiskScore])</f>
        <v>391</v>
      </c>
      <c r="R397" t="str">
        <f>IFERROR(INDEX(RiskTbl[Risk_Category],MATCH(Loans[[#This Row],[RiskScore]],RiskTbl[Score_Min],1)),"Unknown")</f>
        <v>High Risk</v>
      </c>
      <c r="S397" t="str">
        <f>IF(OR(Loans[[#This Row],[LoanStatus]]="Default",Loans[[#This Row],[LoanStatus]]="Watchlist",Loans[[#This Row],[CollateralRisk]]="Undersecured",Loans[[#This Row],[RiskCategory]]="High Risk"),"High Risk Exposure","Normal")</f>
        <v>High Risk Exposure</v>
      </c>
      <c r="T397" t="str" cm="1">
        <f t="array" ref="T397">_xlfn.IFS(
Loans[[#This Row],[LoanStatus]]="Default","Critical",
OR(Loans[[#This Row],[LoanStatus]]="Watchlist",Loans[[#This Row],[CollateralRisk]]="Undersecured",Loans[[#This Row],[RiskCategory]]="High Risk"),"High",
TRUE,"Normal"
)</f>
        <v>High</v>
      </c>
    </row>
    <row r="398" spans="1:20" x14ac:dyDescent="0.35">
      <c r="A398" t="s">
        <v>888</v>
      </c>
      <c r="B398" t="s">
        <v>889</v>
      </c>
      <c r="C398" t="s">
        <v>219</v>
      </c>
      <c r="D398" t="s">
        <v>156</v>
      </c>
      <c r="E398" s="34">
        <v>25000000</v>
      </c>
      <c r="F398" s="29">
        <v>0.17630000000000001</v>
      </c>
      <c r="G398" s="30">
        <v>44934</v>
      </c>
      <c r="H398">
        <v>72</v>
      </c>
      <c r="I398">
        <v>20</v>
      </c>
      <c r="J398" s="34">
        <v>32750000</v>
      </c>
      <c r="K398" t="s">
        <v>171</v>
      </c>
      <c r="L398" s="34">
        <f>PMT(Loans[[#This Row],[InterestRate]]/12,Loans[[#This Row],[LoanTenureMonths]],-Loans[[#This Row],[LoanAmount]])</f>
        <v>564978.10255381267</v>
      </c>
      <c r="M398" s="30">
        <f>EDATE(Loans[[#This Row],[LoanStartDate]],Loans[[#This Row],[LoanTenureMonths]])</f>
        <v>47126</v>
      </c>
      <c r="N398" s="33">
        <f>IF(Loans[[#This Row],[LoanAmount]]=0,0,Loans[[#This Row],[CollateralValue]]/Loans[[#This Row],[LoanAmount]])</f>
        <v>1.31</v>
      </c>
      <c r="O398" t="str">
        <f>IF(Loans[[#This Row],[CollateralCoverageRatio]]&lt;1,"Undersecured","Secured")</f>
        <v>Secured</v>
      </c>
      <c r="P398" t="str">
        <f>_xlfn.XLOOKUP(Loans[[#This Row],[BranchCode]],BranchesTbl[BranchCode],BranchesTbl[BranchName])</f>
        <v>Meru</v>
      </c>
      <c r="Q398">
        <f>_xlfn.XLOOKUP(Loans[[#This Row],[CustomerID]],CustomerTbl[CustomerID],CustomerTbl[RiskScore])</f>
        <v>797</v>
      </c>
      <c r="R398" t="str">
        <f>IFERROR(INDEX(RiskTbl[Risk_Category],MATCH(Loans[[#This Row],[RiskScore]],RiskTbl[Score_Min],1)),"Unknown")</f>
        <v>Very Low Risk</v>
      </c>
      <c r="S398" t="str">
        <f>IF(OR(Loans[[#This Row],[LoanStatus]]="Default",Loans[[#This Row],[LoanStatus]]="Watchlist",Loans[[#This Row],[CollateralRisk]]="Undersecured",Loans[[#This Row],[RiskCategory]]="High Risk"),"High Risk Exposure","Normal")</f>
        <v>Normal</v>
      </c>
      <c r="T398" t="str" cm="1">
        <f t="array" ref="T398">_xlfn.IFS(
Loans[[#This Row],[LoanStatus]]="Default","Critical",
OR(Loans[[#This Row],[LoanStatus]]="Watchlist",Loans[[#This Row],[CollateralRisk]]="Undersecured",Loans[[#This Row],[RiskCategory]]="High Risk"),"High",
TRUE,"Normal"
)</f>
        <v>Normal</v>
      </c>
    </row>
    <row r="399" spans="1:20" x14ac:dyDescent="0.35">
      <c r="A399" t="s">
        <v>890</v>
      </c>
      <c r="B399" t="s">
        <v>749</v>
      </c>
      <c r="C399" t="s">
        <v>181</v>
      </c>
      <c r="D399" t="s">
        <v>157</v>
      </c>
      <c r="E399" s="34">
        <v>6000000</v>
      </c>
      <c r="F399" s="29">
        <v>0.1062</v>
      </c>
      <c r="G399" s="30">
        <v>44277</v>
      </c>
      <c r="H399">
        <v>60</v>
      </c>
      <c r="I399">
        <v>20</v>
      </c>
      <c r="J399" s="34">
        <v>6960000</v>
      </c>
      <c r="K399" t="s">
        <v>171</v>
      </c>
      <c r="L399" s="34">
        <f>PMT(Loans[[#This Row],[InterestRate]]/12,Loans[[#This Row],[LoanTenureMonths]],-Loans[[#This Row],[LoanAmount]])</f>
        <v>129320.36395910534</v>
      </c>
      <c r="M399" s="30">
        <f>EDATE(Loans[[#This Row],[LoanStartDate]],Loans[[#This Row],[LoanTenureMonths]])</f>
        <v>46103</v>
      </c>
      <c r="N399" s="33">
        <f>IF(Loans[[#This Row],[LoanAmount]]=0,0,Loans[[#This Row],[CollateralValue]]/Loans[[#This Row],[LoanAmount]])</f>
        <v>1.1599999999999999</v>
      </c>
      <c r="O399" t="str">
        <f>IF(Loans[[#This Row],[CollateralCoverageRatio]]&lt;1,"Undersecured","Secured")</f>
        <v>Secured</v>
      </c>
      <c r="P399" t="str">
        <f>_xlfn.XLOOKUP(Loans[[#This Row],[BranchCode]],BranchesTbl[BranchCode],BranchesTbl[BranchName])</f>
        <v>Kitale</v>
      </c>
      <c r="Q399">
        <f>_xlfn.XLOOKUP(Loans[[#This Row],[CustomerID]],CustomerTbl[CustomerID],CustomerTbl[RiskScore])</f>
        <v>841</v>
      </c>
      <c r="R399" t="str">
        <f>IFERROR(INDEX(RiskTbl[Risk_Category],MATCH(Loans[[#This Row],[RiskScore]],RiskTbl[Score_Min],1)),"Unknown")</f>
        <v>Prime</v>
      </c>
      <c r="S399" t="str">
        <f>IF(OR(Loans[[#This Row],[LoanStatus]]="Default",Loans[[#This Row],[LoanStatus]]="Watchlist",Loans[[#This Row],[CollateralRisk]]="Undersecured",Loans[[#This Row],[RiskCategory]]="High Risk"),"High Risk Exposure","Normal")</f>
        <v>Normal</v>
      </c>
      <c r="T399" t="str" cm="1">
        <f t="array" ref="T399">_xlfn.IFS(
Loans[[#This Row],[LoanStatus]]="Default","Critical",
OR(Loans[[#This Row],[LoanStatus]]="Watchlist",Loans[[#This Row],[CollateralRisk]]="Undersecured",Loans[[#This Row],[RiskCategory]]="High Risk"),"High",
TRUE,"Normal"
)</f>
        <v>Normal</v>
      </c>
    </row>
    <row r="400" spans="1:20" x14ac:dyDescent="0.35">
      <c r="A400" t="s">
        <v>891</v>
      </c>
      <c r="B400" t="s">
        <v>694</v>
      </c>
      <c r="C400" t="s">
        <v>190</v>
      </c>
      <c r="D400" t="s">
        <v>156</v>
      </c>
      <c r="E400" s="34">
        <v>6000000</v>
      </c>
      <c r="F400" s="29">
        <v>0.22459999999999999</v>
      </c>
      <c r="G400" s="30">
        <v>45843</v>
      </c>
      <c r="H400">
        <v>60</v>
      </c>
      <c r="I400">
        <v>0</v>
      </c>
      <c r="J400" s="34">
        <v>5160000</v>
      </c>
      <c r="K400" t="s">
        <v>171</v>
      </c>
      <c r="L400" s="34">
        <f>PMT(Loans[[#This Row],[InterestRate]]/12,Loans[[#This Row],[LoanTenureMonths]],-Loans[[#This Row],[LoanAmount]])</f>
        <v>167286.52446980204</v>
      </c>
      <c r="M400" s="30">
        <f>EDATE(Loans[[#This Row],[LoanStartDate]],Loans[[#This Row],[LoanTenureMonths]])</f>
        <v>47669</v>
      </c>
      <c r="N400" s="33">
        <f>IF(Loans[[#This Row],[LoanAmount]]=0,0,Loans[[#This Row],[CollateralValue]]/Loans[[#This Row],[LoanAmount]])</f>
        <v>0.86</v>
      </c>
      <c r="O400" t="str">
        <f>IF(Loans[[#This Row],[CollateralCoverageRatio]]&lt;1,"Undersecured","Secured")</f>
        <v>Undersecured</v>
      </c>
      <c r="P400" t="str">
        <f>_xlfn.XLOOKUP(Loans[[#This Row],[BranchCode]],BranchesTbl[BranchCode],BranchesTbl[BranchName])</f>
        <v>Nyeri</v>
      </c>
      <c r="Q400">
        <f>_xlfn.XLOOKUP(Loans[[#This Row],[CustomerID]],CustomerTbl[CustomerID],CustomerTbl[RiskScore])</f>
        <v>828</v>
      </c>
      <c r="R400" t="str">
        <f>IFERROR(INDEX(RiskTbl[Risk_Category],MATCH(Loans[[#This Row],[RiskScore]],RiskTbl[Score_Min],1)),"Unknown")</f>
        <v>Prime</v>
      </c>
      <c r="S400" t="str">
        <f>IF(OR(Loans[[#This Row],[LoanStatus]]="Default",Loans[[#This Row],[LoanStatus]]="Watchlist",Loans[[#This Row],[CollateralRisk]]="Undersecured",Loans[[#This Row],[RiskCategory]]="High Risk"),"High Risk Exposure","Normal")</f>
        <v>High Risk Exposure</v>
      </c>
      <c r="T400" t="str" cm="1">
        <f t="array" ref="T400">_xlfn.IFS(
Loans[[#This Row],[LoanStatus]]="Default","Critical",
OR(Loans[[#This Row],[LoanStatus]]="Watchlist",Loans[[#This Row],[CollateralRisk]]="Undersecured",Loans[[#This Row],[RiskCategory]]="High Risk"),"High",
TRUE,"Normal"
)</f>
        <v>High</v>
      </c>
    </row>
    <row r="401" spans="1:20" x14ac:dyDescent="0.35">
      <c r="A401" t="s">
        <v>892</v>
      </c>
      <c r="B401" t="s">
        <v>893</v>
      </c>
      <c r="C401" t="s">
        <v>190</v>
      </c>
      <c r="D401" t="s">
        <v>155</v>
      </c>
      <c r="E401" s="34">
        <v>1000000</v>
      </c>
      <c r="F401" s="29">
        <v>0.16830000000000001</v>
      </c>
      <c r="G401" s="30">
        <v>45158</v>
      </c>
      <c r="H401">
        <v>12</v>
      </c>
      <c r="I401">
        <v>5</v>
      </c>
      <c r="J401" s="34">
        <v>0</v>
      </c>
      <c r="K401" t="s">
        <v>171</v>
      </c>
      <c r="L401" s="34">
        <f>PMT(Loans[[#This Row],[InterestRate]]/12,Loans[[#This Row],[LoanTenureMonths]],-Loans[[#This Row],[LoanAmount]])</f>
        <v>91124.094999926878</v>
      </c>
      <c r="M401" s="30">
        <f>EDATE(Loans[[#This Row],[LoanStartDate]],Loans[[#This Row],[LoanTenureMonths]])</f>
        <v>45524</v>
      </c>
      <c r="N401" s="33">
        <f>IF(Loans[[#This Row],[LoanAmount]]=0,0,Loans[[#This Row],[CollateralValue]]/Loans[[#This Row],[LoanAmount]])</f>
        <v>0</v>
      </c>
      <c r="O401" t="str">
        <f>IF(Loans[[#This Row],[CollateralCoverageRatio]]&lt;1,"Undersecured","Secured")</f>
        <v>Undersecured</v>
      </c>
      <c r="P401" t="str">
        <f>_xlfn.XLOOKUP(Loans[[#This Row],[BranchCode]],BranchesTbl[BranchCode],BranchesTbl[BranchName])</f>
        <v>Nyeri</v>
      </c>
      <c r="Q401">
        <f>_xlfn.XLOOKUP(Loans[[#This Row],[CustomerID]],CustomerTbl[CustomerID],CustomerTbl[RiskScore])</f>
        <v>764</v>
      </c>
      <c r="R401" t="str">
        <f>IFERROR(INDEX(RiskTbl[Risk_Category],MATCH(Loans[[#This Row],[RiskScore]],RiskTbl[Score_Min],1)),"Unknown")</f>
        <v>Very Low Risk</v>
      </c>
      <c r="S401" t="str">
        <f>IF(OR(Loans[[#This Row],[LoanStatus]]="Default",Loans[[#This Row],[LoanStatus]]="Watchlist",Loans[[#This Row],[CollateralRisk]]="Undersecured",Loans[[#This Row],[RiskCategory]]="High Risk"),"High Risk Exposure","Normal")</f>
        <v>High Risk Exposure</v>
      </c>
      <c r="T401" t="str" cm="1">
        <f t="array" ref="T401">_xlfn.IFS(
Loans[[#This Row],[LoanStatus]]="Default","Critical",
OR(Loans[[#This Row],[LoanStatus]]="Watchlist",Loans[[#This Row],[CollateralRisk]]="Undersecured",Loans[[#This Row],[RiskCategory]]="High Risk"),"High",
TRUE,"Normal"
)</f>
        <v>High</v>
      </c>
    </row>
    <row r="402" spans="1:20" x14ac:dyDescent="0.35">
      <c r="A402" t="s">
        <v>894</v>
      </c>
      <c r="B402" t="s">
        <v>895</v>
      </c>
      <c r="C402" t="s">
        <v>181</v>
      </c>
      <c r="D402" t="s">
        <v>158</v>
      </c>
      <c r="E402" s="34">
        <v>500000</v>
      </c>
      <c r="F402" s="29">
        <v>0.1497</v>
      </c>
      <c r="G402" s="30">
        <v>45049</v>
      </c>
      <c r="H402">
        <v>24</v>
      </c>
      <c r="I402">
        <v>120</v>
      </c>
      <c r="J402" s="34">
        <v>320000</v>
      </c>
      <c r="K402" t="s">
        <v>178</v>
      </c>
      <c r="L402" s="34">
        <f>PMT(Loans[[#This Row],[InterestRate]]/12,Loans[[#This Row],[LoanTenureMonths]],-Loans[[#This Row],[LoanAmount]])</f>
        <v>24236.197909852432</v>
      </c>
      <c r="M402" s="30">
        <f>EDATE(Loans[[#This Row],[LoanStartDate]],Loans[[#This Row],[LoanTenureMonths]])</f>
        <v>45780</v>
      </c>
      <c r="N402" s="33">
        <f>IF(Loans[[#This Row],[LoanAmount]]=0,0,Loans[[#This Row],[CollateralValue]]/Loans[[#This Row],[LoanAmount]])</f>
        <v>0.64</v>
      </c>
      <c r="O402" t="str">
        <f>IF(Loans[[#This Row],[CollateralCoverageRatio]]&lt;1,"Undersecured","Secured")</f>
        <v>Undersecured</v>
      </c>
      <c r="P402" t="str">
        <f>_xlfn.XLOOKUP(Loans[[#This Row],[BranchCode]],BranchesTbl[BranchCode],BranchesTbl[BranchName])</f>
        <v>Kitale</v>
      </c>
      <c r="Q402">
        <f>_xlfn.XLOOKUP(Loans[[#This Row],[CustomerID]],CustomerTbl[CustomerID],CustomerTbl[RiskScore])</f>
        <v>838</v>
      </c>
      <c r="R402" t="str">
        <f>IFERROR(INDEX(RiskTbl[Risk_Category],MATCH(Loans[[#This Row],[RiskScore]],RiskTbl[Score_Min],1)),"Unknown")</f>
        <v>Prime</v>
      </c>
      <c r="S402" t="str">
        <f>IF(OR(Loans[[#This Row],[LoanStatus]]="Default",Loans[[#This Row],[LoanStatus]]="Watchlist",Loans[[#This Row],[CollateralRisk]]="Undersecured",Loans[[#This Row],[RiskCategory]]="High Risk"),"High Risk Exposure","Normal")</f>
        <v>High Risk Exposure</v>
      </c>
      <c r="T402" t="str" cm="1">
        <f t="array" ref="T402">_xlfn.IFS(
Loans[[#This Row],[LoanStatus]]="Default","Critical",
OR(Loans[[#This Row],[LoanStatus]]="Watchlist",Loans[[#This Row],[CollateralRisk]]="Undersecured",Loans[[#This Row],[RiskCategory]]="High Risk"),"High",
TRUE,"Normal"
)</f>
        <v>Critical</v>
      </c>
    </row>
    <row r="403" spans="1:20" x14ac:dyDescent="0.35">
      <c r="A403" t="s">
        <v>896</v>
      </c>
      <c r="B403" t="s">
        <v>897</v>
      </c>
      <c r="C403" t="s">
        <v>206</v>
      </c>
      <c r="D403" t="s">
        <v>158</v>
      </c>
      <c r="E403" s="34">
        <v>1000000</v>
      </c>
      <c r="F403" s="29">
        <v>0.16980000000000001</v>
      </c>
      <c r="G403" s="30">
        <v>44912</v>
      </c>
      <c r="H403">
        <v>72</v>
      </c>
      <c r="I403">
        <v>10</v>
      </c>
      <c r="J403" s="34">
        <v>1020000</v>
      </c>
      <c r="K403" t="s">
        <v>171</v>
      </c>
      <c r="L403" s="34">
        <f>PMT(Loans[[#This Row],[InterestRate]]/12,Loans[[#This Row],[LoanTenureMonths]],-Loans[[#This Row],[LoanAmount]])</f>
        <v>22234.97279828745</v>
      </c>
      <c r="M403" s="30">
        <f>EDATE(Loans[[#This Row],[LoanStartDate]],Loans[[#This Row],[LoanTenureMonths]])</f>
        <v>47104</v>
      </c>
      <c r="N403" s="33">
        <f>IF(Loans[[#This Row],[LoanAmount]]=0,0,Loans[[#This Row],[CollateralValue]]/Loans[[#This Row],[LoanAmount]])</f>
        <v>1.02</v>
      </c>
      <c r="O403" t="str">
        <f>IF(Loans[[#This Row],[CollateralCoverageRatio]]&lt;1,"Undersecured","Secured")</f>
        <v>Secured</v>
      </c>
      <c r="P403" t="str">
        <f>_xlfn.XLOOKUP(Loans[[#This Row],[BranchCode]],BranchesTbl[BranchCode],BranchesTbl[BranchName])</f>
        <v>Nyahururu</v>
      </c>
      <c r="Q403">
        <f>_xlfn.XLOOKUP(Loans[[#This Row],[CustomerID]],CustomerTbl[CustomerID],CustomerTbl[RiskScore])</f>
        <v>635</v>
      </c>
      <c r="R403" t="str">
        <f>IFERROR(INDEX(RiskTbl[Risk_Category],MATCH(Loans[[#This Row],[RiskScore]],RiskTbl[Score_Min],1)),"Unknown")</f>
        <v>Medium Risk</v>
      </c>
      <c r="S403" t="str">
        <f>IF(OR(Loans[[#This Row],[LoanStatus]]="Default",Loans[[#This Row],[LoanStatus]]="Watchlist",Loans[[#This Row],[CollateralRisk]]="Undersecured",Loans[[#This Row],[RiskCategory]]="High Risk"),"High Risk Exposure","Normal")</f>
        <v>Normal</v>
      </c>
      <c r="T403" t="str" cm="1">
        <f t="array" ref="T403">_xlfn.IFS(
Loans[[#This Row],[LoanStatus]]="Default","Critical",
OR(Loans[[#This Row],[LoanStatus]]="Watchlist",Loans[[#This Row],[CollateralRisk]]="Undersecured",Loans[[#This Row],[RiskCategory]]="High Risk"),"High",
TRUE,"Normal"
)</f>
        <v>Normal</v>
      </c>
    </row>
    <row r="404" spans="1:20" x14ac:dyDescent="0.35">
      <c r="A404" t="s">
        <v>898</v>
      </c>
      <c r="B404" t="s">
        <v>451</v>
      </c>
      <c r="C404" t="s">
        <v>170</v>
      </c>
      <c r="D404" t="s">
        <v>156</v>
      </c>
      <c r="E404" s="34">
        <v>6000000</v>
      </c>
      <c r="F404" s="29">
        <v>0.1658</v>
      </c>
      <c r="G404" s="30">
        <v>44568</v>
      </c>
      <c r="H404">
        <v>24</v>
      </c>
      <c r="I404">
        <v>10</v>
      </c>
      <c r="J404" s="34">
        <v>4320000</v>
      </c>
      <c r="K404" t="s">
        <v>171</v>
      </c>
      <c r="L404" s="34">
        <f>PMT(Loans[[#This Row],[InterestRate]]/12,Loans[[#This Row],[LoanTenureMonths]],-Loans[[#This Row],[LoanAmount]])</f>
        <v>295444.15345272055</v>
      </c>
      <c r="M404" s="30">
        <f>EDATE(Loans[[#This Row],[LoanStartDate]],Loans[[#This Row],[LoanTenureMonths]])</f>
        <v>45298</v>
      </c>
      <c r="N404" s="33">
        <f>IF(Loans[[#This Row],[LoanAmount]]=0,0,Loans[[#This Row],[CollateralValue]]/Loans[[#This Row],[LoanAmount]])</f>
        <v>0.72</v>
      </c>
      <c r="O404" t="str">
        <f>IF(Loans[[#This Row],[CollateralCoverageRatio]]&lt;1,"Undersecured","Secured")</f>
        <v>Undersecured</v>
      </c>
      <c r="P404" t="str">
        <f>_xlfn.XLOOKUP(Loans[[#This Row],[BranchCode]],BranchesTbl[BranchCode],BranchesTbl[BranchName])</f>
        <v>Thika</v>
      </c>
      <c r="Q404">
        <f>_xlfn.XLOOKUP(Loans[[#This Row],[CustomerID]],CustomerTbl[CustomerID],CustomerTbl[RiskScore])</f>
        <v>603</v>
      </c>
      <c r="R404" t="str">
        <f>IFERROR(INDEX(RiskTbl[Risk_Category],MATCH(Loans[[#This Row],[RiskScore]],RiskTbl[Score_Min],1)),"Unknown")</f>
        <v>Medium Risk</v>
      </c>
      <c r="S404" t="str">
        <f>IF(OR(Loans[[#This Row],[LoanStatus]]="Default",Loans[[#This Row],[LoanStatus]]="Watchlist",Loans[[#This Row],[CollateralRisk]]="Undersecured",Loans[[#This Row],[RiskCategory]]="High Risk"),"High Risk Exposure","Normal")</f>
        <v>High Risk Exposure</v>
      </c>
      <c r="T404" t="str" cm="1">
        <f t="array" ref="T404">_xlfn.IFS(
Loans[[#This Row],[LoanStatus]]="Default","Critical",
OR(Loans[[#This Row],[LoanStatus]]="Watchlist",Loans[[#This Row],[CollateralRisk]]="Undersecured",Loans[[#This Row],[RiskCategory]]="High Risk"),"High",
TRUE,"Normal"
)</f>
        <v>High</v>
      </c>
    </row>
    <row r="405" spans="1:20" x14ac:dyDescent="0.35">
      <c r="A405" t="s">
        <v>899</v>
      </c>
      <c r="B405" t="s">
        <v>421</v>
      </c>
      <c r="C405" t="s">
        <v>181</v>
      </c>
      <c r="D405" t="s">
        <v>157</v>
      </c>
      <c r="E405" s="34">
        <v>6000000</v>
      </c>
      <c r="F405" s="29">
        <v>0.12590000000000001</v>
      </c>
      <c r="G405" s="30">
        <v>45360</v>
      </c>
      <c r="H405">
        <v>72</v>
      </c>
      <c r="I405">
        <v>10</v>
      </c>
      <c r="J405" s="34">
        <v>7320000</v>
      </c>
      <c r="K405" t="s">
        <v>171</v>
      </c>
      <c r="L405" s="34">
        <f>PMT(Loans[[#This Row],[InterestRate]]/12,Loans[[#This Row],[LoanTenureMonths]],-Loans[[#This Row],[LoanAmount]])</f>
        <v>119150.17536028397</v>
      </c>
      <c r="M405" s="30">
        <f>EDATE(Loans[[#This Row],[LoanStartDate]],Loans[[#This Row],[LoanTenureMonths]])</f>
        <v>47551</v>
      </c>
      <c r="N405" s="33">
        <f>IF(Loans[[#This Row],[LoanAmount]]=0,0,Loans[[#This Row],[CollateralValue]]/Loans[[#This Row],[LoanAmount]])</f>
        <v>1.22</v>
      </c>
      <c r="O405" t="str">
        <f>IF(Loans[[#This Row],[CollateralCoverageRatio]]&lt;1,"Undersecured","Secured")</f>
        <v>Secured</v>
      </c>
      <c r="P405" t="str">
        <f>_xlfn.XLOOKUP(Loans[[#This Row],[BranchCode]],BranchesTbl[BranchCode],BranchesTbl[BranchName])</f>
        <v>Kitale</v>
      </c>
      <c r="Q405">
        <f>_xlfn.XLOOKUP(Loans[[#This Row],[CustomerID]],CustomerTbl[CustomerID],CustomerTbl[RiskScore])</f>
        <v>803</v>
      </c>
      <c r="R405" t="str">
        <f>IFERROR(INDEX(RiskTbl[Risk_Category],MATCH(Loans[[#This Row],[RiskScore]],RiskTbl[Score_Min],1)),"Unknown")</f>
        <v>Prime</v>
      </c>
      <c r="S405" t="str">
        <f>IF(OR(Loans[[#This Row],[LoanStatus]]="Default",Loans[[#This Row],[LoanStatus]]="Watchlist",Loans[[#This Row],[CollateralRisk]]="Undersecured",Loans[[#This Row],[RiskCategory]]="High Risk"),"High Risk Exposure","Normal")</f>
        <v>Normal</v>
      </c>
      <c r="T405" t="str" cm="1">
        <f t="array" ref="T405">_xlfn.IFS(
Loans[[#This Row],[LoanStatus]]="Default","Critical",
OR(Loans[[#This Row],[LoanStatus]]="Watchlist",Loans[[#This Row],[CollateralRisk]]="Undersecured",Loans[[#This Row],[RiskCategory]]="High Risk"),"High",
TRUE,"Normal"
)</f>
        <v>Normal</v>
      </c>
    </row>
    <row r="406" spans="1:20" x14ac:dyDescent="0.35">
      <c r="A406" t="s">
        <v>900</v>
      </c>
      <c r="B406" t="s">
        <v>901</v>
      </c>
      <c r="C406" t="s">
        <v>184</v>
      </c>
      <c r="D406" t="s">
        <v>158</v>
      </c>
      <c r="E406" s="34">
        <v>3000000</v>
      </c>
      <c r="F406" s="29">
        <v>0.16489999999999999</v>
      </c>
      <c r="G406" s="30">
        <v>45384</v>
      </c>
      <c r="H406">
        <v>60</v>
      </c>
      <c r="I406">
        <v>0</v>
      </c>
      <c r="J406" s="34">
        <v>3540000</v>
      </c>
      <c r="K406" t="s">
        <v>171</v>
      </c>
      <c r="L406" s="34">
        <f>PMT(Loans[[#This Row],[InterestRate]]/12,Loans[[#This Row],[LoanTenureMonths]],-Loans[[#This Row],[LoanAmount]])</f>
        <v>73737.528610616995</v>
      </c>
      <c r="M406" s="30">
        <f>EDATE(Loans[[#This Row],[LoanStartDate]],Loans[[#This Row],[LoanTenureMonths]])</f>
        <v>47210</v>
      </c>
      <c r="N406" s="33">
        <f>IF(Loans[[#This Row],[LoanAmount]]=0,0,Loans[[#This Row],[CollateralValue]]/Loans[[#This Row],[LoanAmount]])</f>
        <v>1.18</v>
      </c>
      <c r="O406" t="str">
        <f>IF(Loans[[#This Row],[CollateralCoverageRatio]]&lt;1,"Undersecured","Secured")</f>
        <v>Secured</v>
      </c>
      <c r="P406" t="str">
        <f>_xlfn.XLOOKUP(Loans[[#This Row],[BranchCode]],BranchesTbl[BranchCode],BranchesTbl[BranchName])</f>
        <v>Kisumu</v>
      </c>
      <c r="Q406">
        <f>_xlfn.XLOOKUP(Loans[[#This Row],[CustomerID]],CustomerTbl[CustomerID],CustomerTbl[RiskScore])</f>
        <v>496</v>
      </c>
      <c r="R406" t="str">
        <f>IFERROR(INDEX(RiskTbl[Risk_Category],MATCH(Loans[[#This Row],[RiskScore]],RiskTbl[Score_Min],1)),"Unknown")</f>
        <v>High Risk</v>
      </c>
      <c r="S406" t="str">
        <f>IF(OR(Loans[[#This Row],[LoanStatus]]="Default",Loans[[#This Row],[LoanStatus]]="Watchlist",Loans[[#This Row],[CollateralRisk]]="Undersecured",Loans[[#This Row],[RiskCategory]]="High Risk"),"High Risk Exposure","Normal")</f>
        <v>High Risk Exposure</v>
      </c>
      <c r="T406" t="str" cm="1">
        <f t="array" ref="T406">_xlfn.IFS(
Loans[[#This Row],[LoanStatus]]="Default","Critical",
OR(Loans[[#This Row],[LoanStatus]]="Watchlist",Loans[[#This Row],[CollateralRisk]]="Undersecured",Loans[[#This Row],[RiskCategory]]="High Risk"),"High",
TRUE,"Normal"
)</f>
        <v>High</v>
      </c>
    </row>
    <row r="407" spans="1:20" x14ac:dyDescent="0.35">
      <c r="A407" t="s">
        <v>902</v>
      </c>
      <c r="B407" t="s">
        <v>260</v>
      </c>
      <c r="C407" t="s">
        <v>184</v>
      </c>
      <c r="D407" t="s">
        <v>158</v>
      </c>
      <c r="E407" s="34">
        <v>3000000</v>
      </c>
      <c r="F407" s="29">
        <v>0.1716</v>
      </c>
      <c r="G407" s="30">
        <v>43987</v>
      </c>
      <c r="H407">
        <v>48</v>
      </c>
      <c r="I407">
        <v>90</v>
      </c>
      <c r="J407" s="34">
        <v>3840000</v>
      </c>
      <c r="K407" t="s">
        <v>199</v>
      </c>
      <c r="L407" s="34">
        <f>PMT(Loans[[#This Row],[InterestRate]]/12,Loans[[#This Row],[LoanTenureMonths]],-Loans[[#This Row],[LoanAmount]])</f>
        <v>86813.661595457612</v>
      </c>
      <c r="M407" s="30">
        <f>EDATE(Loans[[#This Row],[LoanStartDate]],Loans[[#This Row],[LoanTenureMonths]])</f>
        <v>45448</v>
      </c>
      <c r="N407" s="33">
        <f>IF(Loans[[#This Row],[LoanAmount]]=0,0,Loans[[#This Row],[CollateralValue]]/Loans[[#This Row],[LoanAmount]])</f>
        <v>1.28</v>
      </c>
      <c r="O407" t="str">
        <f>IF(Loans[[#This Row],[CollateralCoverageRatio]]&lt;1,"Undersecured","Secured")</f>
        <v>Secured</v>
      </c>
      <c r="P407" t="str">
        <f>_xlfn.XLOOKUP(Loans[[#This Row],[BranchCode]],BranchesTbl[BranchCode],BranchesTbl[BranchName])</f>
        <v>Kisumu</v>
      </c>
      <c r="Q407">
        <f>_xlfn.XLOOKUP(Loans[[#This Row],[CustomerID]],CustomerTbl[CustomerID],CustomerTbl[RiskScore])</f>
        <v>350</v>
      </c>
      <c r="R407" t="str">
        <f>IFERROR(INDEX(RiskTbl[Risk_Category],MATCH(Loans[[#This Row],[RiskScore]],RiskTbl[Score_Min],1)),"Unknown")</f>
        <v>High Risk</v>
      </c>
      <c r="S407" t="str">
        <f>IF(OR(Loans[[#This Row],[LoanStatus]]="Default",Loans[[#This Row],[LoanStatus]]="Watchlist",Loans[[#This Row],[CollateralRisk]]="Undersecured",Loans[[#This Row],[RiskCategory]]="High Risk"),"High Risk Exposure","Normal")</f>
        <v>High Risk Exposure</v>
      </c>
      <c r="T407" t="str" cm="1">
        <f t="array" ref="T407">_xlfn.IFS(
Loans[[#This Row],[LoanStatus]]="Default","Critical",
OR(Loans[[#This Row],[LoanStatus]]="Watchlist",Loans[[#This Row],[CollateralRisk]]="Undersecured",Loans[[#This Row],[RiskCategory]]="High Risk"),"High",
TRUE,"Normal"
)</f>
        <v>High</v>
      </c>
    </row>
    <row r="408" spans="1:20" x14ac:dyDescent="0.35">
      <c r="A408" t="s">
        <v>903</v>
      </c>
      <c r="B408" t="s">
        <v>904</v>
      </c>
      <c r="C408" t="s">
        <v>206</v>
      </c>
      <c r="D408" t="s">
        <v>157</v>
      </c>
      <c r="E408" s="34">
        <v>6000000</v>
      </c>
      <c r="F408" s="29">
        <v>0.10970000000000001</v>
      </c>
      <c r="G408" s="30">
        <v>43995</v>
      </c>
      <c r="H408">
        <v>24</v>
      </c>
      <c r="I408">
        <v>20</v>
      </c>
      <c r="J408" s="34">
        <v>5820000</v>
      </c>
      <c r="K408" t="s">
        <v>171</v>
      </c>
      <c r="L408" s="34">
        <f>PMT(Loans[[#This Row],[InterestRate]]/12,Loans[[#This Row],[LoanTenureMonths]],-Loans[[#This Row],[LoanAmount]])</f>
        <v>279563.46722754004</v>
      </c>
      <c r="M408" s="30">
        <f>EDATE(Loans[[#This Row],[LoanStartDate]],Loans[[#This Row],[LoanTenureMonths]])</f>
        <v>44725</v>
      </c>
      <c r="N408" s="33">
        <f>IF(Loans[[#This Row],[LoanAmount]]=0,0,Loans[[#This Row],[CollateralValue]]/Loans[[#This Row],[LoanAmount]])</f>
        <v>0.97</v>
      </c>
      <c r="O408" t="str">
        <f>IF(Loans[[#This Row],[CollateralCoverageRatio]]&lt;1,"Undersecured","Secured")</f>
        <v>Undersecured</v>
      </c>
      <c r="P408" t="str">
        <f>_xlfn.XLOOKUP(Loans[[#This Row],[BranchCode]],BranchesTbl[BranchCode],BranchesTbl[BranchName])</f>
        <v>Nyahururu</v>
      </c>
      <c r="Q408">
        <f>_xlfn.XLOOKUP(Loans[[#This Row],[CustomerID]],CustomerTbl[CustomerID],CustomerTbl[RiskScore])</f>
        <v>679</v>
      </c>
      <c r="R408" t="str">
        <f>IFERROR(INDEX(RiskTbl[Risk_Category],MATCH(Loans[[#This Row],[RiskScore]],RiskTbl[Score_Min],1)),"Unknown")</f>
        <v>Low Risk</v>
      </c>
      <c r="S408" t="str">
        <f>IF(OR(Loans[[#This Row],[LoanStatus]]="Default",Loans[[#This Row],[LoanStatus]]="Watchlist",Loans[[#This Row],[CollateralRisk]]="Undersecured",Loans[[#This Row],[RiskCategory]]="High Risk"),"High Risk Exposure","Normal")</f>
        <v>High Risk Exposure</v>
      </c>
      <c r="T408" t="str" cm="1">
        <f t="array" ref="T408">_xlfn.IFS(
Loans[[#This Row],[LoanStatus]]="Default","Critical",
OR(Loans[[#This Row],[LoanStatus]]="Watchlist",Loans[[#This Row],[CollateralRisk]]="Undersecured",Loans[[#This Row],[RiskCategory]]="High Risk"),"High",
TRUE,"Normal"
)</f>
        <v>High</v>
      </c>
    </row>
    <row r="409" spans="1:20" x14ac:dyDescent="0.35">
      <c r="A409" t="s">
        <v>905</v>
      </c>
      <c r="B409" t="s">
        <v>906</v>
      </c>
      <c r="C409" t="s">
        <v>190</v>
      </c>
      <c r="D409" t="s">
        <v>157</v>
      </c>
      <c r="E409" s="34">
        <v>25000000</v>
      </c>
      <c r="F409" s="29">
        <v>0.1313</v>
      </c>
      <c r="G409" s="30">
        <v>44754</v>
      </c>
      <c r="H409">
        <v>60</v>
      </c>
      <c r="I409">
        <v>0</v>
      </c>
      <c r="J409" s="34">
        <v>14750000</v>
      </c>
      <c r="K409" t="s">
        <v>171</v>
      </c>
      <c r="L409" s="34">
        <f>PMT(Loans[[#This Row],[InterestRate]]/12,Loans[[#This Row],[LoanTenureMonths]],-Loans[[#This Row],[LoanAmount]])</f>
        <v>570491.91695150116</v>
      </c>
      <c r="M409" s="30">
        <f>EDATE(Loans[[#This Row],[LoanStartDate]],Loans[[#This Row],[LoanTenureMonths]])</f>
        <v>46580</v>
      </c>
      <c r="N409" s="33">
        <f>IF(Loans[[#This Row],[LoanAmount]]=0,0,Loans[[#This Row],[CollateralValue]]/Loans[[#This Row],[LoanAmount]])</f>
        <v>0.59</v>
      </c>
      <c r="O409" t="str">
        <f>IF(Loans[[#This Row],[CollateralCoverageRatio]]&lt;1,"Undersecured","Secured")</f>
        <v>Undersecured</v>
      </c>
      <c r="P409" t="str">
        <f>_xlfn.XLOOKUP(Loans[[#This Row],[BranchCode]],BranchesTbl[BranchCode],BranchesTbl[BranchName])</f>
        <v>Nyeri</v>
      </c>
      <c r="Q409">
        <f>_xlfn.XLOOKUP(Loans[[#This Row],[CustomerID]],CustomerTbl[CustomerID],CustomerTbl[RiskScore])</f>
        <v>793</v>
      </c>
      <c r="R409" t="str">
        <f>IFERROR(INDEX(RiskTbl[Risk_Category],MATCH(Loans[[#This Row],[RiskScore]],RiskTbl[Score_Min],1)),"Unknown")</f>
        <v>Very Low Risk</v>
      </c>
      <c r="S409" t="str">
        <f>IF(OR(Loans[[#This Row],[LoanStatus]]="Default",Loans[[#This Row],[LoanStatus]]="Watchlist",Loans[[#This Row],[CollateralRisk]]="Undersecured",Loans[[#This Row],[RiskCategory]]="High Risk"),"High Risk Exposure","Normal")</f>
        <v>High Risk Exposure</v>
      </c>
      <c r="T409" t="str" cm="1">
        <f t="array" ref="T409">_xlfn.IFS(
Loans[[#This Row],[LoanStatus]]="Default","Critical",
OR(Loans[[#This Row],[LoanStatus]]="Watchlist",Loans[[#This Row],[CollateralRisk]]="Undersecured",Loans[[#This Row],[RiskCategory]]="High Risk"),"High",
TRUE,"Normal"
)</f>
        <v>High</v>
      </c>
    </row>
    <row r="410" spans="1:20" x14ac:dyDescent="0.35">
      <c r="A410" t="s">
        <v>907</v>
      </c>
      <c r="B410" t="s">
        <v>223</v>
      </c>
      <c r="C410" t="s">
        <v>181</v>
      </c>
      <c r="D410" t="s">
        <v>157</v>
      </c>
      <c r="E410" s="34">
        <v>80000000</v>
      </c>
      <c r="F410" s="29">
        <v>0.12330000000000001</v>
      </c>
      <c r="G410" s="30">
        <v>45507</v>
      </c>
      <c r="H410">
        <v>12</v>
      </c>
      <c r="I410">
        <v>0</v>
      </c>
      <c r="J410" s="34">
        <v>40800000</v>
      </c>
      <c r="K410" t="s">
        <v>171</v>
      </c>
      <c r="L410" s="34">
        <f>PMT(Loans[[#This Row],[InterestRate]]/12,Loans[[#This Row],[LoanTenureMonths]],-Loans[[#This Row],[LoanAmount]])</f>
        <v>7120259.1595787471</v>
      </c>
      <c r="M410" s="30">
        <f>EDATE(Loans[[#This Row],[LoanStartDate]],Loans[[#This Row],[LoanTenureMonths]])</f>
        <v>45872</v>
      </c>
      <c r="N410" s="33">
        <f>IF(Loans[[#This Row],[LoanAmount]]=0,0,Loans[[#This Row],[CollateralValue]]/Loans[[#This Row],[LoanAmount]])</f>
        <v>0.51</v>
      </c>
      <c r="O410" t="str">
        <f>IF(Loans[[#This Row],[CollateralCoverageRatio]]&lt;1,"Undersecured","Secured")</f>
        <v>Undersecured</v>
      </c>
      <c r="P410" t="str">
        <f>_xlfn.XLOOKUP(Loans[[#This Row],[BranchCode]],BranchesTbl[BranchCode],BranchesTbl[BranchName])</f>
        <v>Kitale</v>
      </c>
      <c r="Q410">
        <f>_xlfn.XLOOKUP(Loans[[#This Row],[CustomerID]],CustomerTbl[CustomerID],CustomerTbl[RiskScore])</f>
        <v>797</v>
      </c>
      <c r="R410" t="str">
        <f>IFERROR(INDEX(RiskTbl[Risk_Category],MATCH(Loans[[#This Row],[RiskScore]],RiskTbl[Score_Min],1)),"Unknown")</f>
        <v>Very Low Risk</v>
      </c>
      <c r="S410" t="str">
        <f>IF(OR(Loans[[#This Row],[LoanStatus]]="Default",Loans[[#This Row],[LoanStatus]]="Watchlist",Loans[[#This Row],[CollateralRisk]]="Undersecured",Loans[[#This Row],[RiskCategory]]="High Risk"),"High Risk Exposure","Normal")</f>
        <v>High Risk Exposure</v>
      </c>
      <c r="T410" t="str" cm="1">
        <f t="array" ref="T410">_xlfn.IFS(
Loans[[#This Row],[LoanStatus]]="Default","Critical",
OR(Loans[[#This Row],[LoanStatus]]="Watchlist",Loans[[#This Row],[CollateralRisk]]="Undersecured",Loans[[#This Row],[RiskCategory]]="High Risk"),"High",
TRUE,"Normal"
)</f>
        <v>High</v>
      </c>
    </row>
    <row r="411" spans="1:20" x14ac:dyDescent="0.35">
      <c r="A411" t="s">
        <v>908</v>
      </c>
      <c r="B411" t="s">
        <v>758</v>
      </c>
      <c r="C411" t="s">
        <v>190</v>
      </c>
      <c r="D411" t="s">
        <v>157</v>
      </c>
      <c r="E411" s="34">
        <v>6000000</v>
      </c>
      <c r="F411" s="29">
        <v>0.11890000000000001</v>
      </c>
      <c r="G411" s="30">
        <v>45103</v>
      </c>
      <c r="H411">
        <v>36</v>
      </c>
      <c r="I411">
        <v>120</v>
      </c>
      <c r="J411" s="34">
        <v>3780000</v>
      </c>
      <c r="K411" t="s">
        <v>178</v>
      </c>
      <c r="L411" s="34">
        <f>PMT(Loans[[#This Row],[InterestRate]]/12,Loans[[#This Row],[LoanTenureMonths]],-Loans[[#This Row],[LoanAmount]])</f>
        <v>198970.77688467471</v>
      </c>
      <c r="M411" s="30">
        <f>EDATE(Loans[[#This Row],[LoanStartDate]],Loans[[#This Row],[LoanTenureMonths]])</f>
        <v>46199</v>
      </c>
      <c r="N411" s="33">
        <f>IF(Loans[[#This Row],[LoanAmount]]=0,0,Loans[[#This Row],[CollateralValue]]/Loans[[#This Row],[LoanAmount]])</f>
        <v>0.63</v>
      </c>
      <c r="O411" t="str">
        <f>IF(Loans[[#This Row],[CollateralCoverageRatio]]&lt;1,"Undersecured","Secured")</f>
        <v>Undersecured</v>
      </c>
      <c r="P411" t="str">
        <f>_xlfn.XLOOKUP(Loans[[#This Row],[BranchCode]],BranchesTbl[BranchCode],BranchesTbl[BranchName])</f>
        <v>Nyeri</v>
      </c>
      <c r="Q411">
        <f>_xlfn.XLOOKUP(Loans[[#This Row],[CustomerID]],CustomerTbl[CustomerID],CustomerTbl[RiskScore])</f>
        <v>702</v>
      </c>
      <c r="R411" t="str">
        <f>IFERROR(INDEX(RiskTbl[Risk_Category],MATCH(Loans[[#This Row],[RiskScore]],RiskTbl[Score_Min],1)),"Unknown")</f>
        <v>Low Risk</v>
      </c>
      <c r="S411" t="str">
        <f>IF(OR(Loans[[#This Row],[LoanStatus]]="Default",Loans[[#This Row],[LoanStatus]]="Watchlist",Loans[[#This Row],[CollateralRisk]]="Undersecured",Loans[[#This Row],[RiskCategory]]="High Risk"),"High Risk Exposure","Normal")</f>
        <v>High Risk Exposure</v>
      </c>
      <c r="T411" t="str" cm="1">
        <f t="array" ref="T411">_xlfn.IFS(
Loans[[#This Row],[LoanStatus]]="Default","Critical",
OR(Loans[[#This Row],[LoanStatus]]="Watchlist",Loans[[#This Row],[CollateralRisk]]="Undersecured",Loans[[#This Row],[RiskCategory]]="High Risk"),"High",
TRUE,"Normal"
)</f>
        <v>Critical</v>
      </c>
    </row>
    <row r="412" spans="1:20" x14ac:dyDescent="0.35">
      <c r="A412" t="s">
        <v>909</v>
      </c>
      <c r="B412" t="s">
        <v>910</v>
      </c>
      <c r="C412" t="s">
        <v>174</v>
      </c>
      <c r="D412" t="s">
        <v>158</v>
      </c>
      <c r="E412" s="34">
        <v>500000</v>
      </c>
      <c r="F412" s="29">
        <v>0.16569999999999999</v>
      </c>
      <c r="G412" s="30">
        <v>44641</v>
      </c>
      <c r="H412">
        <v>24</v>
      </c>
      <c r="I412">
        <v>90</v>
      </c>
      <c r="J412" s="34">
        <v>530000</v>
      </c>
      <c r="K412" t="s">
        <v>199</v>
      </c>
      <c r="L412" s="34">
        <f>PMT(Loans[[#This Row],[InterestRate]]/12,Loans[[#This Row],[LoanTenureMonths]],-Loans[[#This Row],[LoanAmount]])</f>
        <v>24617.949343998924</v>
      </c>
      <c r="M412" s="30">
        <f>EDATE(Loans[[#This Row],[LoanStartDate]],Loans[[#This Row],[LoanTenureMonths]])</f>
        <v>45372</v>
      </c>
      <c r="N412" s="33">
        <f>IF(Loans[[#This Row],[LoanAmount]]=0,0,Loans[[#This Row],[CollateralValue]]/Loans[[#This Row],[LoanAmount]])</f>
        <v>1.06</v>
      </c>
      <c r="O412" t="str">
        <f>IF(Loans[[#This Row],[CollateralCoverageRatio]]&lt;1,"Undersecured","Secured")</f>
        <v>Secured</v>
      </c>
      <c r="P412" t="str">
        <f>_xlfn.XLOOKUP(Loans[[#This Row],[BranchCode]],BranchesTbl[BranchCode],BranchesTbl[BranchName])</f>
        <v>Westlands</v>
      </c>
      <c r="Q412">
        <f>_xlfn.XLOOKUP(Loans[[#This Row],[CustomerID]],CustomerTbl[CustomerID],CustomerTbl[RiskScore])</f>
        <v>518</v>
      </c>
      <c r="R412" t="str">
        <f>IFERROR(INDEX(RiskTbl[Risk_Category],MATCH(Loans[[#This Row],[RiskScore]],RiskTbl[Score_Min],1)),"Unknown")</f>
        <v>High Risk</v>
      </c>
      <c r="S412" t="str">
        <f>IF(OR(Loans[[#This Row],[LoanStatus]]="Default",Loans[[#This Row],[LoanStatus]]="Watchlist",Loans[[#This Row],[CollateralRisk]]="Undersecured",Loans[[#This Row],[RiskCategory]]="High Risk"),"High Risk Exposure","Normal")</f>
        <v>High Risk Exposure</v>
      </c>
      <c r="T412" t="str" cm="1">
        <f t="array" ref="T412">_xlfn.IFS(
Loans[[#This Row],[LoanStatus]]="Default","Critical",
OR(Loans[[#This Row],[LoanStatus]]="Watchlist",Loans[[#This Row],[CollateralRisk]]="Undersecured",Loans[[#This Row],[RiskCategory]]="High Risk"),"High",
TRUE,"Normal"
)</f>
        <v>High</v>
      </c>
    </row>
    <row r="413" spans="1:20" x14ac:dyDescent="0.35">
      <c r="A413" t="s">
        <v>911</v>
      </c>
      <c r="B413" t="s">
        <v>912</v>
      </c>
      <c r="C413" t="s">
        <v>232</v>
      </c>
      <c r="D413" t="s">
        <v>156</v>
      </c>
      <c r="E413" s="34">
        <v>6000000</v>
      </c>
      <c r="F413" s="29">
        <v>0.19789999999999999</v>
      </c>
      <c r="G413" s="30">
        <v>46015</v>
      </c>
      <c r="H413">
        <v>60</v>
      </c>
      <c r="I413">
        <v>45</v>
      </c>
      <c r="J413" s="34">
        <v>3720000</v>
      </c>
      <c r="K413" t="s">
        <v>199</v>
      </c>
      <c r="L413" s="34">
        <f>PMT(Loans[[#This Row],[InterestRate]]/12,Loans[[#This Row],[LoanTenureMonths]],-Loans[[#This Row],[LoanAmount]])</f>
        <v>158263.03231580291</v>
      </c>
      <c r="M413" s="30">
        <f>EDATE(Loans[[#This Row],[LoanStartDate]],Loans[[#This Row],[LoanTenureMonths]])</f>
        <v>47841</v>
      </c>
      <c r="N413" s="33">
        <f>IF(Loans[[#This Row],[LoanAmount]]=0,0,Loans[[#This Row],[CollateralValue]]/Loans[[#This Row],[LoanAmount]])</f>
        <v>0.62</v>
      </c>
      <c r="O413" t="str">
        <f>IF(Loans[[#This Row],[CollateralCoverageRatio]]&lt;1,"Undersecured","Secured")</f>
        <v>Undersecured</v>
      </c>
      <c r="P413" t="str">
        <f>_xlfn.XLOOKUP(Loans[[#This Row],[BranchCode]],BranchesTbl[BranchCode],BranchesTbl[BranchName])</f>
        <v>Upper Hill</v>
      </c>
      <c r="Q413">
        <f>_xlfn.XLOOKUP(Loans[[#This Row],[CustomerID]],CustomerTbl[CustomerID],CustomerTbl[RiskScore])</f>
        <v>698</v>
      </c>
      <c r="R413" t="str">
        <f>IFERROR(INDEX(RiskTbl[Risk_Category],MATCH(Loans[[#This Row],[RiskScore]],RiskTbl[Score_Min],1)),"Unknown")</f>
        <v>Low Risk</v>
      </c>
      <c r="S413" t="str">
        <f>IF(OR(Loans[[#This Row],[LoanStatus]]="Default",Loans[[#This Row],[LoanStatus]]="Watchlist",Loans[[#This Row],[CollateralRisk]]="Undersecured",Loans[[#This Row],[RiskCategory]]="High Risk"),"High Risk Exposure","Normal")</f>
        <v>High Risk Exposure</v>
      </c>
      <c r="T413" t="str" cm="1">
        <f t="array" ref="T413">_xlfn.IFS(
Loans[[#This Row],[LoanStatus]]="Default","Critical",
OR(Loans[[#This Row],[LoanStatus]]="Watchlist",Loans[[#This Row],[CollateralRisk]]="Undersecured",Loans[[#This Row],[RiskCategory]]="High Risk"),"High",
TRUE,"Normal"
)</f>
        <v>High</v>
      </c>
    </row>
    <row r="414" spans="1:20" x14ac:dyDescent="0.35">
      <c r="A414" t="s">
        <v>913</v>
      </c>
      <c r="B414" t="s">
        <v>914</v>
      </c>
      <c r="C414" t="s">
        <v>193</v>
      </c>
      <c r="D414" t="s">
        <v>155</v>
      </c>
      <c r="E414" s="34">
        <v>250000</v>
      </c>
      <c r="F414" s="29">
        <v>0.26690000000000003</v>
      </c>
      <c r="G414" s="30">
        <v>45764</v>
      </c>
      <c r="H414">
        <v>60</v>
      </c>
      <c r="I414">
        <v>5</v>
      </c>
      <c r="J414" s="34">
        <v>0</v>
      </c>
      <c r="K414" t="s">
        <v>171</v>
      </c>
      <c r="L414" s="34">
        <f>PMT(Loans[[#This Row],[InterestRate]]/12,Loans[[#This Row],[LoanTenureMonths]],-Loans[[#This Row],[LoanAmount]])</f>
        <v>7587.5787836769623</v>
      </c>
      <c r="M414" s="30">
        <f>EDATE(Loans[[#This Row],[LoanStartDate]],Loans[[#This Row],[LoanTenureMonths]])</f>
        <v>47590</v>
      </c>
      <c r="N414" s="33">
        <f>IF(Loans[[#This Row],[LoanAmount]]=0,0,Loans[[#This Row],[CollateralValue]]/Loans[[#This Row],[LoanAmount]])</f>
        <v>0</v>
      </c>
      <c r="O414" t="str">
        <f>IF(Loans[[#This Row],[CollateralCoverageRatio]]&lt;1,"Undersecured","Secured")</f>
        <v>Undersecured</v>
      </c>
      <c r="P414" t="str">
        <f>_xlfn.XLOOKUP(Loans[[#This Row],[BranchCode]],BranchesTbl[BranchCode],BranchesTbl[BranchName])</f>
        <v>Mombasa</v>
      </c>
      <c r="Q414">
        <f>_xlfn.XLOOKUP(Loans[[#This Row],[CustomerID]],CustomerTbl[CustomerID],CustomerTbl[RiskScore])</f>
        <v>595</v>
      </c>
      <c r="R414" t="str">
        <f>IFERROR(INDEX(RiskTbl[Risk_Category],MATCH(Loans[[#This Row],[RiskScore]],RiskTbl[Score_Min],1)),"Unknown")</f>
        <v>Medium Risk</v>
      </c>
      <c r="S414" t="str">
        <f>IF(OR(Loans[[#This Row],[LoanStatus]]="Default",Loans[[#This Row],[LoanStatus]]="Watchlist",Loans[[#This Row],[CollateralRisk]]="Undersecured",Loans[[#This Row],[RiskCategory]]="High Risk"),"High Risk Exposure","Normal")</f>
        <v>High Risk Exposure</v>
      </c>
      <c r="T414" t="str" cm="1">
        <f t="array" ref="T414">_xlfn.IFS(
Loans[[#This Row],[LoanStatus]]="Default","Critical",
OR(Loans[[#This Row],[LoanStatus]]="Watchlist",Loans[[#This Row],[CollateralRisk]]="Undersecured",Loans[[#This Row],[RiskCategory]]="High Risk"),"High",
TRUE,"Normal"
)</f>
        <v>High</v>
      </c>
    </row>
    <row r="415" spans="1:20" x14ac:dyDescent="0.35">
      <c r="A415" t="s">
        <v>915</v>
      </c>
      <c r="B415" t="s">
        <v>916</v>
      </c>
      <c r="C415" t="s">
        <v>170</v>
      </c>
      <c r="D415" t="s">
        <v>155</v>
      </c>
      <c r="E415" s="34">
        <v>100000</v>
      </c>
      <c r="F415" s="29">
        <v>0.21920000000000001</v>
      </c>
      <c r="G415" s="30">
        <v>44518</v>
      </c>
      <c r="H415">
        <v>36</v>
      </c>
      <c r="I415">
        <v>120</v>
      </c>
      <c r="J415" s="34">
        <v>0</v>
      </c>
      <c r="K415" t="s">
        <v>178</v>
      </c>
      <c r="L415" s="34">
        <f>PMT(Loans[[#This Row],[InterestRate]]/12,Loans[[#This Row],[LoanTenureMonths]],-Loans[[#This Row],[LoanAmount]])</f>
        <v>3814.9079173872783</v>
      </c>
      <c r="M415" s="30">
        <f>EDATE(Loans[[#This Row],[LoanStartDate]],Loans[[#This Row],[LoanTenureMonths]])</f>
        <v>45614</v>
      </c>
      <c r="N415" s="33">
        <f>IF(Loans[[#This Row],[LoanAmount]]=0,0,Loans[[#This Row],[CollateralValue]]/Loans[[#This Row],[LoanAmount]])</f>
        <v>0</v>
      </c>
      <c r="O415" t="str">
        <f>IF(Loans[[#This Row],[CollateralCoverageRatio]]&lt;1,"Undersecured","Secured")</f>
        <v>Undersecured</v>
      </c>
      <c r="P415" t="str">
        <f>_xlfn.XLOOKUP(Loans[[#This Row],[BranchCode]],BranchesTbl[BranchCode],BranchesTbl[BranchName])</f>
        <v>Thika</v>
      </c>
      <c r="Q415">
        <f>_xlfn.XLOOKUP(Loans[[#This Row],[CustomerID]],CustomerTbl[CustomerID],CustomerTbl[RiskScore])</f>
        <v>366</v>
      </c>
      <c r="R415" t="str">
        <f>IFERROR(INDEX(RiskTbl[Risk_Category],MATCH(Loans[[#This Row],[RiskScore]],RiskTbl[Score_Min],1)),"Unknown")</f>
        <v>High Risk</v>
      </c>
      <c r="S415" t="str">
        <f>IF(OR(Loans[[#This Row],[LoanStatus]]="Default",Loans[[#This Row],[LoanStatus]]="Watchlist",Loans[[#This Row],[CollateralRisk]]="Undersecured",Loans[[#This Row],[RiskCategory]]="High Risk"),"High Risk Exposure","Normal")</f>
        <v>High Risk Exposure</v>
      </c>
      <c r="T415" t="str" cm="1">
        <f t="array" ref="T415">_xlfn.IFS(
Loans[[#This Row],[LoanStatus]]="Default","Critical",
OR(Loans[[#This Row],[LoanStatus]]="Watchlist",Loans[[#This Row],[CollateralRisk]]="Undersecured",Loans[[#This Row],[RiskCategory]]="High Risk"),"High",
TRUE,"Normal"
)</f>
        <v>Critical</v>
      </c>
    </row>
    <row r="416" spans="1:20" x14ac:dyDescent="0.35">
      <c r="A416" t="s">
        <v>917</v>
      </c>
      <c r="B416" t="s">
        <v>918</v>
      </c>
      <c r="C416" t="s">
        <v>267</v>
      </c>
      <c r="D416" t="s">
        <v>155</v>
      </c>
      <c r="E416" s="34">
        <v>500000</v>
      </c>
      <c r="F416" s="29">
        <v>0.25659999999999999</v>
      </c>
      <c r="G416" s="30">
        <v>45394</v>
      </c>
      <c r="H416">
        <v>36</v>
      </c>
      <c r="I416">
        <v>10</v>
      </c>
      <c r="J416" s="34">
        <v>0</v>
      </c>
      <c r="K416" t="s">
        <v>171</v>
      </c>
      <c r="L416" s="34">
        <f>PMT(Loans[[#This Row],[InterestRate]]/12,Loans[[#This Row],[LoanTenureMonths]],-Loans[[#This Row],[LoanAmount]])</f>
        <v>20054.861466155657</v>
      </c>
      <c r="M416" s="30">
        <f>EDATE(Loans[[#This Row],[LoanStartDate]],Loans[[#This Row],[LoanTenureMonths]])</f>
        <v>46489</v>
      </c>
      <c r="N416" s="33">
        <f>IF(Loans[[#This Row],[LoanAmount]]=0,0,Loans[[#This Row],[CollateralValue]]/Loans[[#This Row],[LoanAmount]])</f>
        <v>0</v>
      </c>
      <c r="O416" t="str">
        <f>IF(Loans[[#This Row],[CollateralCoverageRatio]]&lt;1,"Undersecured","Secured")</f>
        <v>Undersecured</v>
      </c>
      <c r="P416" t="str">
        <f>_xlfn.XLOOKUP(Loans[[#This Row],[BranchCode]],BranchesTbl[BranchCode],BranchesTbl[BranchName])</f>
        <v>Malindi</v>
      </c>
      <c r="Q416">
        <f>_xlfn.XLOOKUP(Loans[[#This Row],[CustomerID]],CustomerTbl[CustomerID],CustomerTbl[RiskScore])</f>
        <v>731</v>
      </c>
      <c r="R416" t="str">
        <f>IFERROR(INDEX(RiskTbl[Risk_Category],MATCH(Loans[[#This Row],[RiskScore]],RiskTbl[Score_Min],1)),"Unknown")</f>
        <v>Low Risk</v>
      </c>
      <c r="S416" t="str">
        <f>IF(OR(Loans[[#This Row],[LoanStatus]]="Default",Loans[[#This Row],[LoanStatus]]="Watchlist",Loans[[#This Row],[CollateralRisk]]="Undersecured",Loans[[#This Row],[RiskCategory]]="High Risk"),"High Risk Exposure","Normal")</f>
        <v>High Risk Exposure</v>
      </c>
      <c r="T416" t="str" cm="1">
        <f t="array" ref="T416">_xlfn.IFS(
Loans[[#This Row],[LoanStatus]]="Default","Critical",
OR(Loans[[#This Row],[LoanStatus]]="Watchlist",Loans[[#This Row],[CollateralRisk]]="Undersecured",Loans[[#This Row],[RiskCategory]]="High Risk"),"High",
TRUE,"Normal"
)</f>
        <v>High</v>
      </c>
    </row>
    <row r="417" spans="1:20" x14ac:dyDescent="0.35">
      <c r="A417" t="s">
        <v>919</v>
      </c>
      <c r="B417" t="s">
        <v>779</v>
      </c>
      <c r="C417" t="s">
        <v>184</v>
      </c>
      <c r="D417" t="s">
        <v>155</v>
      </c>
      <c r="E417" s="34">
        <v>1000000</v>
      </c>
      <c r="F417" s="29">
        <v>0.1842</v>
      </c>
      <c r="G417" s="30">
        <v>43891</v>
      </c>
      <c r="H417">
        <v>48</v>
      </c>
      <c r="I417">
        <v>20</v>
      </c>
      <c r="J417" s="34">
        <v>0</v>
      </c>
      <c r="K417" t="s">
        <v>171</v>
      </c>
      <c r="L417" s="34">
        <f>PMT(Loans[[#This Row],[InterestRate]]/12,Loans[[#This Row],[LoanTenureMonths]],-Loans[[#This Row],[LoanAmount]])</f>
        <v>29594.922809680975</v>
      </c>
      <c r="M417" s="30">
        <f>EDATE(Loans[[#This Row],[LoanStartDate]],Loans[[#This Row],[LoanTenureMonths]])</f>
        <v>45352</v>
      </c>
      <c r="N417" s="33">
        <f>IF(Loans[[#This Row],[LoanAmount]]=0,0,Loans[[#This Row],[CollateralValue]]/Loans[[#This Row],[LoanAmount]])</f>
        <v>0</v>
      </c>
      <c r="O417" t="str">
        <f>IF(Loans[[#This Row],[CollateralCoverageRatio]]&lt;1,"Undersecured","Secured")</f>
        <v>Undersecured</v>
      </c>
      <c r="P417" t="str">
        <f>_xlfn.XLOOKUP(Loans[[#This Row],[BranchCode]],BranchesTbl[BranchCode],BranchesTbl[BranchName])</f>
        <v>Kisumu</v>
      </c>
      <c r="Q417">
        <f>_xlfn.XLOOKUP(Loans[[#This Row],[CustomerID]],CustomerTbl[CustomerID],CustomerTbl[RiskScore])</f>
        <v>634</v>
      </c>
      <c r="R417" t="str">
        <f>IFERROR(INDEX(RiskTbl[Risk_Category],MATCH(Loans[[#This Row],[RiskScore]],RiskTbl[Score_Min],1)),"Unknown")</f>
        <v>Medium Risk</v>
      </c>
      <c r="S417" t="str">
        <f>IF(OR(Loans[[#This Row],[LoanStatus]]="Default",Loans[[#This Row],[LoanStatus]]="Watchlist",Loans[[#This Row],[CollateralRisk]]="Undersecured",Loans[[#This Row],[RiskCategory]]="High Risk"),"High Risk Exposure","Normal")</f>
        <v>High Risk Exposure</v>
      </c>
      <c r="T417" t="str" cm="1">
        <f t="array" ref="T417">_xlfn.IFS(
Loans[[#This Row],[LoanStatus]]="Default","Critical",
OR(Loans[[#This Row],[LoanStatus]]="Watchlist",Loans[[#This Row],[CollateralRisk]]="Undersecured",Loans[[#This Row],[RiskCategory]]="High Risk"),"High",
TRUE,"Normal"
)</f>
        <v>High</v>
      </c>
    </row>
    <row r="418" spans="1:20" x14ac:dyDescent="0.35">
      <c r="A418" t="s">
        <v>920</v>
      </c>
      <c r="B418" t="s">
        <v>316</v>
      </c>
      <c r="C418" t="s">
        <v>190</v>
      </c>
      <c r="D418" t="s">
        <v>155</v>
      </c>
      <c r="E418" s="34">
        <v>100000</v>
      </c>
      <c r="F418" s="29">
        <v>0.21829999999999999</v>
      </c>
      <c r="G418" s="30">
        <v>43875</v>
      </c>
      <c r="H418">
        <v>36</v>
      </c>
      <c r="I418">
        <v>0</v>
      </c>
      <c r="J418" s="34">
        <v>0</v>
      </c>
      <c r="K418" t="s">
        <v>171</v>
      </c>
      <c r="L418" s="34">
        <f>PMT(Loans[[#This Row],[InterestRate]]/12,Loans[[#This Row],[LoanTenureMonths]],-Loans[[#This Row],[LoanAmount]])</f>
        <v>3810.2563133333065</v>
      </c>
      <c r="M418" s="30">
        <f>EDATE(Loans[[#This Row],[LoanStartDate]],Loans[[#This Row],[LoanTenureMonths]])</f>
        <v>44971</v>
      </c>
      <c r="N418" s="33">
        <f>IF(Loans[[#This Row],[LoanAmount]]=0,0,Loans[[#This Row],[CollateralValue]]/Loans[[#This Row],[LoanAmount]])</f>
        <v>0</v>
      </c>
      <c r="O418" t="str">
        <f>IF(Loans[[#This Row],[CollateralCoverageRatio]]&lt;1,"Undersecured","Secured")</f>
        <v>Undersecured</v>
      </c>
      <c r="P418" t="str">
        <f>_xlfn.XLOOKUP(Loans[[#This Row],[BranchCode]],BranchesTbl[BranchCode],BranchesTbl[BranchName])</f>
        <v>Nyeri</v>
      </c>
      <c r="Q418">
        <f>_xlfn.XLOOKUP(Loans[[#This Row],[CustomerID]],CustomerTbl[CustomerID],CustomerTbl[RiskScore])</f>
        <v>325</v>
      </c>
      <c r="R418" t="str">
        <f>IFERROR(INDEX(RiskTbl[Risk_Category],MATCH(Loans[[#This Row],[RiskScore]],RiskTbl[Score_Min],1)),"Unknown")</f>
        <v>High Risk</v>
      </c>
      <c r="S418" t="str">
        <f>IF(OR(Loans[[#This Row],[LoanStatus]]="Default",Loans[[#This Row],[LoanStatus]]="Watchlist",Loans[[#This Row],[CollateralRisk]]="Undersecured",Loans[[#This Row],[RiskCategory]]="High Risk"),"High Risk Exposure","Normal")</f>
        <v>High Risk Exposure</v>
      </c>
      <c r="T418" t="str" cm="1">
        <f t="array" ref="T418">_xlfn.IFS(
Loans[[#This Row],[LoanStatus]]="Default","Critical",
OR(Loans[[#This Row],[LoanStatus]]="Watchlist",Loans[[#This Row],[CollateralRisk]]="Undersecured",Loans[[#This Row],[RiskCategory]]="High Risk"),"High",
TRUE,"Normal"
)</f>
        <v>High</v>
      </c>
    </row>
    <row r="419" spans="1:20" x14ac:dyDescent="0.35">
      <c r="A419" t="s">
        <v>921</v>
      </c>
      <c r="B419" t="s">
        <v>922</v>
      </c>
      <c r="C419" t="s">
        <v>267</v>
      </c>
      <c r="D419" t="s">
        <v>155</v>
      </c>
      <c r="E419" s="34">
        <v>500000</v>
      </c>
      <c r="F419" s="29">
        <v>0.19989999999999999</v>
      </c>
      <c r="G419" s="30">
        <v>45158</v>
      </c>
      <c r="H419">
        <v>48</v>
      </c>
      <c r="I419">
        <v>90</v>
      </c>
      <c r="J419" s="34">
        <v>0</v>
      </c>
      <c r="K419" t="s">
        <v>199</v>
      </c>
      <c r="L419" s="34">
        <f>PMT(Loans[[#This Row],[InterestRate]]/12,Loans[[#This Row],[LoanTenureMonths]],-Loans[[#This Row],[LoanAmount]])</f>
        <v>15212.517325898467</v>
      </c>
      <c r="M419" s="30">
        <f>EDATE(Loans[[#This Row],[LoanStartDate]],Loans[[#This Row],[LoanTenureMonths]])</f>
        <v>46619</v>
      </c>
      <c r="N419" s="33">
        <f>IF(Loans[[#This Row],[LoanAmount]]=0,0,Loans[[#This Row],[CollateralValue]]/Loans[[#This Row],[LoanAmount]])</f>
        <v>0</v>
      </c>
      <c r="O419" t="str">
        <f>IF(Loans[[#This Row],[CollateralCoverageRatio]]&lt;1,"Undersecured","Secured")</f>
        <v>Undersecured</v>
      </c>
      <c r="P419" t="str">
        <f>_xlfn.XLOOKUP(Loans[[#This Row],[BranchCode]],BranchesTbl[BranchCode],BranchesTbl[BranchName])</f>
        <v>Malindi</v>
      </c>
      <c r="Q419">
        <f>_xlfn.XLOOKUP(Loans[[#This Row],[CustomerID]],CustomerTbl[CustomerID],CustomerTbl[RiskScore])</f>
        <v>559</v>
      </c>
      <c r="R419" t="str">
        <f>IFERROR(INDEX(RiskTbl[Risk_Category],MATCH(Loans[[#This Row],[RiskScore]],RiskTbl[Score_Min],1)),"Unknown")</f>
        <v>High Risk</v>
      </c>
      <c r="S419" t="str">
        <f>IF(OR(Loans[[#This Row],[LoanStatus]]="Default",Loans[[#This Row],[LoanStatus]]="Watchlist",Loans[[#This Row],[CollateralRisk]]="Undersecured",Loans[[#This Row],[RiskCategory]]="High Risk"),"High Risk Exposure","Normal")</f>
        <v>High Risk Exposure</v>
      </c>
      <c r="T419" t="str" cm="1">
        <f t="array" ref="T419">_xlfn.IFS(
Loans[[#This Row],[LoanStatus]]="Default","Critical",
OR(Loans[[#This Row],[LoanStatus]]="Watchlist",Loans[[#This Row],[CollateralRisk]]="Undersecured",Loans[[#This Row],[RiskCategory]]="High Risk"),"High",
TRUE,"Normal"
)</f>
        <v>High</v>
      </c>
    </row>
    <row r="420" spans="1:20" x14ac:dyDescent="0.35">
      <c r="A420" t="s">
        <v>923</v>
      </c>
      <c r="B420" t="s">
        <v>385</v>
      </c>
      <c r="C420" t="s">
        <v>193</v>
      </c>
      <c r="D420" t="s">
        <v>158</v>
      </c>
      <c r="E420" s="34">
        <v>3000000</v>
      </c>
      <c r="F420" s="29">
        <v>0.1731</v>
      </c>
      <c r="G420" s="30">
        <v>44554</v>
      </c>
      <c r="H420">
        <v>48</v>
      </c>
      <c r="I420">
        <v>0</v>
      </c>
      <c r="J420" s="34">
        <v>2910000</v>
      </c>
      <c r="K420" t="s">
        <v>171</v>
      </c>
      <c r="L420" s="34">
        <f>PMT(Loans[[#This Row],[InterestRate]]/12,Loans[[#This Row],[LoanTenureMonths]],-Loans[[#This Row],[LoanAmount]])</f>
        <v>87047.024895170893</v>
      </c>
      <c r="M420" s="30">
        <f>EDATE(Loans[[#This Row],[LoanStartDate]],Loans[[#This Row],[LoanTenureMonths]])</f>
        <v>46015</v>
      </c>
      <c r="N420" s="33">
        <f>IF(Loans[[#This Row],[LoanAmount]]=0,0,Loans[[#This Row],[CollateralValue]]/Loans[[#This Row],[LoanAmount]])</f>
        <v>0.97</v>
      </c>
      <c r="O420" t="str">
        <f>IF(Loans[[#This Row],[CollateralCoverageRatio]]&lt;1,"Undersecured","Secured")</f>
        <v>Undersecured</v>
      </c>
      <c r="P420" t="str">
        <f>_xlfn.XLOOKUP(Loans[[#This Row],[BranchCode]],BranchesTbl[BranchCode],BranchesTbl[BranchName])</f>
        <v>Mombasa</v>
      </c>
      <c r="Q420">
        <f>_xlfn.XLOOKUP(Loans[[#This Row],[CustomerID]],CustomerTbl[CustomerID],CustomerTbl[RiskScore])</f>
        <v>753</v>
      </c>
      <c r="R420" t="str">
        <f>IFERROR(INDEX(RiskTbl[Risk_Category],MATCH(Loans[[#This Row],[RiskScore]],RiskTbl[Score_Min],1)),"Unknown")</f>
        <v>Very Low Risk</v>
      </c>
      <c r="S420" t="str">
        <f>IF(OR(Loans[[#This Row],[LoanStatus]]="Default",Loans[[#This Row],[LoanStatus]]="Watchlist",Loans[[#This Row],[CollateralRisk]]="Undersecured",Loans[[#This Row],[RiskCategory]]="High Risk"),"High Risk Exposure","Normal")</f>
        <v>High Risk Exposure</v>
      </c>
      <c r="T420" t="str" cm="1">
        <f t="array" ref="T420">_xlfn.IFS(
Loans[[#This Row],[LoanStatus]]="Default","Critical",
OR(Loans[[#This Row],[LoanStatus]]="Watchlist",Loans[[#This Row],[CollateralRisk]]="Undersecured",Loans[[#This Row],[RiskCategory]]="High Risk"),"High",
TRUE,"Normal"
)</f>
        <v>High</v>
      </c>
    </row>
    <row r="421" spans="1:20" x14ac:dyDescent="0.35">
      <c r="A421" t="s">
        <v>924</v>
      </c>
      <c r="B421" t="s">
        <v>243</v>
      </c>
      <c r="C421" t="s">
        <v>193</v>
      </c>
      <c r="D421" t="s">
        <v>155</v>
      </c>
      <c r="E421" s="34">
        <v>100000</v>
      </c>
      <c r="F421" s="29">
        <v>0.23350000000000001</v>
      </c>
      <c r="G421" s="30">
        <v>44620</v>
      </c>
      <c r="H421">
        <v>36</v>
      </c>
      <c r="I421">
        <v>10</v>
      </c>
      <c r="J421" s="34">
        <v>0</v>
      </c>
      <c r="K421" t="s">
        <v>171</v>
      </c>
      <c r="L421" s="34">
        <f>PMT(Loans[[#This Row],[InterestRate]]/12,Loans[[#This Row],[LoanTenureMonths]],-Loans[[#This Row],[LoanAmount]])</f>
        <v>3889.2379075874615</v>
      </c>
      <c r="M421" s="30">
        <f>EDATE(Loans[[#This Row],[LoanStartDate]],Loans[[#This Row],[LoanTenureMonths]])</f>
        <v>45716</v>
      </c>
      <c r="N421" s="33">
        <f>IF(Loans[[#This Row],[LoanAmount]]=0,0,Loans[[#This Row],[CollateralValue]]/Loans[[#This Row],[LoanAmount]])</f>
        <v>0</v>
      </c>
      <c r="O421" t="str">
        <f>IF(Loans[[#This Row],[CollateralCoverageRatio]]&lt;1,"Undersecured","Secured")</f>
        <v>Undersecured</v>
      </c>
      <c r="P421" t="str">
        <f>_xlfn.XLOOKUP(Loans[[#This Row],[BranchCode]],BranchesTbl[BranchCode],BranchesTbl[BranchName])</f>
        <v>Mombasa</v>
      </c>
      <c r="Q421">
        <f>_xlfn.XLOOKUP(Loans[[#This Row],[CustomerID]],CustomerTbl[CustomerID],CustomerTbl[RiskScore])</f>
        <v>309</v>
      </c>
      <c r="R421" t="str">
        <f>IFERROR(INDEX(RiskTbl[Risk_Category],MATCH(Loans[[#This Row],[RiskScore]],RiskTbl[Score_Min],1)),"Unknown")</f>
        <v>High Risk</v>
      </c>
      <c r="S421" t="str">
        <f>IF(OR(Loans[[#This Row],[LoanStatus]]="Default",Loans[[#This Row],[LoanStatus]]="Watchlist",Loans[[#This Row],[CollateralRisk]]="Undersecured",Loans[[#This Row],[RiskCategory]]="High Risk"),"High Risk Exposure","Normal")</f>
        <v>High Risk Exposure</v>
      </c>
      <c r="T421" t="str" cm="1">
        <f t="array" ref="T421">_xlfn.IFS(
Loans[[#This Row],[LoanStatus]]="Default","Critical",
OR(Loans[[#This Row],[LoanStatus]]="Watchlist",Loans[[#This Row],[CollateralRisk]]="Undersecured",Loans[[#This Row],[RiskCategory]]="High Risk"),"High",
TRUE,"Normal"
)</f>
        <v>High</v>
      </c>
    </row>
    <row r="422" spans="1:20" x14ac:dyDescent="0.35">
      <c r="A422" t="s">
        <v>925</v>
      </c>
      <c r="B422" t="s">
        <v>335</v>
      </c>
      <c r="C422" t="s">
        <v>177</v>
      </c>
      <c r="D422" t="s">
        <v>158</v>
      </c>
      <c r="E422" s="34">
        <v>3000000</v>
      </c>
      <c r="F422" s="29">
        <v>0.17319999999999999</v>
      </c>
      <c r="G422" s="30">
        <v>44017</v>
      </c>
      <c r="H422">
        <v>24</v>
      </c>
      <c r="I422">
        <v>0</v>
      </c>
      <c r="J422" s="34">
        <v>2340000</v>
      </c>
      <c r="K422" t="s">
        <v>171</v>
      </c>
      <c r="L422" s="34">
        <f>PMT(Loans[[#This Row],[InterestRate]]/12,Loans[[#This Row],[LoanTenureMonths]],-Loans[[#This Row],[LoanAmount]])</f>
        <v>148788.48145362755</v>
      </c>
      <c r="M422" s="30">
        <f>EDATE(Loans[[#This Row],[LoanStartDate]],Loans[[#This Row],[LoanTenureMonths]])</f>
        <v>44747</v>
      </c>
      <c r="N422" s="33">
        <f>IF(Loans[[#This Row],[LoanAmount]]=0,0,Loans[[#This Row],[CollateralValue]]/Loans[[#This Row],[LoanAmount]])</f>
        <v>0.78</v>
      </c>
      <c r="O422" t="str">
        <f>IF(Loans[[#This Row],[CollateralCoverageRatio]]&lt;1,"Undersecured","Secured")</f>
        <v>Undersecured</v>
      </c>
      <c r="P422" t="str">
        <f>_xlfn.XLOOKUP(Loans[[#This Row],[BranchCode]],BranchesTbl[BranchCode],BranchesTbl[BranchName])</f>
        <v>Naivasha</v>
      </c>
      <c r="Q422">
        <f>_xlfn.XLOOKUP(Loans[[#This Row],[CustomerID]],CustomerTbl[CustomerID],CustomerTbl[RiskScore])</f>
        <v>656</v>
      </c>
      <c r="R422" t="str">
        <f>IFERROR(INDEX(RiskTbl[Risk_Category],MATCH(Loans[[#This Row],[RiskScore]],RiskTbl[Score_Min],1)),"Unknown")</f>
        <v>Medium Risk</v>
      </c>
      <c r="S422" t="str">
        <f>IF(OR(Loans[[#This Row],[LoanStatus]]="Default",Loans[[#This Row],[LoanStatus]]="Watchlist",Loans[[#This Row],[CollateralRisk]]="Undersecured",Loans[[#This Row],[RiskCategory]]="High Risk"),"High Risk Exposure","Normal")</f>
        <v>High Risk Exposure</v>
      </c>
      <c r="T422" t="str" cm="1">
        <f t="array" ref="T422">_xlfn.IFS(
Loans[[#This Row],[LoanStatus]]="Default","Critical",
OR(Loans[[#This Row],[LoanStatus]]="Watchlist",Loans[[#This Row],[CollateralRisk]]="Undersecured",Loans[[#This Row],[RiskCategory]]="High Risk"),"High",
TRUE,"Normal"
)</f>
        <v>High</v>
      </c>
    </row>
    <row r="423" spans="1:20" x14ac:dyDescent="0.35">
      <c r="A423" t="s">
        <v>926</v>
      </c>
      <c r="B423" t="s">
        <v>316</v>
      </c>
      <c r="C423" t="s">
        <v>184</v>
      </c>
      <c r="D423" t="s">
        <v>155</v>
      </c>
      <c r="E423" s="34">
        <v>100000</v>
      </c>
      <c r="F423" s="29">
        <v>0.2009</v>
      </c>
      <c r="G423" s="30">
        <v>45067</v>
      </c>
      <c r="H423">
        <v>24</v>
      </c>
      <c r="I423">
        <v>0</v>
      </c>
      <c r="J423" s="34">
        <v>0</v>
      </c>
      <c r="K423" t="s">
        <v>171</v>
      </c>
      <c r="L423" s="34">
        <f>PMT(Loans[[#This Row],[InterestRate]]/12,Loans[[#This Row],[LoanTenureMonths]],-Loans[[#This Row],[LoanAmount]])</f>
        <v>5093.9780057246453</v>
      </c>
      <c r="M423" s="30">
        <f>EDATE(Loans[[#This Row],[LoanStartDate]],Loans[[#This Row],[LoanTenureMonths]])</f>
        <v>45798</v>
      </c>
      <c r="N423" s="33">
        <f>IF(Loans[[#This Row],[LoanAmount]]=0,0,Loans[[#This Row],[CollateralValue]]/Loans[[#This Row],[LoanAmount]])</f>
        <v>0</v>
      </c>
      <c r="O423" t="str">
        <f>IF(Loans[[#This Row],[CollateralCoverageRatio]]&lt;1,"Undersecured","Secured")</f>
        <v>Undersecured</v>
      </c>
      <c r="P423" t="str">
        <f>_xlfn.XLOOKUP(Loans[[#This Row],[BranchCode]],BranchesTbl[BranchCode],BranchesTbl[BranchName])</f>
        <v>Kisumu</v>
      </c>
      <c r="Q423">
        <f>_xlfn.XLOOKUP(Loans[[#This Row],[CustomerID]],CustomerTbl[CustomerID],CustomerTbl[RiskScore])</f>
        <v>325</v>
      </c>
      <c r="R423" t="str">
        <f>IFERROR(INDEX(RiskTbl[Risk_Category],MATCH(Loans[[#This Row],[RiskScore]],RiskTbl[Score_Min],1)),"Unknown")</f>
        <v>High Risk</v>
      </c>
      <c r="S423" t="str">
        <f>IF(OR(Loans[[#This Row],[LoanStatus]]="Default",Loans[[#This Row],[LoanStatus]]="Watchlist",Loans[[#This Row],[CollateralRisk]]="Undersecured",Loans[[#This Row],[RiskCategory]]="High Risk"),"High Risk Exposure","Normal")</f>
        <v>High Risk Exposure</v>
      </c>
      <c r="T423" t="str" cm="1">
        <f t="array" ref="T423">_xlfn.IFS(
Loans[[#This Row],[LoanStatus]]="Default","Critical",
OR(Loans[[#This Row],[LoanStatus]]="Watchlist",Loans[[#This Row],[CollateralRisk]]="Undersecured",Loans[[#This Row],[RiskCategory]]="High Risk"),"High",
TRUE,"Normal"
)</f>
        <v>High</v>
      </c>
    </row>
    <row r="424" spans="1:20" x14ac:dyDescent="0.35">
      <c r="A424" t="s">
        <v>927</v>
      </c>
      <c r="B424" t="s">
        <v>928</v>
      </c>
      <c r="C424" t="s">
        <v>232</v>
      </c>
      <c r="D424" t="s">
        <v>156</v>
      </c>
      <c r="E424" s="34">
        <v>6000000</v>
      </c>
      <c r="F424" s="29">
        <v>0.20749999999999999</v>
      </c>
      <c r="G424" s="30">
        <v>44709</v>
      </c>
      <c r="H424">
        <v>36</v>
      </c>
      <c r="I424">
        <v>0</v>
      </c>
      <c r="J424" s="34">
        <v>6000000</v>
      </c>
      <c r="K424" t="s">
        <v>171</v>
      </c>
      <c r="L424" s="34">
        <f>PMT(Loans[[#This Row],[InterestRate]]/12,Loans[[#This Row],[LoanTenureMonths]],-Loans[[#This Row],[LoanAmount]])</f>
        <v>225280.97879537032</v>
      </c>
      <c r="M424" s="30">
        <f>EDATE(Loans[[#This Row],[LoanStartDate]],Loans[[#This Row],[LoanTenureMonths]])</f>
        <v>45805</v>
      </c>
      <c r="N424" s="33">
        <f>IF(Loans[[#This Row],[LoanAmount]]=0,0,Loans[[#This Row],[CollateralValue]]/Loans[[#This Row],[LoanAmount]])</f>
        <v>1</v>
      </c>
      <c r="O424" t="str">
        <f>IF(Loans[[#This Row],[CollateralCoverageRatio]]&lt;1,"Undersecured","Secured")</f>
        <v>Secured</v>
      </c>
      <c r="P424" t="str">
        <f>_xlfn.XLOOKUP(Loans[[#This Row],[BranchCode]],BranchesTbl[BranchCode],BranchesTbl[BranchName])</f>
        <v>Upper Hill</v>
      </c>
      <c r="Q424">
        <f>_xlfn.XLOOKUP(Loans[[#This Row],[CustomerID]],CustomerTbl[CustomerID],CustomerTbl[RiskScore])</f>
        <v>844</v>
      </c>
      <c r="R424" t="str">
        <f>IFERROR(INDEX(RiskTbl[Risk_Category],MATCH(Loans[[#This Row],[RiskScore]],RiskTbl[Score_Min],1)),"Unknown")</f>
        <v>Prime</v>
      </c>
      <c r="S424" t="str">
        <f>IF(OR(Loans[[#This Row],[LoanStatus]]="Default",Loans[[#This Row],[LoanStatus]]="Watchlist",Loans[[#This Row],[CollateralRisk]]="Undersecured",Loans[[#This Row],[RiskCategory]]="High Risk"),"High Risk Exposure","Normal")</f>
        <v>Normal</v>
      </c>
      <c r="T424" t="str" cm="1">
        <f t="array" ref="T424">_xlfn.IFS(
Loans[[#This Row],[LoanStatus]]="Default","Critical",
OR(Loans[[#This Row],[LoanStatus]]="Watchlist",Loans[[#This Row],[CollateralRisk]]="Undersecured",Loans[[#This Row],[RiskCategory]]="High Risk"),"High",
TRUE,"Normal"
)</f>
        <v>Normal</v>
      </c>
    </row>
    <row r="425" spans="1:20" x14ac:dyDescent="0.35">
      <c r="A425" t="s">
        <v>929</v>
      </c>
      <c r="B425" t="s">
        <v>472</v>
      </c>
      <c r="C425" t="s">
        <v>206</v>
      </c>
      <c r="D425" t="s">
        <v>157</v>
      </c>
      <c r="E425" s="34">
        <v>25000000</v>
      </c>
      <c r="F425" s="29">
        <v>0.1011</v>
      </c>
      <c r="G425" s="30">
        <v>44302</v>
      </c>
      <c r="H425">
        <v>36</v>
      </c>
      <c r="I425">
        <v>0</v>
      </c>
      <c r="J425" s="34">
        <v>36000000</v>
      </c>
      <c r="K425" t="s">
        <v>171</v>
      </c>
      <c r="L425" s="34">
        <f>PMT(Loans[[#This Row],[InterestRate]]/12,Loans[[#This Row],[LoanTenureMonths]],-Loans[[#This Row],[LoanAmount]])</f>
        <v>807971.40544700669</v>
      </c>
      <c r="M425" s="30">
        <f>EDATE(Loans[[#This Row],[LoanStartDate]],Loans[[#This Row],[LoanTenureMonths]])</f>
        <v>45398</v>
      </c>
      <c r="N425" s="33">
        <f>IF(Loans[[#This Row],[LoanAmount]]=0,0,Loans[[#This Row],[CollateralValue]]/Loans[[#This Row],[LoanAmount]])</f>
        <v>1.44</v>
      </c>
      <c r="O425" t="str">
        <f>IF(Loans[[#This Row],[CollateralCoverageRatio]]&lt;1,"Undersecured","Secured")</f>
        <v>Secured</v>
      </c>
      <c r="P425" t="str">
        <f>_xlfn.XLOOKUP(Loans[[#This Row],[BranchCode]],BranchesTbl[BranchCode],BranchesTbl[BranchName])</f>
        <v>Nyahururu</v>
      </c>
      <c r="Q425">
        <f>_xlfn.XLOOKUP(Loans[[#This Row],[CustomerID]],CustomerTbl[CustomerID],CustomerTbl[RiskScore])</f>
        <v>377</v>
      </c>
      <c r="R425" t="str">
        <f>IFERROR(INDEX(RiskTbl[Risk_Category],MATCH(Loans[[#This Row],[RiskScore]],RiskTbl[Score_Min],1)),"Unknown")</f>
        <v>High Risk</v>
      </c>
      <c r="S425" t="str">
        <f>IF(OR(Loans[[#This Row],[LoanStatus]]="Default",Loans[[#This Row],[LoanStatus]]="Watchlist",Loans[[#This Row],[CollateralRisk]]="Undersecured",Loans[[#This Row],[RiskCategory]]="High Risk"),"High Risk Exposure","Normal")</f>
        <v>High Risk Exposure</v>
      </c>
      <c r="T425" t="str" cm="1">
        <f t="array" ref="T425">_xlfn.IFS(
Loans[[#This Row],[LoanStatus]]="Default","Critical",
OR(Loans[[#This Row],[LoanStatus]]="Watchlist",Loans[[#This Row],[CollateralRisk]]="Undersecured",Loans[[#This Row],[RiskCategory]]="High Risk"),"High",
TRUE,"Normal"
)</f>
        <v>High</v>
      </c>
    </row>
    <row r="426" spans="1:20" x14ac:dyDescent="0.35">
      <c r="A426" t="s">
        <v>930</v>
      </c>
      <c r="B426" t="s">
        <v>782</v>
      </c>
      <c r="C426" t="s">
        <v>206</v>
      </c>
      <c r="D426" t="s">
        <v>158</v>
      </c>
      <c r="E426" s="34">
        <v>500000</v>
      </c>
      <c r="F426" s="29">
        <v>0.1792</v>
      </c>
      <c r="G426" s="30">
        <v>44246</v>
      </c>
      <c r="H426">
        <v>48</v>
      </c>
      <c r="I426">
        <v>20</v>
      </c>
      <c r="J426" s="34">
        <v>750000</v>
      </c>
      <c r="K426" t="s">
        <v>171</v>
      </c>
      <c r="L426" s="34">
        <f>PMT(Loans[[#This Row],[InterestRate]]/12,Loans[[#This Row],[LoanTenureMonths]],-Loans[[#This Row],[LoanAmount]])</f>
        <v>14666.606311403944</v>
      </c>
      <c r="M426" s="30">
        <f>EDATE(Loans[[#This Row],[LoanStartDate]],Loans[[#This Row],[LoanTenureMonths]])</f>
        <v>45707</v>
      </c>
      <c r="N426" s="33">
        <f>IF(Loans[[#This Row],[LoanAmount]]=0,0,Loans[[#This Row],[CollateralValue]]/Loans[[#This Row],[LoanAmount]])</f>
        <v>1.5</v>
      </c>
      <c r="O426" t="str">
        <f>IF(Loans[[#This Row],[CollateralCoverageRatio]]&lt;1,"Undersecured","Secured")</f>
        <v>Secured</v>
      </c>
      <c r="P426" t="str">
        <f>_xlfn.XLOOKUP(Loans[[#This Row],[BranchCode]],BranchesTbl[BranchCode],BranchesTbl[BranchName])</f>
        <v>Nyahururu</v>
      </c>
      <c r="Q426">
        <f>_xlfn.XLOOKUP(Loans[[#This Row],[CustomerID]],CustomerTbl[CustomerID],CustomerTbl[RiskScore])</f>
        <v>655</v>
      </c>
      <c r="R426" t="str">
        <f>IFERROR(INDEX(RiskTbl[Risk_Category],MATCH(Loans[[#This Row],[RiskScore]],RiskTbl[Score_Min],1)),"Unknown")</f>
        <v>Medium Risk</v>
      </c>
      <c r="S426" t="str">
        <f>IF(OR(Loans[[#This Row],[LoanStatus]]="Default",Loans[[#This Row],[LoanStatus]]="Watchlist",Loans[[#This Row],[CollateralRisk]]="Undersecured",Loans[[#This Row],[RiskCategory]]="High Risk"),"High Risk Exposure","Normal")</f>
        <v>Normal</v>
      </c>
      <c r="T426" t="str" cm="1">
        <f t="array" ref="T426">_xlfn.IFS(
Loans[[#This Row],[LoanStatus]]="Default","Critical",
OR(Loans[[#This Row],[LoanStatus]]="Watchlist",Loans[[#This Row],[CollateralRisk]]="Undersecured",Loans[[#This Row],[RiskCategory]]="High Risk"),"High",
TRUE,"Normal"
)</f>
        <v>Normal</v>
      </c>
    </row>
    <row r="427" spans="1:20" x14ac:dyDescent="0.35">
      <c r="A427" t="s">
        <v>931</v>
      </c>
      <c r="B427" t="s">
        <v>728</v>
      </c>
      <c r="C427" t="s">
        <v>170</v>
      </c>
      <c r="D427" t="s">
        <v>157</v>
      </c>
      <c r="E427" s="34">
        <v>25000000</v>
      </c>
      <c r="F427" s="29">
        <v>9.98E-2</v>
      </c>
      <c r="G427" s="30">
        <v>44807</v>
      </c>
      <c r="H427">
        <v>72</v>
      </c>
      <c r="I427">
        <v>20</v>
      </c>
      <c r="J427" s="34">
        <v>21750000</v>
      </c>
      <c r="K427" t="s">
        <v>171</v>
      </c>
      <c r="L427" s="34">
        <f>PMT(Loans[[#This Row],[InterestRate]]/12,Loans[[#This Row],[LoanTenureMonths]],-Loans[[#This Row],[LoanAmount]])</f>
        <v>462893.84315011062</v>
      </c>
      <c r="M427" s="30">
        <f>EDATE(Loans[[#This Row],[LoanStartDate]],Loans[[#This Row],[LoanTenureMonths]])</f>
        <v>46999</v>
      </c>
      <c r="N427" s="33">
        <f>IF(Loans[[#This Row],[LoanAmount]]=0,0,Loans[[#This Row],[CollateralValue]]/Loans[[#This Row],[LoanAmount]])</f>
        <v>0.87</v>
      </c>
      <c r="O427" t="str">
        <f>IF(Loans[[#This Row],[CollateralCoverageRatio]]&lt;1,"Undersecured","Secured")</f>
        <v>Undersecured</v>
      </c>
      <c r="P427" t="str">
        <f>_xlfn.XLOOKUP(Loans[[#This Row],[BranchCode]],BranchesTbl[BranchCode],BranchesTbl[BranchName])</f>
        <v>Thika</v>
      </c>
      <c r="Q427">
        <f>_xlfn.XLOOKUP(Loans[[#This Row],[CustomerID]],CustomerTbl[CustomerID],CustomerTbl[RiskScore])</f>
        <v>811</v>
      </c>
      <c r="R427" t="str">
        <f>IFERROR(INDEX(RiskTbl[Risk_Category],MATCH(Loans[[#This Row],[RiskScore]],RiskTbl[Score_Min],1)),"Unknown")</f>
        <v>Prime</v>
      </c>
      <c r="S427" t="str">
        <f>IF(OR(Loans[[#This Row],[LoanStatus]]="Default",Loans[[#This Row],[LoanStatus]]="Watchlist",Loans[[#This Row],[CollateralRisk]]="Undersecured",Loans[[#This Row],[RiskCategory]]="High Risk"),"High Risk Exposure","Normal")</f>
        <v>High Risk Exposure</v>
      </c>
      <c r="T427" t="str" cm="1">
        <f t="array" ref="T427">_xlfn.IFS(
Loans[[#This Row],[LoanStatus]]="Default","Critical",
OR(Loans[[#This Row],[LoanStatus]]="Watchlist",Loans[[#This Row],[CollateralRisk]]="Undersecured",Loans[[#This Row],[RiskCategory]]="High Risk"),"High",
TRUE,"Normal"
)</f>
        <v>High</v>
      </c>
    </row>
    <row r="428" spans="1:20" x14ac:dyDescent="0.35">
      <c r="A428" t="s">
        <v>932</v>
      </c>
      <c r="B428" t="s">
        <v>872</v>
      </c>
      <c r="C428" t="s">
        <v>184</v>
      </c>
      <c r="D428" t="s">
        <v>156</v>
      </c>
      <c r="E428" s="34">
        <v>25000000</v>
      </c>
      <c r="F428" s="29">
        <v>0.16300000000000001</v>
      </c>
      <c r="G428" s="30">
        <v>44832</v>
      </c>
      <c r="H428">
        <v>72</v>
      </c>
      <c r="I428">
        <v>10</v>
      </c>
      <c r="J428" s="34">
        <v>19500000</v>
      </c>
      <c r="K428" t="s">
        <v>171</v>
      </c>
      <c r="L428" s="34">
        <f>PMT(Loans[[#This Row],[InterestRate]]/12,Loans[[#This Row],[LoanTenureMonths]],-Loans[[#This Row],[LoanAmount]])</f>
        <v>546433.7080475433</v>
      </c>
      <c r="M428" s="30">
        <f>EDATE(Loans[[#This Row],[LoanStartDate]],Loans[[#This Row],[LoanTenureMonths]])</f>
        <v>47024</v>
      </c>
      <c r="N428" s="33">
        <f>IF(Loans[[#This Row],[LoanAmount]]=0,0,Loans[[#This Row],[CollateralValue]]/Loans[[#This Row],[LoanAmount]])</f>
        <v>0.78</v>
      </c>
      <c r="O428" t="str">
        <f>IF(Loans[[#This Row],[CollateralCoverageRatio]]&lt;1,"Undersecured","Secured")</f>
        <v>Undersecured</v>
      </c>
      <c r="P428" t="str">
        <f>_xlfn.XLOOKUP(Loans[[#This Row],[BranchCode]],BranchesTbl[BranchCode],BranchesTbl[BranchName])</f>
        <v>Kisumu</v>
      </c>
      <c r="Q428">
        <f>_xlfn.XLOOKUP(Loans[[#This Row],[CustomerID]],CustomerTbl[CustomerID],CustomerTbl[RiskScore])</f>
        <v>741</v>
      </c>
      <c r="R428" t="str">
        <f>IFERROR(INDEX(RiskTbl[Risk_Category],MATCH(Loans[[#This Row],[RiskScore]],RiskTbl[Score_Min],1)),"Unknown")</f>
        <v>Very Low Risk</v>
      </c>
      <c r="S428" t="str">
        <f>IF(OR(Loans[[#This Row],[LoanStatus]]="Default",Loans[[#This Row],[LoanStatus]]="Watchlist",Loans[[#This Row],[CollateralRisk]]="Undersecured",Loans[[#This Row],[RiskCategory]]="High Risk"),"High Risk Exposure","Normal")</f>
        <v>High Risk Exposure</v>
      </c>
      <c r="T428" t="str" cm="1">
        <f t="array" ref="T428">_xlfn.IFS(
Loans[[#This Row],[LoanStatus]]="Default","Critical",
OR(Loans[[#This Row],[LoanStatus]]="Watchlist",Loans[[#This Row],[CollateralRisk]]="Undersecured",Loans[[#This Row],[RiskCategory]]="High Risk"),"High",
TRUE,"Normal"
)</f>
        <v>High</v>
      </c>
    </row>
    <row r="429" spans="1:20" x14ac:dyDescent="0.35">
      <c r="A429" t="s">
        <v>933</v>
      </c>
      <c r="B429" t="s">
        <v>934</v>
      </c>
      <c r="C429" t="s">
        <v>190</v>
      </c>
      <c r="D429" t="s">
        <v>156</v>
      </c>
      <c r="E429" s="34">
        <v>6000000</v>
      </c>
      <c r="F429" s="29">
        <v>0.218</v>
      </c>
      <c r="G429" s="30">
        <v>45736</v>
      </c>
      <c r="H429">
        <v>12</v>
      </c>
      <c r="I429">
        <v>0</v>
      </c>
      <c r="J429" s="34">
        <v>5760000</v>
      </c>
      <c r="K429" t="s">
        <v>171</v>
      </c>
      <c r="L429" s="34">
        <f>PMT(Loans[[#This Row],[InterestRate]]/12,Loans[[#This Row],[LoanTenureMonths]],-Loans[[#This Row],[LoanAmount]])</f>
        <v>560988.9091822193</v>
      </c>
      <c r="M429" s="30">
        <f>EDATE(Loans[[#This Row],[LoanStartDate]],Loans[[#This Row],[LoanTenureMonths]])</f>
        <v>46101</v>
      </c>
      <c r="N429" s="33">
        <f>IF(Loans[[#This Row],[LoanAmount]]=0,0,Loans[[#This Row],[CollateralValue]]/Loans[[#This Row],[LoanAmount]])</f>
        <v>0.96</v>
      </c>
      <c r="O429" t="str">
        <f>IF(Loans[[#This Row],[CollateralCoverageRatio]]&lt;1,"Undersecured","Secured")</f>
        <v>Undersecured</v>
      </c>
      <c r="P429" t="str">
        <f>_xlfn.XLOOKUP(Loans[[#This Row],[BranchCode]],BranchesTbl[BranchCode],BranchesTbl[BranchName])</f>
        <v>Nyeri</v>
      </c>
      <c r="Q429">
        <f>_xlfn.XLOOKUP(Loans[[#This Row],[CustomerID]],CustomerTbl[CustomerID],CustomerTbl[RiskScore])</f>
        <v>847</v>
      </c>
      <c r="R429" t="str">
        <f>IFERROR(INDEX(RiskTbl[Risk_Category],MATCH(Loans[[#This Row],[RiskScore]],RiskTbl[Score_Min],1)),"Unknown")</f>
        <v>Prime</v>
      </c>
      <c r="S429" t="str">
        <f>IF(OR(Loans[[#This Row],[LoanStatus]]="Default",Loans[[#This Row],[LoanStatus]]="Watchlist",Loans[[#This Row],[CollateralRisk]]="Undersecured",Loans[[#This Row],[RiskCategory]]="High Risk"),"High Risk Exposure","Normal")</f>
        <v>High Risk Exposure</v>
      </c>
      <c r="T429" t="str" cm="1">
        <f t="array" ref="T429">_xlfn.IFS(
Loans[[#This Row],[LoanStatus]]="Default","Critical",
OR(Loans[[#This Row],[LoanStatus]]="Watchlist",Loans[[#This Row],[CollateralRisk]]="Undersecured",Loans[[#This Row],[RiskCategory]]="High Risk"),"High",
TRUE,"Normal"
)</f>
        <v>High</v>
      </c>
    </row>
    <row r="430" spans="1:20" x14ac:dyDescent="0.35">
      <c r="A430" t="s">
        <v>935</v>
      </c>
      <c r="B430" t="s">
        <v>936</v>
      </c>
      <c r="C430" t="s">
        <v>177</v>
      </c>
      <c r="D430" t="s">
        <v>156</v>
      </c>
      <c r="E430" s="34">
        <v>25000000</v>
      </c>
      <c r="F430" s="29">
        <v>0.21029999999999999</v>
      </c>
      <c r="G430" s="30">
        <v>45794</v>
      </c>
      <c r="H430">
        <v>24</v>
      </c>
      <c r="I430">
        <v>120</v>
      </c>
      <c r="J430" s="34">
        <v>33500000</v>
      </c>
      <c r="K430" t="s">
        <v>178</v>
      </c>
      <c r="L430" s="34">
        <f>PMT(Loans[[#This Row],[InterestRate]]/12,Loans[[#This Row],[LoanTenureMonths]],-Loans[[#This Row],[LoanAmount]])</f>
        <v>1285009.6867997909</v>
      </c>
      <c r="M430" s="30">
        <f>EDATE(Loans[[#This Row],[LoanStartDate]],Loans[[#This Row],[LoanTenureMonths]])</f>
        <v>46524</v>
      </c>
      <c r="N430" s="33">
        <f>IF(Loans[[#This Row],[LoanAmount]]=0,0,Loans[[#This Row],[CollateralValue]]/Loans[[#This Row],[LoanAmount]])</f>
        <v>1.34</v>
      </c>
      <c r="O430" t="str">
        <f>IF(Loans[[#This Row],[CollateralCoverageRatio]]&lt;1,"Undersecured","Secured")</f>
        <v>Secured</v>
      </c>
      <c r="P430" t="str">
        <f>_xlfn.XLOOKUP(Loans[[#This Row],[BranchCode]],BranchesTbl[BranchCode],BranchesTbl[BranchName])</f>
        <v>Naivasha</v>
      </c>
      <c r="Q430">
        <f>_xlfn.XLOOKUP(Loans[[#This Row],[CustomerID]],CustomerTbl[CustomerID],CustomerTbl[RiskScore])</f>
        <v>302</v>
      </c>
      <c r="R430" t="str">
        <f>IFERROR(INDEX(RiskTbl[Risk_Category],MATCH(Loans[[#This Row],[RiskScore]],RiskTbl[Score_Min],1)),"Unknown")</f>
        <v>High Risk</v>
      </c>
      <c r="S430" t="str">
        <f>IF(OR(Loans[[#This Row],[LoanStatus]]="Default",Loans[[#This Row],[LoanStatus]]="Watchlist",Loans[[#This Row],[CollateralRisk]]="Undersecured",Loans[[#This Row],[RiskCategory]]="High Risk"),"High Risk Exposure","Normal")</f>
        <v>High Risk Exposure</v>
      </c>
      <c r="T430" t="str" cm="1">
        <f t="array" ref="T430">_xlfn.IFS(
Loans[[#This Row],[LoanStatus]]="Default","Critical",
OR(Loans[[#This Row],[LoanStatus]]="Watchlist",Loans[[#This Row],[CollateralRisk]]="Undersecured",Loans[[#This Row],[RiskCategory]]="High Risk"),"High",
TRUE,"Normal"
)</f>
        <v>Critical</v>
      </c>
    </row>
    <row r="431" spans="1:20" x14ac:dyDescent="0.35">
      <c r="A431" t="s">
        <v>937</v>
      </c>
      <c r="B431" t="s">
        <v>391</v>
      </c>
      <c r="C431" t="s">
        <v>270</v>
      </c>
      <c r="D431" t="s">
        <v>158</v>
      </c>
      <c r="E431" s="34">
        <v>1000000</v>
      </c>
      <c r="F431" s="29">
        <v>0.15579999999999999</v>
      </c>
      <c r="G431" s="30">
        <v>45591</v>
      </c>
      <c r="H431">
        <v>36</v>
      </c>
      <c r="I431">
        <v>0</v>
      </c>
      <c r="J431" s="34">
        <v>1190000</v>
      </c>
      <c r="K431" t="s">
        <v>171</v>
      </c>
      <c r="L431" s="34">
        <f>PMT(Loans[[#This Row],[InterestRate]]/12,Loans[[#This Row],[LoanTenureMonths]],-Loans[[#This Row],[LoanAmount]])</f>
        <v>34950.03022938138</v>
      </c>
      <c r="M431" s="30">
        <f>EDATE(Loans[[#This Row],[LoanStartDate]],Loans[[#This Row],[LoanTenureMonths]])</f>
        <v>46686</v>
      </c>
      <c r="N431" s="33">
        <f>IF(Loans[[#This Row],[LoanAmount]]=0,0,Loans[[#This Row],[CollateralValue]]/Loans[[#This Row],[LoanAmount]])</f>
        <v>1.19</v>
      </c>
      <c r="O431" t="str">
        <f>IF(Loans[[#This Row],[CollateralCoverageRatio]]&lt;1,"Undersecured","Secured")</f>
        <v>Secured</v>
      </c>
      <c r="P431" t="str">
        <f>_xlfn.XLOOKUP(Loans[[#This Row],[BranchCode]],BranchesTbl[BranchCode],BranchesTbl[BranchName])</f>
        <v>Nakuru</v>
      </c>
      <c r="Q431">
        <f>_xlfn.XLOOKUP(Loans[[#This Row],[CustomerID]],CustomerTbl[CustomerID],CustomerTbl[RiskScore])</f>
        <v>411</v>
      </c>
      <c r="R431" t="str">
        <f>IFERROR(INDEX(RiskTbl[Risk_Category],MATCH(Loans[[#This Row],[RiskScore]],RiskTbl[Score_Min],1)),"Unknown")</f>
        <v>High Risk</v>
      </c>
      <c r="S431" t="str">
        <f>IF(OR(Loans[[#This Row],[LoanStatus]]="Default",Loans[[#This Row],[LoanStatus]]="Watchlist",Loans[[#This Row],[CollateralRisk]]="Undersecured",Loans[[#This Row],[RiskCategory]]="High Risk"),"High Risk Exposure","Normal")</f>
        <v>High Risk Exposure</v>
      </c>
      <c r="T431" t="str" cm="1">
        <f t="array" ref="T431">_xlfn.IFS(
Loans[[#This Row],[LoanStatus]]="Default","Critical",
OR(Loans[[#This Row],[LoanStatus]]="Watchlist",Loans[[#This Row],[CollateralRisk]]="Undersecured",Loans[[#This Row],[RiskCategory]]="High Risk"),"High",
TRUE,"Normal"
)</f>
        <v>High</v>
      </c>
    </row>
    <row r="432" spans="1:20" x14ac:dyDescent="0.35">
      <c r="A432" t="s">
        <v>938</v>
      </c>
      <c r="B432" t="s">
        <v>918</v>
      </c>
      <c r="C432" t="s">
        <v>219</v>
      </c>
      <c r="D432" t="s">
        <v>155</v>
      </c>
      <c r="E432" s="34">
        <v>500000</v>
      </c>
      <c r="F432" s="29">
        <v>0.23150000000000001</v>
      </c>
      <c r="G432" s="30">
        <v>43987</v>
      </c>
      <c r="H432">
        <v>60</v>
      </c>
      <c r="I432">
        <v>0</v>
      </c>
      <c r="J432" s="34">
        <v>0</v>
      </c>
      <c r="K432" t="s">
        <v>171</v>
      </c>
      <c r="L432" s="34">
        <f>PMT(Loans[[#This Row],[InterestRate]]/12,Loans[[#This Row],[LoanTenureMonths]],-Loans[[#This Row],[LoanAmount]])</f>
        <v>14138.359331157499</v>
      </c>
      <c r="M432" s="30">
        <f>EDATE(Loans[[#This Row],[LoanStartDate]],Loans[[#This Row],[LoanTenureMonths]])</f>
        <v>45813</v>
      </c>
      <c r="N432" s="33">
        <f>IF(Loans[[#This Row],[LoanAmount]]=0,0,Loans[[#This Row],[CollateralValue]]/Loans[[#This Row],[LoanAmount]])</f>
        <v>0</v>
      </c>
      <c r="O432" t="str">
        <f>IF(Loans[[#This Row],[CollateralCoverageRatio]]&lt;1,"Undersecured","Secured")</f>
        <v>Undersecured</v>
      </c>
      <c r="P432" t="str">
        <f>_xlfn.XLOOKUP(Loans[[#This Row],[BranchCode]],BranchesTbl[BranchCode],BranchesTbl[BranchName])</f>
        <v>Meru</v>
      </c>
      <c r="Q432">
        <f>_xlfn.XLOOKUP(Loans[[#This Row],[CustomerID]],CustomerTbl[CustomerID],CustomerTbl[RiskScore])</f>
        <v>731</v>
      </c>
      <c r="R432" t="str">
        <f>IFERROR(INDEX(RiskTbl[Risk_Category],MATCH(Loans[[#This Row],[RiskScore]],RiskTbl[Score_Min],1)),"Unknown")</f>
        <v>Low Risk</v>
      </c>
      <c r="S432" t="str">
        <f>IF(OR(Loans[[#This Row],[LoanStatus]]="Default",Loans[[#This Row],[LoanStatus]]="Watchlist",Loans[[#This Row],[CollateralRisk]]="Undersecured",Loans[[#This Row],[RiskCategory]]="High Risk"),"High Risk Exposure","Normal")</f>
        <v>High Risk Exposure</v>
      </c>
      <c r="T432" t="str" cm="1">
        <f t="array" ref="T432">_xlfn.IFS(
Loans[[#This Row],[LoanStatus]]="Default","Critical",
OR(Loans[[#This Row],[LoanStatus]]="Watchlist",Loans[[#This Row],[CollateralRisk]]="Undersecured",Loans[[#This Row],[RiskCategory]]="High Risk"),"High",
TRUE,"Normal"
)</f>
        <v>High</v>
      </c>
    </row>
    <row r="433" spans="1:20" x14ac:dyDescent="0.35">
      <c r="A433" t="s">
        <v>939</v>
      </c>
      <c r="B433" t="s">
        <v>940</v>
      </c>
      <c r="C433" t="s">
        <v>184</v>
      </c>
      <c r="D433" t="s">
        <v>158</v>
      </c>
      <c r="E433" s="34">
        <v>1000000</v>
      </c>
      <c r="F433" s="29">
        <v>0.18759999999999999</v>
      </c>
      <c r="G433" s="30">
        <v>45666</v>
      </c>
      <c r="H433">
        <v>36</v>
      </c>
      <c r="I433">
        <v>0</v>
      </c>
      <c r="J433" s="34">
        <v>880000</v>
      </c>
      <c r="K433" t="s">
        <v>171</v>
      </c>
      <c r="L433" s="34">
        <f>PMT(Loans[[#This Row],[InterestRate]]/12,Loans[[#This Row],[LoanTenureMonths]],-Loans[[#This Row],[LoanAmount]])</f>
        <v>36534.790249294565</v>
      </c>
      <c r="M433" s="30">
        <f>EDATE(Loans[[#This Row],[LoanStartDate]],Loans[[#This Row],[LoanTenureMonths]])</f>
        <v>46761</v>
      </c>
      <c r="N433" s="33">
        <f>IF(Loans[[#This Row],[LoanAmount]]=0,0,Loans[[#This Row],[CollateralValue]]/Loans[[#This Row],[LoanAmount]])</f>
        <v>0.88</v>
      </c>
      <c r="O433" t="str">
        <f>IF(Loans[[#This Row],[CollateralCoverageRatio]]&lt;1,"Undersecured","Secured")</f>
        <v>Undersecured</v>
      </c>
      <c r="P433" t="str">
        <f>_xlfn.XLOOKUP(Loans[[#This Row],[BranchCode]],BranchesTbl[BranchCode],BranchesTbl[BranchName])</f>
        <v>Kisumu</v>
      </c>
      <c r="Q433">
        <f>_xlfn.XLOOKUP(Loans[[#This Row],[CustomerID]],CustomerTbl[CustomerID],CustomerTbl[RiskScore])</f>
        <v>794</v>
      </c>
      <c r="R433" t="str">
        <f>IFERROR(INDEX(RiskTbl[Risk_Category],MATCH(Loans[[#This Row],[RiskScore]],RiskTbl[Score_Min],1)),"Unknown")</f>
        <v>Very Low Risk</v>
      </c>
      <c r="S433" t="str">
        <f>IF(OR(Loans[[#This Row],[LoanStatus]]="Default",Loans[[#This Row],[LoanStatus]]="Watchlist",Loans[[#This Row],[CollateralRisk]]="Undersecured",Loans[[#This Row],[RiskCategory]]="High Risk"),"High Risk Exposure","Normal")</f>
        <v>High Risk Exposure</v>
      </c>
      <c r="T433" t="str" cm="1">
        <f t="array" ref="T433">_xlfn.IFS(
Loans[[#This Row],[LoanStatus]]="Default","Critical",
OR(Loans[[#This Row],[LoanStatus]]="Watchlist",Loans[[#This Row],[CollateralRisk]]="Undersecured",Loans[[#This Row],[RiskCategory]]="High Risk"),"High",
TRUE,"Normal"
)</f>
        <v>High</v>
      </c>
    </row>
    <row r="434" spans="1:20" x14ac:dyDescent="0.35">
      <c r="A434" t="s">
        <v>941</v>
      </c>
      <c r="B434" t="s">
        <v>942</v>
      </c>
      <c r="C434" t="s">
        <v>184</v>
      </c>
      <c r="D434" t="s">
        <v>156</v>
      </c>
      <c r="E434" s="34">
        <v>25000000</v>
      </c>
      <c r="F434" s="29">
        <v>0.21659999999999999</v>
      </c>
      <c r="G434" s="30">
        <v>45530</v>
      </c>
      <c r="H434">
        <v>72</v>
      </c>
      <c r="I434">
        <v>20</v>
      </c>
      <c r="J434" s="34">
        <v>17750000</v>
      </c>
      <c r="K434" t="s">
        <v>171</v>
      </c>
      <c r="L434" s="34">
        <f>PMT(Loans[[#This Row],[InterestRate]]/12,Loans[[#This Row],[LoanTenureMonths]],-Loans[[#This Row],[LoanAmount]])</f>
        <v>623117.7157910727</v>
      </c>
      <c r="M434" s="30">
        <f>EDATE(Loans[[#This Row],[LoanStartDate]],Loans[[#This Row],[LoanTenureMonths]])</f>
        <v>47721</v>
      </c>
      <c r="N434" s="33">
        <f>IF(Loans[[#This Row],[LoanAmount]]=0,0,Loans[[#This Row],[CollateralValue]]/Loans[[#This Row],[LoanAmount]])</f>
        <v>0.71</v>
      </c>
      <c r="O434" t="str">
        <f>IF(Loans[[#This Row],[CollateralCoverageRatio]]&lt;1,"Undersecured","Secured")</f>
        <v>Undersecured</v>
      </c>
      <c r="P434" t="str">
        <f>_xlfn.XLOOKUP(Loans[[#This Row],[BranchCode]],BranchesTbl[BranchCode],BranchesTbl[BranchName])</f>
        <v>Kisumu</v>
      </c>
      <c r="Q434">
        <f>_xlfn.XLOOKUP(Loans[[#This Row],[CustomerID]],CustomerTbl[CustomerID],CustomerTbl[RiskScore])</f>
        <v>463</v>
      </c>
      <c r="R434" t="str">
        <f>IFERROR(INDEX(RiskTbl[Risk_Category],MATCH(Loans[[#This Row],[RiskScore]],RiskTbl[Score_Min],1)),"Unknown")</f>
        <v>High Risk</v>
      </c>
      <c r="S434" t="str">
        <f>IF(OR(Loans[[#This Row],[LoanStatus]]="Default",Loans[[#This Row],[LoanStatus]]="Watchlist",Loans[[#This Row],[CollateralRisk]]="Undersecured",Loans[[#This Row],[RiskCategory]]="High Risk"),"High Risk Exposure","Normal")</f>
        <v>High Risk Exposure</v>
      </c>
      <c r="T434" t="str" cm="1">
        <f t="array" ref="T434">_xlfn.IFS(
Loans[[#This Row],[LoanStatus]]="Default","Critical",
OR(Loans[[#This Row],[LoanStatus]]="Watchlist",Loans[[#This Row],[CollateralRisk]]="Undersecured",Loans[[#This Row],[RiskCategory]]="High Risk"),"High",
TRUE,"Normal"
)</f>
        <v>High</v>
      </c>
    </row>
    <row r="435" spans="1:20" x14ac:dyDescent="0.35">
      <c r="A435" t="s">
        <v>943</v>
      </c>
      <c r="B435" t="s">
        <v>722</v>
      </c>
      <c r="C435" t="s">
        <v>174</v>
      </c>
      <c r="D435" t="s">
        <v>156</v>
      </c>
      <c r="E435" s="34">
        <v>3000000</v>
      </c>
      <c r="F435" s="29">
        <v>0.14749999999999999</v>
      </c>
      <c r="G435" s="30">
        <v>44645</v>
      </c>
      <c r="H435">
        <v>36</v>
      </c>
      <c r="I435">
        <v>5</v>
      </c>
      <c r="J435" s="34">
        <v>3750000</v>
      </c>
      <c r="K435" t="s">
        <v>171</v>
      </c>
      <c r="L435" s="34">
        <f>PMT(Loans[[#This Row],[InterestRate]]/12,Loans[[#This Row],[LoanTenureMonths]],-Loans[[#This Row],[LoanAmount]])</f>
        <v>103629.08301161297</v>
      </c>
      <c r="M435" s="30">
        <f>EDATE(Loans[[#This Row],[LoanStartDate]],Loans[[#This Row],[LoanTenureMonths]])</f>
        <v>45741</v>
      </c>
      <c r="N435" s="33">
        <f>IF(Loans[[#This Row],[LoanAmount]]=0,0,Loans[[#This Row],[CollateralValue]]/Loans[[#This Row],[LoanAmount]])</f>
        <v>1.25</v>
      </c>
      <c r="O435" t="str">
        <f>IF(Loans[[#This Row],[CollateralCoverageRatio]]&lt;1,"Undersecured","Secured")</f>
        <v>Secured</v>
      </c>
      <c r="P435" t="str">
        <f>_xlfn.XLOOKUP(Loans[[#This Row],[BranchCode]],BranchesTbl[BranchCode],BranchesTbl[BranchName])</f>
        <v>Westlands</v>
      </c>
      <c r="Q435">
        <f>_xlfn.XLOOKUP(Loans[[#This Row],[CustomerID]],CustomerTbl[CustomerID],CustomerTbl[RiskScore])</f>
        <v>366</v>
      </c>
      <c r="R435" t="str">
        <f>IFERROR(INDEX(RiskTbl[Risk_Category],MATCH(Loans[[#This Row],[RiskScore]],RiskTbl[Score_Min],1)),"Unknown")</f>
        <v>High Risk</v>
      </c>
      <c r="S435" t="str">
        <f>IF(OR(Loans[[#This Row],[LoanStatus]]="Default",Loans[[#This Row],[LoanStatus]]="Watchlist",Loans[[#This Row],[CollateralRisk]]="Undersecured",Loans[[#This Row],[RiskCategory]]="High Risk"),"High Risk Exposure","Normal")</f>
        <v>High Risk Exposure</v>
      </c>
      <c r="T435" t="str" cm="1">
        <f t="array" ref="T435">_xlfn.IFS(
Loans[[#This Row],[LoanStatus]]="Default","Critical",
OR(Loans[[#This Row],[LoanStatus]]="Watchlist",Loans[[#This Row],[CollateralRisk]]="Undersecured",Loans[[#This Row],[RiskCategory]]="High Risk"),"High",
TRUE,"Normal"
)</f>
        <v>High</v>
      </c>
    </row>
    <row r="436" spans="1:20" x14ac:dyDescent="0.35">
      <c r="A436" t="s">
        <v>944</v>
      </c>
      <c r="B436" t="s">
        <v>945</v>
      </c>
      <c r="C436" t="s">
        <v>270</v>
      </c>
      <c r="D436" t="s">
        <v>155</v>
      </c>
      <c r="E436" s="34">
        <v>1000000</v>
      </c>
      <c r="F436" s="29">
        <v>0.26279999999999998</v>
      </c>
      <c r="G436" s="30">
        <v>44611</v>
      </c>
      <c r="H436">
        <v>60</v>
      </c>
      <c r="I436">
        <v>0</v>
      </c>
      <c r="J436" s="34">
        <v>0</v>
      </c>
      <c r="K436" t="s">
        <v>171</v>
      </c>
      <c r="L436" s="34">
        <f>PMT(Loans[[#This Row],[InterestRate]]/12,Loans[[#This Row],[LoanTenureMonths]],-Loans[[#This Row],[LoanAmount]])</f>
        <v>30106.457061290468</v>
      </c>
      <c r="M436" s="30">
        <f>EDATE(Loans[[#This Row],[LoanStartDate]],Loans[[#This Row],[LoanTenureMonths]])</f>
        <v>46437</v>
      </c>
      <c r="N436" s="33">
        <f>IF(Loans[[#This Row],[LoanAmount]]=0,0,Loans[[#This Row],[CollateralValue]]/Loans[[#This Row],[LoanAmount]])</f>
        <v>0</v>
      </c>
      <c r="O436" t="str">
        <f>IF(Loans[[#This Row],[CollateralCoverageRatio]]&lt;1,"Undersecured","Secured")</f>
        <v>Undersecured</v>
      </c>
      <c r="P436" t="str">
        <f>_xlfn.XLOOKUP(Loans[[#This Row],[BranchCode]],BranchesTbl[BranchCode],BranchesTbl[BranchName])</f>
        <v>Nakuru</v>
      </c>
      <c r="Q436">
        <f>_xlfn.XLOOKUP(Loans[[#This Row],[CustomerID]],CustomerTbl[CustomerID],CustomerTbl[RiskScore])</f>
        <v>457</v>
      </c>
      <c r="R436" t="str">
        <f>IFERROR(INDEX(RiskTbl[Risk_Category],MATCH(Loans[[#This Row],[RiskScore]],RiskTbl[Score_Min],1)),"Unknown")</f>
        <v>High Risk</v>
      </c>
      <c r="S436" t="str">
        <f>IF(OR(Loans[[#This Row],[LoanStatus]]="Default",Loans[[#This Row],[LoanStatus]]="Watchlist",Loans[[#This Row],[CollateralRisk]]="Undersecured",Loans[[#This Row],[RiskCategory]]="High Risk"),"High Risk Exposure","Normal")</f>
        <v>High Risk Exposure</v>
      </c>
      <c r="T436" t="str" cm="1">
        <f t="array" ref="T436">_xlfn.IFS(
Loans[[#This Row],[LoanStatus]]="Default","Critical",
OR(Loans[[#This Row],[LoanStatus]]="Watchlist",Loans[[#This Row],[CollateralRisk]]="Undersecured",Loans[[#This Row],[RiskCategory]]="High Risk"),"High",
TRUE,"Normal"
)</f>
        <v>High</v>
      </c>
    </row>
    <row r="437" spans="1:20" x14ac:dyDescent="0.35">
      <c r="A437" t="s">
        <v>946</v>
      </c>
      <c r="B437" t="s">
        <v>511</v>
      </c>
      <c r="C437" t="s">
        <v>219</v>
      </c>
      <c r="D437" t="s">
        <v>157</v>
      </c>
      <c r="E437" s="34">
        <v>6000000</v>
      </c>
      <c r="F437" s="29">
        <v>0.13020000000000001</v>
      </c>
      <c r="G437" s="30">
        <v>45195</v>
      </c>
      <c r="H437">
        <v>24</v>
      </c>
      <c r="I437">
        <v>10</v>
      </c>
      <c r="J437" s="34">
        <v>7860000</v>
      </c>
      <c r="K437" t="s">
        <v>171</v>
      </c>
      <c r="L437" s="34">
        <f>PMT(Loans[[#This Row],[InterestRate]]/12,Loans[[#This Row],[LoanTenureMonths]],-Loans[[#This Row],[LoanAmount]])</f>
        <v>285307.30356816773</v>
      </c>
      <c r="M437" s="30">
        <f>EDATE(Loans[[#This Row],[LoanStartDate]],Loans[[#This Row],[LoanTenureMonths]])</f>
        <v>45926</v>
      </c>
      <c r="N437" s="33">
        <f>IF(Loans[[#This Row],[LoanAmount]]=0,0,Loans[[#This Row],[CollateralValue]]/Loans[[#This Row],[LoanAmount]])</f>
        <v>1.31</v>
      </c>
      <c r="O437" t="str">
        <f>IF(Loans[[#This Row],[CollateralCoverageRatio]]&lt;1,"Undersecured","Secured")</f>
        <v>Secured</v>
      </c>
      <c r="P437" t="str">
        <f>_xlfn.XLOOKUP(Loans[[#This Row],[BranchCode]],BranchesTbl[BranchCode],BranchesTbl[BranchName])</f>
        <v>Meru</v>
      </c>
      <c r="Q437">
        <f>_xlfn.XLOOKUP(Loans[[#This Row],[CustomerID]],CustomerTbl[CustomerID],CustomerTbl[RiskScore])</f>
        <v>625</v>
      </c>
      <c r="R437" t="str">
        <f>IFERROR(INDEX(RiskTbl[Risk_Category],MATCH(Loans[[#This Row],[RiskScore]],RiskTbl[Score_Min],1)),"Unknown")</f>
        <v>Medium Risk</v>
      </c>
      <c r="S437" t="str">
        <f>IF(OR(Loans[[#This Row],[LoanStatus]]="Default",Loans[[#This Row],[LoanStatus]]="Watchlist",Loans[[#This Row],[CollateralRisk]]="Undersecured",Loans[[#This Row],[RiskCategory]]="High Risk"),"High Risk Exposure","Normal")</f>
        <v>Normal</v>
      </c>
      <c r="T437" t="str" cm="1">
        <f t="array" ref="T437">_xlfn.IFS(
Loans[[#This Row],[LoanStatus]]="Default","Critical",
OR(Loans[[#This Row],[LoanStatus]]="Watchlist",Loans[[#This Row],[CollateralRisk]]="Undersecured",Loans[[#This Row],[RiskCategory]]="High Risk"),"High",
TRUE,"Normal"
)</f>
        <v>Normal</v>
      </c>
    </row>
    <row r="438" spans="1:20" x14ac:dyDescent="0.35">
      <c r="A438" t="s">
        <v>947</v>
      </c>
      <c r="B438" t="s">
        <v>375</v>
      </c>
      <c r="C438" t="s">
        <v>181</v>
      </c>
      <c r="D438" t="s">
        <v>158</v>
      </c>
      <c r="E438" s="34">
        <v>1000000</v>
      </c>
      <c r="F438" s="29">
        <v>0.14019999999999999</v>
      </c>
      <c r="G438" s="30">
        <v>44136</v>
      </c>
      <c r="H438">
        <v>60</v>
      </c>
      <c r="I438">
        <v>45</v>
      </c>
      <c r="J438" s="34">
        <v>530000</v>
      </c>
      <c r="K438" t="s">
        <v>199</v>
      </c>
      <c r="L438" s="34">
        <f>PMT(Loans[[#This Row],[InterestRate]]/12,Loans[[#This Row],[LoanTenureMonths]],-Loans[[#This Row],[LoanAmount]])</f>
        <v>23278.620894550513</v>
      </c>
      <c r="M438" s="30">
        <f>EDATE(Loans[[#This Row],[LoanStartDate]],Loans[[#This Row],[LoanTenureMonths]])</f>
        <v>45962</v>
      </c>
      <c r="N438" s="33">
        <f>IF(Loans[[#This Row],[LoanAmount]]=0,0,Loans[[#This Row],[CollateralValue]]/Loans[[#This Row],[LoanAmount]])</f>
        <v>0.53</v>
      </c>
      <c r="O438" t="str">
        <f>IF(Loans[[#This Row],[CollateralCoverageRatio]]&lt;1,"Undersecured","Secured")</f>
        <v>Undersecured</v>
      </c>
      <c r="P438" t="str">
        <f>_xlfn.XLOOKUP(Loans[[#This Row],[BranchCode]],BranchesTbl[BranchCode],BranchesTbl[BranchName])</f>
        <v>Kitale</v>
      </c>
      <c r="Q438">
        <f>_xlfn.XLOOKUP(Loans[[#This Row],[CustomerID]],CustomerTbl[CustomerID],CustomerTbl[RiskScore])</f>
        <v>358</v>
      </c>
      <c r="R438" t="str">
        <f>IFERROR(INDEX(RiskTbl[Risk_Category],MATCH(Loans[[#This Row],[RiskScore]],RiskTbl[Score_Min],1)),"Unknown")</f>
        <v>High Risk</v>
      </c>
      <c r="S438" t="str">
        <f>IF(OR(Loans[[#This Row],[LoanStatus]]="Default",Loans[[#This Row],[LoanStatus]]="Watchlist",Loans[[#This Row],[CollateralRisk]]="Undersecured",Loans[[#This Row],[RiskCategory]]="High Risk"),"High Risk Exposure","Normal")</f>
        <v>High Risk Exposure</v>
      </c>
      <c r="T438" t="str" cm="1">
        <f t="array" ref="T438">_xlfn.IFS(
Loans[[#This Row],[LoanStatus]]="Default","Critical",
OR(Loans[[#This Row],[LoanStatus]]="Watchlist",Loans[[#This Row],[CollateralRisk]]="Undersecured",Loans[[#This Row],[RiskCategory]]="High Risk"),"High",
TRUE,"Normal"
)</f>
        <v>High</v>
      </c>
    </row>
    <row r="439" spans="1:20" x14ac:dyDescent="0.35">
      <c r="A439" t="s">
        <v>948</v>
      </c>
      <c r="B439" t="s">
        <v>870</v>
      </c>
      <c r="C439" t="s">
        <v>196</v>
      </c>
      <c r="D439" t="s">
        <v>156</v>
      </c>
      <c r="E439" s="34">
        <v>1000000</v>
      </c>
      <c r="F439" s="29">
        <v>0.14410000000000001</v>
      </c>
      <c r="G439" s="30">
        <v>44176</v>
      </c>
      <c r="H439">
        <v>36</v>
      </c>
      <c r="I439">
        <v>0</v>
      </c>
      <c r="J439" s="34">
        <v>990000</v>
      </c>
      <c r="K439" t="s">
        <v>171</v>
      </c>
      <c r="L439" s="34">
        <f>PMT(Loans[[#This Row],[InterestRate]]/12,Loans[[#This Row],[LoanTenureMonths]],-Loans[[#This Row],[LoanAmount]])</f>
        <v>34377.100755233449</v>
      </c>
      <c r="M439" s="30">
        <f>EDATE(Loans[[#This Row],[LoanStartDate]],Loans[[#This Row],[LoanTenureMonths]])</f>
        <v>45271</v>
      </c>
      <c r="N439" s="33">
        <f>IF(Loans[[#This Row],[LoanAmount]]=0,0,Loans[[#This Row],[CollateralValue]]/Loans[[#This Row],[LoanAmount]])</f>
        <v>0.99</v>
      </c>
      <c r="O439" t="str">
        <f>IF(Loans[[#This Row],[CollateralCoverageRatio]]&lt;1,"Undersecured","Secured")</f>
        <v>Undersecured</v>
      </c>
      <c r="P439" t="str">
        <f>_xlfn.XLOOKUP(Loans[[#This Row],[BranchCode]],BranchesTbl[BranchCode],BranchesTbl[BranchName])</f>
        <v>Karen</v>
      </c>
      <c r="Q439">
        <f>_xlfn.XLOOKUP(Loans[[#This Row],[CustomerID]],CustomerTbl[CustomerID],CustomerTbl[RiskScore])</f>
        <v>603</v>
      </c>
      <c r="R439" t="str">
        <f>IFERROR(INDEX(RiskTbl[Risk_Category],MATCH(Loans[[#This Row],[RiskScore]],RiskTbl[Score_Min],1)),"Unknown")</f>
        <v>Medium Risk</v>
      </c>
      <c r="S439" t="str">
        <f>IF(OR(Loans[[#This Row],[LoanStatus]]="Default",Loans[[#This Row],[LoanStatus]]="Watchlist",Loans[[#This Row],[CollateralRisk]]="Undersecured",Loans[[#This Row],[RiskCategory]]="High Risk"),"High Risk Exposure","Normal")</f>
        <v>High Risk Exposure</v>
      </c>
      <c r="T439" t="str" cm="1">
        <f t="array" ref="T439">_xlfn.IFS(
Loans[[#This Row],[LoanStatus]]="Default","Critical",
OR(Loans[[#This Row],[LoanStatus]]="Watchlist",Loans[[#This Row],[CollateralRisk]]="Undersecured",Loans[[#This Row],[RiskCategory]]="High Risk"),"High",
TRUE,"Normal"
)</f>
        <v>High</v>
      </c>
    </row>
    <row r="440" spans="1:20" x14ac:dyDescent="0.35">
      <c r="A440" t="s">
        <v>949</v>
      </c>
      <c r="B440" t="s">
        <v>950</v>
      </c>
      <c r="C440" t="s">
        <v>219</v>
      </c>
      <c r="D440" t="s">
        <v>157</v>
      </c>
      <c r="E440" s="34">
        <v>25000000</v>
      </c>
      <c r="F440" s="29">
        <v>0.12740000000000001</v>
      </c>
      <c r="G440" s="30">
        <v>45569</v>
      </c>
      <c r="H440">
        <v>60</v>
      </c>
      <c r="I440">
        <v>120</v>
      </c>
      <c r="J440" s="34">
        <v>21250000</v>
      </c>
      <c r="K440" t="s">
        <v>178</v>
      </c>
      <c r="L440" s="34">
        <f>PMT(Loans[[#This Row],[InterestRate]]/12,Loans[[#This Row],[LoanTenureMonths]],-Loans[[#This Row],[LoanAmount]])</f>
        <v>565504.95263957337</v>
      </c>
      <c r="M440" s="30">
        <f>EDATE(Loans[[#This Row],[LoanStartDate]],Loans[[#This Row],[LoanTenureMonths]])</f>
        <v>47395</v>
      </c>
      <c r="N440" s="33">
        <f>IF(Loans[[#This Row],[LoanAmount]]=0,0,Loans[[#This Row],[CollateralValue]]/Loans[[#This Row],[LoanAmount]])</f>
        <v>0.85</v>
      </c>
      <c r="O440" t="str">
        <f>IF(Loans[[#This Row],[CollateralCoverageRatio]]&lt;1,"Undersecured","Secured")</f>
        <v>Undersecured</v>
      </c>
      <c r="P440" t="str">
        <f>_xlfn.XLOOKUP(Loans[[#This Row],[BranchCode]],BranchesTbl[BranchCode],BranchesTbl[BranchName])</f>
        <v>Meru</v>
      </c>
      <c r="Q440">
        <f>_xlfn.XLOOKUP(Loans[[#This Row],[CustomerID]],CustomerTbl[CustomerID],CustomerTbl[RiskScore])</f>
        <v>413</v>
      </c>
      <c r="R440" t="str">
        <f>IFERROR(INDEX(RiskTbl[Risk_Category],MATCH(Loans[[#This Row],[RiskScore]],RiskTbl[Score_Min],1)),"Unknown")</f>
        <v>High Risk</v>
      </c>
      <c r="S440" t="str">
        <f>IF(OR(Loans[[#This Row],[LoanStatus]]="Default",Loans[[#This Row],[LoanStatus]]="Watchlist",Loans[[#This Row],[CollateralRisk]]="Undersecured",Loans[[#This Row],[RiskCategory]]="High Risk"),"High Risk Exposure","Normal")</f>
        <v>High Risk Exposure</v>
      </c>
      <c r="T440" t="str" cm="1">
        <f t="array" ref="T440">_xlfn.IFS(
Loans[[#This Row],[LoanStatus]]="Default","Critical",
OR(Loans[[#This Row],[LoanStatus]]="Watchlist",Loans[[#This Row],[CollateralRisk]]="Undersecured",Loans[[#This Row],[RiskCategory]]="High Risk"),"High",
TRUE,"Normal"
)</f>
        <v>Critical</v>
      </c>
    </row>
    <row r="441" spans="1:20" x14ac:dyDescent="0.35">
      <c r="A441" t="s">
        <v>951</v>
      </c>
      <c r="B441" t="s">
        <v>952</v>
      </c>
      <c r="C441" t="s">
        <v>196</v>
      </c>
      <c r="D441" t="s">
        <v>156</v>
      </c>
      <c r="E441" s="34">
        <v>25000000</v>
      </c>
      <c r="F441" s="29">
        <v>0.15579999999999999</v>
      </c>
      <c r="G441" s="30">
        <v>44685</v>
      </c>
      <c r="H441">
        <v>24</v>
      </c>
      <c r="I441">
        <v>0</v>
      </c>
      <c r="J441" s="34">
        <v>23750000</v>
      </c>
      <c r="K441" t="s">
        <v>171</v>
      </c>
      <c r="L441" s="34">
        <f>PMT(Loans[[#This Row],[InterestRate]]/12,Loans[[#This Row],[LoanTenureMonths]],-Loans[[#This Row],[LoanAmount]])</f>
        <v>1219066.7029954791</v>
      </c>
      <c r="M441" s="30">
        <f>EDATE(Loans[[#This Row],[LoanStartDate]],Loans[[#This Row],[LoanTenureMonths]])</f>
        <v>45416</v>
      </c>
      <c r="N441" s="33">
        <f>IF(Loans[[#This Row],[LoanAmount]]=0,0,Loans[[#This Row],[CollateralValue]]/Loans[[#This Row],[LoanAmount]])</f>
        <v>0.95</v>
      </c>
      <c r="O441" t="str">
        <f>IF(Loans[[#This Row],[CollateralCoverageRatio]]&lt;1,"Undersecured","Secured")</f>
        <v>Undersecured</v>
      </c>
      <c r="P441" t="str">
        <f>_xlfn.XLOOKUP(Loans[[#This Row],[BranchCode]],BranchesTbl[BranchCode],BranchesTbl[BranchName])</f>
        <v>Karen</v>
      </c>
      <c r="Q441">
        <f>_xlfn.XLOOKUP(Loans[[#This Row],[CustomerID]],CustomerTbl[CustomerID],CustomerTbl[RiskScore])</f>
        <v>444</v>
      </c>
      <c r="R441" t="str">
        <f>IFERROR(INDEX(RiskTbl[Risk_Category],MATCH(Loans[[#This Row],[RiskScore]],RiskTbl[Score_Min],1)),"Unknown")</f>
        <v>High Risk</v>
      </c>
      <c r="S441" t="str">
        <f>IF(OR(Loans[[#This Row],[LoanStatus]]="Default",Loans[[#This Row],[LoanStatus]]="Watchlist",Loans[[#This Row],[CollateralRisk]]="Undersecured",Loans[[#This Row],[RiskCategory]]="High Risk"),"High Risk Exposure","Normal")</f>
        <v>High Risk Exposure</v>
      </c>
      <c r="T441" t="str" cm="1">
        <f t="array" ref="T441">_xlfn.IFS(
Loans[[#This Row],[LoanStatus]]="Default","Critical",
OR(Loans[[#This Row],[LoanStatus]]="Watchlist",Loans[[#This Row],[CollateralRisk]]="Undersecured",Loans[[#This Row],[RiskCategory]]="High Risk"),"High",
TRUE,"Normal"
)</f>
        <v>High</v>
      </c>
    </row>
    <row r="442" spans="1:20" x14ac:dyDescent="0.35">
      <c r="A442" t="s">
        <v>953</v>
      </c>
      <c r="B442" t="s">
        <v>954</v>
      </c>
      <c r="C442" t="s">
        <v>184</v>
      </c>
      <c r="D442" t="s">
        <v>157</v>
      </c>
      <c r="E442" s="34">
        <v>6000000</v>
      </c>
      <c r="F442" s="29">
        <v>9.7299999999999998E-2</v>
      </c>
      <c r="G442" s="30">
        <v>44079</v>
      </c>
      <c r="H442">
        <v>36</v>
      </c>
      <c r="I442">
        <v>5</v>
      </c>
      <c r="J442" s="34">
        <v>8040000</v>
      </c>
      <c r="K442" t="s">
        <v>171</v>
      </c>
      <c r="L442" s="34">
        <f>PMT(Loans[[#This Row],[InterestRate]]/12,Loans[[#This Row],[LoanTenureMonths]],-Loans[[#This Row],[LoanAmount]])</f>
        <v>192843.43397710504</v>
      </c>
      <c r="M442" s="30">
        <f>EDATE(Loans[[#This Row],[LoanStartDate]],Loans[[#This Row],[LoanTenureMonths]])</f>
        <v>45174</v>
      </c>
      <c r="N442" s="33">
        <f>IF(Loans[[#This Row],[LoanAmount]]=0,0,Loans[[#This Row],[CollateralValue]]/Loans[[#This Row],[LoanAmount]])</f>
        <v>1.34</v>
      </c>
      <c r="O442" t="str">
        <f>IF(Loans[[#This Row],[CollateralCoverageRatio]]&lt;1,"Undersecured","Secured")</f>
        <v>Secured</v>
      </c>
      <c r="P442" t="str">
        <f>_xlfn.XLOOKUP(Loans[[#This Row],[BranchCode]],BranchesTbl[BranchCode],BranchesTbl[BranchName])</f>
        <v>Kisumu</v>
      </c>
      <c r="Q442">
        <f>_xlfn.XLOOKUP(Loans[[#This Row],[CustomerID]],CustomerTbl[CustomerID],CustomerTbl[RiskScore])</f>
        <v>771</v>
      </c>
      <c r="R442" t="str">
        <f>IFERROR(INDEX(RiskTbl[Risk_Category],MATCH(Loans[[#This Row],[RiskScore]],RiskTbl[Score_Min],1)),"Unknown")</f>
        <v>Very Low Risk</v>
      </c>
      <c r="S442" t="str">
        <f>IF(OR(Loans[[#This Row],[LoanStatus]]="Default",Loans[[#This Row],[LoanStatus]]="Watchlist",Loans[[#This Row],[CollateralRisk]]="Undersecured",Loans[[#This Row],[RiskCategory]]="High Risk"),"High Risk Exposure","Normal")</f>
        <v>Normal</v>
      </c>
      <c r="T442" t="str" cm="1">
        <f t="array" ref="T442">_xlfn.IFS(
Loans[[#This Row],[LoanStatus]]="Default","Critical",
OR(Loans[[#This Row],[LoanStatus]]="Watchlist",Loans[[#This Row],[CollateralRisk]]="Undersecured",Loans[[#This Row],[RiskCategory]]="High Risk"),"High",
TRUE,"Normal"
)</f>
        <v>Normal</v>
      </c>
    </row>
    <row r="443" spans="1:20" x14ac:dyDescent="0.35">
      <c r="A443" t="s">
        <v>955</v>
      </c>
      <c r="B443" t="s">
        <v>956</v>
      </c>
      <c r="C443" t="s">
        <v>174</v>
      </c>
      <c r="D443" t="s">
        <v>156</v>
      </c>
      <c r="E443" s="34">
        <v>25000000</v>
      </c>
      <c r="F443" s="29">
        <v>0.2366</v>
      </c>
      <c r="G443" s="30">
        <v>43892</v>
      </c>
      <c r="H443">
        <v>12</v>
      </c>
      <c r="I443">
        <v>45</v>
      </c>
      <c r="J443" s="34">
        <v>15750000</v>
      </c>
      <c r="K443" t="s">
        <v>199</v>
      </c>
      <c r="L443" s="34">
        <f>PMT(Loans[[#This Row],[InterestRate]]/12,Loans[[#This Row],[LoanTenureMonths]],-Loans[[#This Row],[LoanAmount]])</f>
        <v>2359878.3383673979</v>
      </c>
      <c r="M443" s="30">
        <f>EDATE(Loans[[#This Row],[LoanStartDate]],Loans[[#This Row],[LoanTenureMonths]])</f>
        <v>44257</v>
      </c>
      <c r="N443" s="33">
        <f>IF(Loans[[#This Row],[LoanAmount]]=0,0,Loans[[#This Row],[CollateralValue]]/Loans[[#This Row],[LoanAmount]])</f>
        <v>0.63</v>
      </c>
      <c r="O443" t="str">
        <f>IF(Loans[[#This Row],[CollateralCoverageRatio]]&lt;1,"Undersecured","Secured")</f>
        <v>Undersecured</v>
      </c>
      <c r="P443" t="str">
        <f>_xlfn.XLOOKUP(Loans[[#This Row],[BranchCode]],BranchesTbl[BranchCode],BranchesTbl[BranchName])</f>
        <v>Westlands</v>
      </c>
      <c r="Q443">
        <f>_xlfn.XLOOKUP(Loans[[#This Row],[CustomerID]],CustomerTbl[CustomerID],CustomerTbl[RiskScore])</f>
        <v>459</v>
      </c>
      <c r="R443" t="str">
        <f>IFERROR(INDEX(RiskTbl[Risk_Category],MATCH(Loans[[#This Row],[RiskScore]],RiskTbl[Score_Min],1)),"Unknown")</f>
        <v>High Risk</v>
      </c>
      <c r="S443" t="str">
        <f>IF(OR(Loans[[#This Row],[LoanStatus]]="Default",Loans[[#This Row],[LoanStatus]]="Watchlist",Loans[[#This Row],[CollateralRisk]]="Undersecured",Loans[[#This Row],[RiskCategory]]="High Risk"),"High Risk Exposure","Normal")</f>
        <v>High Risk Exposure</v>
      </c>
      <c r="T443" t="str" cm="1">
        <f t="array" ref="T443">_xlfn.IFS(
Loans[[#This Row],[LoanStatus]]="Default","Critical",
OR(Loans[[#This Row],[LoanStatus]]="Watchlist",Loans[[#This Row],[CollateralRisk]]="Undersecured",Loans[[#This Row],[RiskCategory]]="High Risk"),"High",
TRUE,"Normal"
)</f>
        <v>High</v>
      </c>
    </row>
    <row r="444" spans="1:20" x14ac:dyDescent="0.35">
      <c r="A444" t="s">
        <v>957</v>
      </c>
      <c r="B444" t="s">
        <v>958</v>
      </c>
      <c r="C444" t="s">
        <v>181</v>
      </c>
      <c r="D444" t="s">
        <v>158</v>
      </c>
      <c r="E444" s="34">
        <v>6000000</v>
      </c>
      <c r="F444" s="29">
        <v>0.1923</v>
      </c>
      <c r="G444" s="30">
        <v>44989</v>
      </c>
      <c r="H444">
        <v>36</v>
      </c>
      <c r="I444">
        <v>0</v>
      </c>
      <c r="J444" s="34">
        <v>5940000</v>
      </c>
      <c r="K444" t="s">
        <v>171</v>
      </c>
      <c r="L444" s="34">
        <f>PMT(Loans[[#This Row],[InterestRate]]/12,Loans[[#This Row],[LoanTenureMonths]],-Loans[[#This Row],[LoanAmount]])</f>
        <v>220634.46874624328</v>
      </c>
      <c r="M444" s="30">
        <f>EDATE(Loans[[#This Row],[LoanStartDate]],Loans[[#This Row],[LoanTenureMonths]])</f>
        <v>46085</v>
      </c>
      <c r="N444" s="33">
        <f>IF(Loans[[#This Row],[LoanAmount]]=0,0,Loans[[#This Row],[CollateralValue]]/Loans[[#This Row],[LoanAmount]])</f>
        <v>0.99</v>
      </c>
      <c r="O444" t="str">
        <f>IF(Loans[[#This Row],[CollateralCoverageRatio]]&lt;1,"Undersecured","Secured")</f>
        <v>Undersecured</v>
      </c>
      <c r="P444" t="str">
        <f>_xlfn.XLOOKUP(Loans[[#This Row],[BranchCode]],BranchesTbl[BranchCode],BranchesTbl[BranchName])</f>
        <v>Kitale</v>
      </c>
      <c r="Q444">
        <f>_xlfn.XLOOKUP(Loans[[#This Row],[CustomerID]],CustomerTbl[CustomerID],CustomerTbl[RiskScore])</f>
        <v>734</v>
      </c>
      <c r="R444" t="str">
        <f>IFERROR(INDEX(RiskTbl[Risk_Category],MATCH(Loans[[#This Row],[RiskScore]],RiskTbl[Score_Min],1)),"Unknown")</f>
        <v>Low Risk</v>
      </c>
      <c r="S444" t="str">
        <f>IF(OR(Loans[[#This Row],[LoanStatus]]="Default",Loans[[#This Row],[LoanStatus]]="Watchlist",Loans[[#This Row],[CollateralRisk]]="Undersecured",Loans[[#This Row],[RiskCategory]]="High Risk"),"High Risk Exposure","Normal")</f>
        <v>High Risk Exposure</v>
      </c>
      <c r="T444" t="str" cm="1">
        <f t="array" ref="T444">_xlfn.IFS(
Loans[[#This Row],[LoanStatus]]="Default","Critical",
OR(Loans[[#This Row],[LoanStatus]]="Watchlist",Loans[[#This Row],[CollateralRisk]]="Undersecured",Loans[[#This Row],[RiskCategory]]="High Risk"),"High",
TRUE,"Normal"
)</f>
        <v>High</v>
      </c>
    </row>
    <row r="445" spans="1:20" x14ac:dyDescent="0.35">
      <c r="A445" t="s">
        <v>959</v>
      </c>
      <c r="B445" t="s">
        <v>341</v>
      </c>
      <c r="C445" t="s">
        <v>177</v>
      </c>
      <c r="D445" t="s">
        <v>158</v>
      </c>
      <c r="E445" s="34">
        <v>3000000</v>
      </c>
      <c r="F445" s="29">
        <v>0.19089999999999999</v>
      </c>
      <c r="G445" s="30">
        <v>43916</v>
      </c>
      <c r="H445">
        <v>24</v>
      </c>
      <c r="I445">
        <v>5</v>
      </c>
      <c r="J445" s="34">
        <v>4320000</v>
      </c>
      <c r="K445" t="s">
        <v>171</v>
      </c>
      <c r="L445" s="34">
        <f>PMT(Loans[[#This Row],[InterestRate]]/12,Loans[[#This Row],[LoanTenureMonths]],-Loans[[#This Row],[LoanAmount]])</f>
        <v>151357.0639705215</v>
      </c>
      <c r="M445" s="30">
        <f>EDATE(Loans[[#This Row],[LoanStartDate]],Loans[[#This Row],[LoanTenureMonths]])</f>
        <v>44646</v>
      </c>
      <c r="N445" s="33">
        <f>IF(Loans[[#This Row],[LoanAmount]]=0,0,Loans[[#This Row],[CollateralValue]]/Loans[[#This Row],[LoanAmount]])</f>
        <v>1.44</v>
      </c>
      <c r="O445" t="str">
        <f>IF(Loans[[#This Row],[CollateralCoverageRatio]]&lt;1,"Undersecured","Secured")</f>
        <v>Secured</v>
      </c>
      <c r="P445" t="str">
        <f>_xlfn.XLOOKUP(Loans[[#This Row],[BranchCode]],BranchesTbl[BranchCode],BranchesTbl[BranchName])</f>
        <v>Naivasha</v>
      </c>
      <c r="Q445">
        <f>_xlfn.XLOOKUP(Loans[[#This Row],[CustomerID]],CustomerTbl[CustomerID],CustomerTbl[RiskScore])</f>
        <v>333</v>
      </c>
      <c r="R445" t="str">
        <f>IFERROR(INDEX(RiskTbl[Risk_Category],MATCH(Loans[[#This Row],[RiskScore]],RiskTbl[Score_Min],1)),"Unknown")</f>
        <v>High Risk</v>
      </c>
      <c r="S445" t="str">
        <f>IF(OR(Loans[[#This Row],[LoanStatus]]="Default",Loans[[#This Row],[LoanStatus]]="Watchlist",Loans[[#This Row],[CollateralRisk]]="Undersecured",Loans[[#This Row],[RiskCategory]]="High Risk"),"High Risk Exposure","Normal")</f>
        <v>High Risk Exposure</v>
      </c>
      <c r="T445" t="str" cm="1">
        <f t="array" ref="T445">_xlfn.IFS(
Loans[[#This Row],[LoanStatus]]="Default","Critical",
OR(Loans[[#This Row],[LoanStatus]]="Watchlist",Loans[[#This Row],[CollateralRisk]]="Undersecured",Loans[[#This Row],[RiskCategory]]="High Risk"),"High",
TRUE,"Normal"
)</f>
        <v>High</v>
      </c>
    </row>
    <row r="446" spans="1:20" x14ac:dyDescent="0.35">
      <c r="A446" t="s">
        <v>960</v>
      </c>
      <c r="B446" t="s">
        <v>418</v>
      </c>
      <c r="C446" t="s">
        <v>270</v>
      </c>
      <c r="D446" t="s">
        <v>158</v>
      </c>
      <c r="E446" s="34">
        <v>6000000</v>
      </c>
      <c r="F446" s="29">
        <v>0.19009999999999999</v>
      </c>
      <c r="G446" s="30">
        <v>45623</v>
      </c>
      <c r="H446">
        <v>36</v>
      </c>
      <c r="I446">
        <v>0</v>
      </c>
      <c r="J446" s="34">
        <v>7200000</v>
      </c>
      <c r="K446" t="s">
        <v>171</v>
      </c>
      <c r="L446" s="34">
        <f>PMT(Loans[[#This Row],[InterestRate]]/12,Loans[[#This Row],[LoanTenureMonths]],-Loans[[#This Row],[LoanAmount]])</f>
        <v>219966.45713701489</v>
      </c>
      <c r="M446" s="30">
        <f>EDATE(Loans[[#This Row],[LoanStartDate]],Loans[[#This Row],[LoanTenureMonths]])</f>
        <v>46718</v>
      </c>
      <c r="N446" s="33">
        <f>IF(Loans[[#This Row],[LoanAmount]]=0,0,Loans[[#This Row],[CollateralValue]]/Loans[[#This Row],[LoanAmount]])</f>
        <v>1.2</v>
      </c>
      <c r="O446" t="str">
        <f>IF(Loans[[#This Row],[CollateralCoverageRatio]]&lt;1,"Undersecured","Secured")</f>
        <v>Secured</v>
      </c>
      <c r="P446" t="str">
        <f>_xlfn.XLOOKUP(Loans[[#This Row],[BranchCode]],BranchesTbl[BranchCode],BranchesTbl[BranchName])</f>
        <v>Nakuru</v>
      </c>
      <c r="Q446">
        <f>_xlfn.XLOOKUP(Loans[[#This Row],[CustomerID]],CustomerTbl[CustomerID],CustomerTbl[RiskScore])</f>
        <v>485</v>
      </c>
      <c r="R446" t="str">
        <f>IFERROR(INDEX(RiskTbl[Risk_Category],MATCH(Loans[[#This Row],[RiskScore]],RiskTbl[Score_Min],1)),"Unknown")</f>
        <v>High Risk</v>
      </c>
      <c r="S446" t="str">
        <f>IF(OR(Loans[[#This Row],[LoanStatus]]="Default",Loans[[#This Row],[LoanStatus]]="Watchlist",Loans[[#This Row],[CollateralRisk]]="Undersecured",Loans[[#This Row],[RiskCategory]]="High Risk"),"High Risk Exposure","Normal")</f>
        <v>High Risk Exposure</v>
      </c>
      <c r="T446" t="str" cm="1">
        <f t="array" ref="T446">_xlfn.IFS(
Loans[[#This Row],[LoanStatus]]="Default","Critical",
OR(Loans[[#This Row],[LoanStatus]]="Watchlist",Loans[[#This Row],[CollateralRisk]]="Undersecured",Loans[[#This Row],[RiskCategory]]="High Risk"),"High",
TRUE,"Normal"
)</f>
        <v>High</v>
      </c>
    </row>
    <row r="447" spans="1:20" x14ac:dyDescent="0.35">
      <c r="A447" t="s">
        <v>961</v>
      </c>
      <c r="B447" t="s">
        <v>758</v>
      </c>
      <c r="C447" t="s">
        <v>190</v>
      </c>
      <c r="D447" t="s">
        <v>156</v>
      </c>
      <c r="E447" s="34">
        <v>25000000</v>
      </c>
      <c r="F447" s="29">
        <v>0.15379999999999999</v>
      </c>
      <c r="G447" s="30">
        <v>44904</v>
      </c>
      <c r="H447">
        <v>36</v>
      </c>
      <c r="I447">
        <v>0</v>
      </c>
      <c r="J447" s="34">
        <v>29250000</v>
      </c>
      <c r="K447" t="s">
        <v>171</v>
      </c>
      <c r="L447" s="34">
        <f>PMT(Loans[[#This Row],[InterestRate]]/12,Loans[[#This Row],[LoanTenureMonths]],-Loans[[#This Row],[LoanAmount]])</f>
        <v>871292.62972375692</v>
      </c>
      <c r="M447" s="30">
        <f>EDATE(Loans[[#This Row],[LoanStartDate]],Loans[[#This Row],[LoanTenureMonths]])</f>
        <v>46000</v>
      </c>
      <c r="N447" s="33">
        <f>IF(Loans[[#This Row],[LoanAmount]]=0,0,Loans[[#This Row],[CollateralValue]]/Loans[[#This Row],[LoanAmount]])</f>
        <v>1.17</v>
      </c>
      <c r="O447" t="str">
        <f>IF(Loans[[#This Row],[CollateralCoverageRatio]]&lt;1,"Undersecured","Secured")</f>
        <v>Secured</v>
      </c>
      <c r="P447" t="str">
        <f>_xlfn.XLOOKUP(Loans[[#This Row],[BranchCode]],BranchesTbl[BranchCode],BranchesTbl[BranchName])</f>
        <v>Nyeri</v>
      </c>
      <c r="Q447">
        <f>_xlfn.XLOOKUP(Loans[[#This Row],[CustomerID]],CustomerTbl[CustomerID],CustomerTbl[RiskScore])</f>
        <v>702</v>
      </c>
      <c r="R447" t="str">
        <f>IFERROR(INDEX(RiskTbl[Risk_Category],MATCH(Loans[[#This Row],[RiskScore]],RiskTbl[Score_Min],1)),"Unknown")</f>
        <v>Low Risk</v>
      </c>
      <c r="S447" t="str">
        <f>IF(OR(Loans[[#This Row],[LoanStatus]]="Default",Loans[[#This Row],[LoanStatus]]="Watchlist",Loans[[#This Row],[CollateralRisk]]="Undersecured",Loans[[#This Row],[RiskCategory]]="High Risk"),"High Risk Exposure","Normal")</f>
        <v>Normal</v>
      </c>
      <c r="T447" t="str" cm="1">
        <f t="array" ref="T447">_xlfn.IFS(
Loans[[#This Row],[LoanStatus]]="Default","Critical",
OR(Loans[[#This Row],[LoanStatus]]="Watchlist",Loans[[#This Row],[CollateralRisk]]="Undersecured",Loans[[#This Row],[RiskCategory]]="High Risk"),"High",
TRUE,"Normal"
)</f>
        <v>Normal</v>
      </c>
    </row>
    <row r="448" spans="1:20" x14ac:dyDescent="0.35">
      <c r="A448" t="s">
        <v>962</v>
      </c>
      <c r="B448" t="s">
        <v>782</v>
      </c>
      <c r="C448" t="s">
        <v>267</v>
      </c>
      <c r="D448" t="s">
        <v>158</v>
      </c>
      <c r="E448" s="34">
        <v>500000</v>
      </c>
      <c r="F448" s="29">
        <v>0.1676</v>
      </c>
      <c r="G448" s="30">
        <v>45362</v>
      </c>
      <c r="H448">
        <v>48</v>
      </c>
      <c r="I448">
        <v>0</v>
      </c>
      <c r="J448" s="34">
        <v>480000</v>
      </c>
      <c r="K448" t="s">
        <v>171</v>
      </c>
      <c r="L448" s="34">
        <f>PMT(Loans[[#This Row],[InterestRate]]/12,Loans[[#This Row],[LoanTenureMonths]],-Loans[[#This Row],[LoanAmount]])</f>
        <v>14365.512208735565</v>
      </c>
      <c r="M448" s="30">
        <f>EDATE(Loans[[#This Row],[LoanStartDate]],Loans[[#This Row],[LoanTenureMonths]])</f>
        <v>46823</v>
      </c>
      <c r="N448" s="33">
        <f>IF(Loans[[#This Row],[LoanAmount]]=0,0,Loans[[#This Row],[CollateralValue]]/Loans[[#This Row],[LoanAmount]])</f>
        <v>0.96</v>
      </c>
      <c r="O448" t="str">
        <f>IF(Loans[[#This Row],[CollateralCoverageRatio]]&lt;1,"Undersecured","Secured")</f>
        <v>Undersecured</v>
      </c>
      <c r="P448" t="str">
        <f>_xlfn.XLOOKUP(Loans[[#This Row],[BranchCode]],BranchesTbl[BranchCode],BranchesTbl[BranchName])</f>
        <v>Malindi</v>
      </c>
      <c r="Q448">
        <f>_xlfn.XLOOKUP(Loans[[#This Row],[CustomerID]],CustomerTbl[CustomerID],CustomerTbl[RiskScore])</f>
        <v>655</v>
      </c>
      <c r="R448" t="str">
        <f>IFERROR(INDEX(RiskTbl[Risk_Category],MATCH(Loans[[#This Row],[RiskScore]],RiskTbl[Score_Min],1)),"Unknown")</f>
        <v>Medium Risk</v>
      </c>
      <c r="S448" t="str">
        <f>IF(OR(Loans[[#This Row],[LoanStatus]]="Default",Loans[[#This Row],[LoanStatus]]="Watchlist",Loans[[#This Row],[CollateralRisk]]="Undersecured",Loans[[#This Row],[RiskCategory]]="High Risk"),"High Risk Exposure","Normal")</f>
        <v>High Risk Exposure</v>
      </c>
      <c r="T448" t="str" cm="1">
        <f t="array" ref="T448">_xlfn.IFS(
Loans[[#This Row],[LoanStatus]]="Default","Critical",
OR(Loans[[#This Row],[LoanStatus]]="Watchlist",Loans[[#This Row],[CollateralRisk]]="Undersecured",Loans[[#This Row],[RiskCategory]]="High Risk"),"High",
TRUE,"Normal"
)</f>
        <v>High</v>
      </c>
    </row>
    <row r="449" spans="1:20" x14ac:dyDescent="0.35">
      <c r="A449" t="s">
        <v>963</v>
      </c>
      <c r="B449" t="s">
        <v>964</v>
      </c>
      <c r="C449" t="s">
        <v>196</v>
      </c>
      <c r="D449" t="s">
        <v>156</v>
      </c>
      <c r="E449" s="34">
        <v>1000000</v>
      </c>
      <c r="F449" s="29">
        <v>0.16</v>
      </c>
      <c r="G449" s="30">
        <v>45508</v>
      </c>
      <c r="H449">
        <v>12</v>
      </c>
      <c r="I449">
        <v>10</v>
      </c>
      <c r="J449" s="34">
        <v>1020000</v>
      </c>
      <c r="K449" t="s">
        <v>171</v>
      </c>
      <c r="L449" s="34">
        <f>PMT(Loans[[#This Row],[InterestRate]]/12,Loans[[#This Row],[LoanTenureMonths]],-Loans[[#This Row],[LoanAmount]])</f>
        <v>90730.857859207987</v>
      </c>
      <c r="M449" s="30">
        <f>EDATE(Loans[[#This Row],[LoanStartDate]],Loans[[#This Row],[LoanTenureMonths]])</f>
        <v>45873</v>
      </c>
      <c r="N449" s="33">
        <f>IF(Loans[[#This Row],[LoanAmount]]=0,0,Loans[[#This Row],[CollateralValue]]/Loans[[#This Row],[LoanAmount]])</f>
        <v>1.02</v>
      </c>
      <c r="O449" t="str">
        <f>IF(Loans[[#This Row],[CollateralCoverageRatio]]&lt;1,"Undersecured","Secured")</f>
        <v>Secured</v>
      </c>
      <c r="P449" t="str">
        <f>_xlfn.XLOOKUP(Loans[[#This Row],[BranchCode]],BranchesTbl[BranchCode],BranchesTbl[BranchName])</f>
        <v>Karen</v>
      </c>
      <c r="Q449">
        <f>_xlfn.XLOOKUP(Loans[[#This Row],[CustomerID]],CustomerTbl[CustomerID],CustomerTbl[RiskScore])</f>
        <v>718</v>
      </c>
      <c r="R449" t="str">
        <f>IFERROR(INDEX(RiskTbl[Risk_Category],MATCH(Loans[[#This Row],[RiskScore]],RiskTbl[Score_Min],1)),"Unknown")</f>
        <v>Low Risk</v>
      </c>
      <c r="S449" t="str">
        <f>IF(OR(Loans[[#This Row],[LoanStatus]]="Default",Loans[[#This Row],[LoanStatus]]="Watchlist",Loans[[#This Row],[CollateralRisk]]="Undersecured",Loans[[#This Row],[RiskCategory]]="High Risk"),"High Risk Exposure","Normal")</f>
        <v>Normal</v>
      </c>
      <c r="T449" t="str" cm="1">
        <f t="array" ref="T449">_xlfn.IFS(
Loans[[#This Row],[LoanStatus]]="Default","Critical",
OR(Loans[[#This Row],[LoanStatus]]="Watchlist",Loans[[#This Row],[CollateralRisk]]="Undersecured",Loans[[#This Row],[RiskCategory]]="High Risk"),"High",
TRUE,"Normal"
)</f>
        <v>Normal</v>
      </c>
    </row>
    <row r="450" spans="1:20" x14ac:dyDescent="0.35">
      <c r="A450" t="s">
        <v>965</v>
      </c>
      <c r="B450" t="s">
        <v>547</v>
      </c>
      <c r="C450" t="s">
        <v>184</v>
      </c>
      <c r="D450" t="s">
        <v>157</v>
      </c>
      <c r="E450" s="34">
        <v>25000000</v>
      </c>
      <c r="F450" s="29">
        <v>0.1103</v>
      </c>
      <c r="G450" s="30">
        <v>44784</v>
      </c>
      <c r="H450">
        <v>12</v>
      </c>
      <c r="I450">
        <v>0</v>
      </c>
      <c r="J450" s="34">
        <v>17750000</v>
      </c>
      <c r="K450" t="s">
        <v>171</v>
      </c>
      <c r="L450" s="34">
        <f>PMT(Loans[[#This Row],[InterestRate]]/12,Loans[[#This Row],[LoanTenureMonths]],-Loans[[#This Row],[LoanAmount]])</f>
        <v>2209891.3166174381</v>
      </c>
      <c r="M450" s="30">
        <f>EDATE(Loans[[#This Row],[LoanStartDate]],Loans[[#This Row],[LoanTenureMonths]])</f>
        <v>45149</v>
      </c>
      <c r="N450" s="33">
        <f>IF(Loans[[#This Row],[LoanAmount]]=0,0,Loans[[#This Row],[CollateralValue]]/Loans[[#This Row],[LoanAmount]])</f>
        <v>0.71</v>
      </c>
      <c r="O450" t="str">
        <f>IF(Loans[[#This Row],[CollateralCoverageRatio]]&lt;1,"Undersecured","Secured")</f>
        <v>Undersecured</v>
      </c>
      <c r="P450" t="str">
        <f>_xlfn.XLOOKUP(Loans[[#This Row],[BranchCode]],BranchesTbl[BranchCode],BranchesTbl[BranchName])</f>
        <v>Kisumu</v>
      </c>
      <c r="Q450">
        <f>_xlfn.XLOOKUP(Loans[[#This Row],[CustomerID]],CustomerTbl[CustomerID],CustomerTbl[RiskScore])</f>
        <v>615</v>
      </c>
      <c r="R450" t="str">
        <f>IFERROR(INDEX(RiskTbl[Risk_Category],MATCH(Loans[[#This Row],[RiskScore]],RiskTbl[Score_Min],1)),"Unknown")</f>
        <v>Medium Risk</v>
      </c>
      <c r="S450" t="str">
        <f>IF(OR(Loans[[#This Row],[LoanStatus]]="Default",Loans[[#This Row],[LoanStatus]]="Watchlist",Loans[[#This Row],[CollateralRisk]]="Undersecured",Loans[[#This Row],[RiskCategory]]="High Risk"),"High Risk Exposure","Normal")</f>
        <v>High Risk Exposure</v>
      </c>
      <c r="T450" t="str" cm="1">
        <f t="array" ref="T450">_xlfn.IFS(
Loans[[#This Row],[LoanStatus]]="Default","Critical",
OR(Loans[[#This Row],[LoanStatus]]="Watchlist",Loans[[#This Row],[CollateralRisk]]="Undersecured",Loans[[#This Row],[RiskCategory]]="High Risk"),"High",
TRUE,"Normal"
)</f>
        <v>High</v>
      </c>
    </row>
    <row r="451" spans="1:20" x14ac:dyDescent="0.35">
      <c r="A451" t="s">
        <v>966</v>
      </c>
      <c r="B451" t="s">
        <v>967</v>
      </c>
      <c r="C451" t="s">
        <v>184</v>
      </c>
      <c r="D451" t="s">
        <v>157</v>
      </c>
      <c r="E451" s="34">
        <v>6000000</v>
      </c>
      <c r="F451" s="29">
        <v>0.1376</v>
      </c>
      <c r="G451" s="30">
        <v>45730</v>
      </c>
      <c r="H451">
        <v>72</v>
      </c>
      <c r="I451">
        <v>10</v>
      </c>
      <c r="J451" s="34">
        <v>3660000</v>
      </c>
      <c r="K451" t="s">
        <v>171</v>
      </c>
      <c r="L451" s="34">
        <f>PMT(Loans[[#This Row],[InterestRate]]/12,Loans[[#This Row],[LoanTenureMonths]],-Loans[[#This Row],[LoanAmount]])</f>
        <v>122864.68419116687</v>
      </c>
      <c r="M451" s="30">
        <f>EDATE(Loans[[#This Row],[LoanStartDate]],Loans[[#This Row],[LoanTenureMonths]])</f>
        <v>47921</v>
      </c>
      <c r="N451" s="33">
        <f>IF(Loans[[#This Row],[LoanAmount]]=0,0,Loans[[#This Row],[CollateralValue]]/Loans[[#This Row],[LoanAmount]])</f>
        <v>0.61</v>
      </c>
      <c r="O451" t="str">
        <f>IF(Loans[[#This Row],[CollateralCoverageRatio]]&lt;1,"Undersecured","Secured")</f>
        <v>Undersecured</v>
      </c>
      <c r="P451" t="str">
        <f>_xlfn.XLOOKUP(Loans[[#This Row],[BranchCode]],BranchesTbl[BranchCode],BranchesTbl[BranchName])</f>
        <v>Kisumu</v>
      </c>
      <c r="Q451">
        <f>_xlfn.XLOOKUP(Loans[[#This Row],[CustomerID]],CustomerTbl[CustomerID],CustomerTbl[RiskScore])</f>
        <v>751</v>
      </c>
      <c r="R451" t="str">
        <f>IFERROR(INDEX(RiskTbl[Risk_Category],MATCH(Loans[[#This Row],[RiskScore]],RiskTbl[Score_Min],1)),"Unknown")</f>
        <v>Very Low Risk</v>
      </c>
      <c r="S451" t="str">
        <f>IF(OR(Loans[[#This Row],[LoanStatus]]="Default",Loans[[#This Row],[LoanStatus]]="Watchlist",Loans[[#This Row],[CollateralRisk]]="Undersecured",Loans[[#This Row],[RiskCategory]]="High Risk"),"High Risk Exposure","Normal")</f>
        <v>High Risk Exposure</v>
      </c>
      <c r="T451" t="str" cm="1">
        <f t="array" ref="T451">_xlfn.IFS(
Loans[[#This Row],[LoanStatus]]="Default","Critical",
OR(Loans[[#This Row],[LoanStatus]]="Watchlist",Loans[[#This Row],[CollateralRisk]]="Undersecured",Loans[[#This Row],[RiskCategory]]="High Risk"),"High",
TRUE,"Normal"
)</f>
        <v>High</v>
      </c>
    </row>
    <row r="452" spans="1:20" x14ac:dyDescent="0.35">
      <c r="A452" t="s">
        <v>968</v>
      </c>
      <c r="B452" t="s">
        <v>883</v>
      </c>
      <c r="C452" t="s">
        <v>239</v>
      </c>
      <c r="D452" t="s">
        <v>156</v>
      </c>
      <c r="E452" s="34">
        <v>1000000</v>
      </c>
      <c r="F452" s="29">
        <v>0.1757</v>
      </c>
      <c r="G452" s="30">
        <v>44903</v>
      </c>
      <c r="H452">
        <v>48</v>
      </c>
      <c r="I452">
        <v>45</v>
      </c>
      <c r="J452" s="34">
        <v>600000</v>
      </c>
      <c r="K452" t="s">
        <v>199</v>
      </c>
      <c r="L452" s="34">
        <f>PMT(Loans[[#This Row],[InterestRate]]/12,Loans[[#This Row],[LoanTenureMonths]],-Loans[[#This Row],[LoanAmount]])</f>
        <v>29150.783405976585</v>
      </c>
      <c r="M452" s="30">
        <f>EDATE(Loans[[#This Row],[LoanStartDate]],Loans[[#This Row],[LoanTenureMonths]])</f>
        <v>46364</v>
      </c>
      <c r="N452" s="33">
        <f>IF(Loans[[#This Row],[LoanAmount]]=0,0,Loans[[#This Row],[CollateralValue]]/Loans[[#This Row],[LoanAmount]])</f>
        <v>0.6</v>
      </c>
      <c r="O452" t="str">
        <f>IF(Loans[[#This Row],[CollateralCoverageRatio]]&lt;1,"Undersecured","Secured")</f>
        <v>Undersecured</v>
      </c>
      <c r="P452" t="str">
        <f>_xlfn.XLOOKUP(Loans[[#This Row],[BranchCode]],BranchesTbl[BranchCode],BranchesTbl[BranchName])</f>
        <v>Machakos</v>
      </c>
      <c r="Q452">
        <f>_xlfn.XLOOKUP(Loans[[#This Row],[CustomerID]],CustomerTbl[CustomerID],CustomerTbl[RiskScore])</f>
        <v>493</v>
      </c>
      <c r="R452" t="str">
        <f>IFERROR(INDEX(RiskTbl[Risk_Category],MATCH(Loans[[#This Row],[RiskScore]],RiskTbl[Score_Min],1)),"Unknown")</f>
        <v>High Risk</v>
      </c>
      <c r="S452" t="str">
        <f>IF(OR(Loans[[#This Row],[LoanStatus]]="Default",Loans[[#This Row],[LoanStatus]]="Watchlist",Loans[[#This Row],[CollateralRisk]]="Undersecured",Loans[[#This Row],[RiskCategory]]="High Risk"),"High Risk Exposure","Normal")</f>
        <v>High Risk Exposure</v>
      </c>
      <c r="T452" t="str" cm="1">
        <f t="array" ref="T452">_xlfn.IFS(
Loans[[#This Row],[LoanStatus]]="Default","Critical",
OR(Loans[[#This Row],[LoanStatus]]="Watchlist",Loans[[#This Row],[CollateralRisk]]="Undersecured",Loans[[#This Row],[RiskCategory]]="High Risk"),"High",
TRUE,"Normal"
)</f>
        <v>High</v>
      </c>
    </row>
    <row r="453" spans="1:20" x14ac:dyDescent="0.35">
      <c r="A453" t="s">
        <v>969</v>
      </c>
      <c r="B453" t="s">
        <v>970</v>
      </c>
      <c r="C453" t="s">
        <v>206</v>
      </c>
      <c r="D453" t="s">
        <v>156</v>
      </c>
      <c r="E453" s="34">
        <v>6000000</v>
      </c>
      <c r="F453" s="29">
        <v>0.15659999999999999</v>
      </c>
      <c r="G453" s="30">
        <v>45083</v>
      </c>
      <c r="H453">
        <v>48</v>
      </c>
      <c r="I453">
        <v>20</v>
      </c>
      <c r="J453" s="34">
        <v>7980000</v>
      </c>
      <c r="K453" t="s">
        <v>171</v>
      </c>
      <c r="L453" s="34">
        <f>PMT(Loans[[#This Row],[InterestRate]]/12,Loans[[#This Row],[LoanTenureMonths]],-Loans[[#This Row],[LoanAmount]])</f>
        <v>168998.70857663773</v>
      </c>
      <c r="M453" s="30">
        <f>EDATE(Loans[[#This Row],[LoanStartDate]],Loans[[#This Row],[LoanTenureMonths]])</f>
        <v>46544</v>
      </c>
      <c r="N453" s="33">
        <f>IF(Loans[[#This Row],[LoanAmount]]=0,0,Loans[[#This Row],[CollateralValue]]/Loans[[#This Row],[LoanAmount]])</f>
        <v>1.33</v>
      </c>
      <c r="O453" t="str">
        <f>IF(Loans[[#This Row],[CollateralCoverageRatio]]&lt;1,"Undersecured","Secured")</f>
        <v>Secured</v>
      </c>
      <c r="P453" t="str">
        <f>_xlfn.XLOOKUP(Loans[[#This Row],[BranchCode]],BranchesTbl[BranchCode],BranchesTbl[BranchName])</f>
        <v>Nyahururu</v>
      </c>
      <c r="Q453">
        <f>_xlfn.XLOOKUP(Loans[[#This Row],[CustomerID]],CustomerTbl[CustomerID],CustomerTbl[RiskScore])</f>
        <v>627</v>
      </c>
      <c r="R453" t="str">
        <f>IFERROR(INDEX(RiskTbl[Risk_Category],MATCH(Loans[[#This Row],[RiskScore]],RiskTbl[Score_Min],1)),"Unknown")</f>
        <v>Medium Risk</v>
      </c>
      <c r="S453" t="str">
        <f>IF(OR(Loans[[#This Row],[LoanStatus]]="Default",Loans[[#This Row],[LoanStatus]]="Watchlist",Loans[[#This Row],[CollateralRisk]]="Undersecured",Loans[[#This Row],[RiskCategory]]="High Risk"),"High Risk Exposure","Normal")</f>
        <v>Normal</v>
      </c>
      <c r="T453" t="str" cm="1">
        <f t="array" ref="T453">_xlfn.IFS(
Loans[[#This Row],[LoanStatus]]="Default","Critical",
OR(Loans[[#This Row],[LoanStatus]]="Watchlist",Loans[[#This Row],[CollateralRisk]]="Undersecured",Loans[[#This Row],[RiskCategory]]="High Risk"),"High",
TRUE,"Normal"
)</f>
        <v>Normal</v>
      </c>
    </row>
    <row r="454" spans="1:20" x14ac:dyDescent="0.35">
      <c r="A454" t="s">
        <v>971</v>
      </c>
      <c r="B454" t="s">
        <v>699</v>
      </c>
      <c r="C454" t="s">
        <v>181</v>
      </c>
      <c r="D454" t="s">
        <v>158</v>
      </c>
      <c r="E454" s="34">
        <v>500000</v>
      </c>
      <c r="F454" s="29">
        <v>0.18410000000000001</v>
      </c>
      <c r="G454" s="30">
        <v>44936</v>
      </c>
      <c r="H454">
        <v>60</v>
      </c>
      <c r="I454">
        <v>45</v>
      </c>
      <c r="J454" s="34">
        <v>680000</v>
      </c>
      <c r="K454" t="s">
        <v>199</v>
      </c>
      <c r="L454" s="34">
        <f>PMT(Loans[[#This Row],[InterestRate]]/12,Loans[[#This Row],[LoanTenureMonths]],-Loans[[#This Row],[LoanAmount]])</f>
        <v>12808.49654409518</v>
      </c>
      <c r="M454" s="30">
        <f>EDATE(Loans[[#This Row],[LoanStartDate]],Loans[[#This Row],[LoanTenureMonths]])</f>
        <v>46762</v>
      </c>
      <c r="N454" s="33">
        <f>IF(Loans[[#This Row],[LoanAmount]]=0,0,Loans[[#This Row],[CollateralValue]]/Loans[[#This Row],[LoanAmount]])</f>
        <v>1.36</v>
      </c>
      <c r="O454" t="str">
        <f>IF(Loans[[#This Row],[CollateralCoverageRatio]]&lt;1,"Undersecured","Secured")</f>
        <v>Secured</v>
      </c>
      <c r="P454" t="str">
        <f>_xlfn.XLOOKUP(Loans[[#This Row],[BranchCode]],BranchesTbl[BranchCode],BranchesTbl[BranchName])</f>
        <v>Kitale</v>
      </c>
      <c r="Q454">
        <f>_xlfn.XLOOKUP(Loans[[#This Row],[CustomerID]],CustomerTbl[CustomerID],CustomerTbl[RiskScore])</f>
        <v>850</v>
      </c>
      <c r="R454" t="str">
        <f>IFERROR(INDEX(RiskTbl[Risk_Category],MATCH(Loans[[#This Row],[RiskScore]],RiskTbl[Score_Min],1)),"Unknown")</f>
        <v>Prime</v>
      </c>
      <c r="S454" t="str">
        <f>IF(OR(Loans[[#This Row],[LoanStatus]]="Default",Loans[[#This Row],[LoanStatus]]="Watchlist",Loans[[#This Row],[CollateralRisk]]="Undersecured",Loans[[#This Row],[RiskCategory]]="High Risk"),"High Risk Exposure","Normal")</f>
        <v>High Risk Exposure</v>
      </c>
      <c r="T454" t="str" cm="1">
        <f t="array" ref="T454">_xlfn.IFS(
Loans[[#This Row],[LoanStatus]]="Default","Critical",
OR(Loans[[#This Row],[LoanStatus]]="Watchlist",Loans[[#This Row],[CollateralRisk]]="Undersecured",Loans[[#This Row],[RiskCategory]]="High Risk"),"High",
TRUE,"Normal"
)</f>
        <v>High</v>
      </c>
    </row>
    <row r="455" spans="1:20" x14ac:dyDescent="0.35">
      <c r="A455" t="s">
        <v>972</v>
      </c>
      <c r="B455" t="s">
        <v>470</v>
      </c>
      <c r="C455" t="s">
        <v>184</v>
      </c>
      <c r="D455" t="s">
        <v>155</v>
      </c>
      <c r="E455" s="34">
        <v>250000</v>
      </c>
      <c r="F455" s="29">
        <v>0.18379999999999999</v>
      </c>
      <c r="G455" s="30">
        <v>45013</v>
      </c>
      <c r="H455">
        <v>72</v>
      </c>
      <c r="I455">
        <v>20</v>
      </c>
      <c r="J455" s="34">
        <v>0</v>
      </c>
      <c r="K455" t="s">
        <v>171</v>
      </c>
      <c r="L455" s="34">
        <f>PMT(Loans[[#This Row],[InterestRate]]/12,Loans[[#This Row],[LoanTenureMonths]],-Loans[[#This Row],[LoanAmount]])</f>
        <v>5755.7834895320511</v>
      </c>
      <c r="M455" s="30">
        <f>EDATE(Loans[[#This Row],[LoanStartDate]],Loans[[#This Row],[LoanTenureMonths]])</f>
        <v>47205</v>
      </c>
      <c r="N455" s="33">
        <f>IF(Loans[[#This Row],[LoanAmount]]=0,0,Loans[[#This Row],[CollateralValue]]/Loans[[#This Row],[LoanAmount]])</f>
        <v>0</v>
      </c>
      <c r="O455" t="str">
        <f>IF(Loans[[#This Row],[CollateralCoverageRatio]]&lt;1,"Undersecured","Secured")</f>
        <v>Undersecured</v>
      </c>
      <c r="P455" t="str">
        <f>_xlfn.XLOOKUP(Loans[[#This Row],[BranchCode]],BranchesTbl[BranchCode],BranchesTbl[BranchName])</f>
        <v>Kisumu</v>
      </c>
      <c r="Q455">
        <f>_xlfn.XLOOKUP(Loans[[#This Row],[CustomerID]],CustomerTbl[CustomerID],CustomerTbl[RiskScore])</f>
        <v>660</v>
      </c>
      <c r="R455" t="str">
        <f>IFERROR(INDEX(RiskTbl[Risk_Category],MATCH(Loans[[#This Row],[RiskScore]],RiskTbl[Score_Min],1)),"Unknown")</f>
        <v>Medium Risk</v>
      </c>
      <c r="S455" t="str">
        <f>IF(OR(Loans[[#This Row],[LoanStatus]]="Default",Loans[[#This Row],[LoanStatus]]="Watchlist",Loans[[#This Row],[CollateralRisk]]="Undersecured",Loans[[#This Row],[RiskCategory]]="High Risk"),"High Risk Exposure","Normal")</f>
        <v>High Risk Exposure</v>
      </c>
      <c r="T455" t="str" cm="1">
        <f t="array" ref="T455">_xlfn.IFS(
Loans[[#This Row],[LoanStatus]]="Default","Critical",
OR(Loans[[#This Row],[LoanStatus]]="Watchlist",Loans[[#This Row],[CollateralRisk]]="Undersecured",Loans[[#This Row],[RiskCategory]]="High Risk"),"High",
TRUE,"Normal"
)</f>
        <v>High</v>
      </c>
    </row>
    <row r="456" spans="1:20" x14ac:dyDescent="0.35">
      <c r="A456" t="s">
        <v>973</v>
      </c>
      <c r="B456" t="s">
        <v>312</v>
      </c>
      <c r="C456" t="s">
        <v>181</v>
      </c>
      <c r="D456" t="s">
        <v>158</v>
      </c>
      <c r="E456" s="34">
        <v>6000000</v>
      </c>
      <c r="F456" s="29">
        <v>0.14779999999999999</v>
      </c>
      <c r="G456" s="30">
        <v>44565</v>
      </c>
      <c r="H456">
        <v>48</v>
      </c>
      <c r="I456">
        <v>45</v>
      </c>
      <c r="J456" s="34">
        <v>3000000</v>
      </c>
      <c r="K456" t="s">
        <v>199</v>
      </c>
      <c r="L456" s="34">
        <f>PMT(Loans[[#This Row],[InterestRate]]/12,Loans[[#This Row],[LoanTenureMonths]],-Loans[[#This Row],[LoanAmount]])</f>
        <v>166316.1361209751</v>
      </c>
      <c r="M456" s="30">
        <f>EDATE(Loans[[#This Row],[LoanStartDate]],Loans[[#This Row],[LoanTenureMonths]])</f>
        <v>46026</v>
      </c>
      <c r="N456" s="33">
        <f>IF(Loans[[#This Row],[LoanAmount]]=0,0,Loans[[#This Row],[CollateralValue]]/Loans[[#This Row],[LoanAmount]])</f>
        <v>0.5</v>
      </c>
      <c r="O456" t="str">
        <f>IF(Loans[[#This Row],[CollateralCoverageRatio]]&lt;1,"Undersecured","Secured")</f>
        <v>Undersecured</v>
      </c>
      <c r="P456" t="str">
        <f>_xlfn.XLOOKUP(Loans[[#This Row],[BranchCode]],BranchesTbl[BranchCode],BranchesTbl[BranchName])</f>
        <v>Kitale</v>
      </c>
      <c r="Q456">
        <f>_xlfn.XLOOKUP(Loans[[#This Row],[CustomerID]],CustomerTbl[CustomerID],CustomerTbl[RiskScore])</f>
        <v>780</v>
      </c>
      <c r="R456" t="str">
        <f>IFERROR(INDEX(RiskTbl[Risk_Category],MATCH(Loans[[#This Row],[RiskScore]],RiskTbl[Score_Min],1)),"Unknown")</f>
        <v>Very Low Risk</v>
      </c>
      <c r="S456" t="str">
        <f>IF(OR(Loans[[#This Row],[LoanStatus]]="Default",Loans[[#This Row],[LoanStatus]]="Watchlist",Loans[[#This Row],[CollateralRisk]]="Undersecured",Loans[[#This Row],[RiskCategory]]="High Risk"),"High Risk Exposure","Normal")</f>
        <v>High Risk Exposure</v>
      </c>
      <c r="T456" t="str" cm="1">
        <f t="array" ref="T456">_xlfn.IFS(
Loans[[#This Row],[LoanStatus]]="Default","Critical",
OR(Loans[[#This Row],[LoanStatus]]="Watchlist",Loans[[#This Row],[CollateralRisk]]="Undersecured",Loans[[#This Row],[RiskCategory]]="High Risk"),"High",
TRUE,"Normal"
)</f>
        <v>High</v>
      </c>
    </row>
    <row r="457" spans="1:20" x14ac:dyDescent="0.35">
      <c r="A457" t="s">
        <v>974</v>
      </c>
      <c r="B457" t="s">
        <v>205</v>
      </c>
      <c r="C457" t="s">
        <v>206</v>
      </c>
      <c r="D457" t="s">
        <v>156</v>
      </c>
      <c r="E457" s="34">
        <v>3000000</v>
      </c>
      <c r="F457" s="29">
        <v>0.16109999999999999</v>
      </c>
      <c r="G457" s="30">
        <v>44219</v>
      </c>
      <c r="H457">
        <v>48</v>
      </c>
      <c r="I457">
        <v>0</v>
      </c>
      <c r="J457" s="34">
        <v>3930000</v>
      </c>
      <c r="K457" t="s">
        <v>171</v>
      </c>
      <c r="L457" s="34">
        <f>PMT(Loans[[#This Row],[InterestRate]]/12,Loans[[#This Row],[LoanTenureMonths]],-Loans[[#This Row],[LoanAmount]])</f>
        <v>85189.947604283472</v>
      </c>
      <c r="M457" s="30">
        <f>EDATE(Loans[[#This Row],[LoanStartDate]],Loans[[#This Row],[LoanTenureMonths]])</f>
        <v>45680</v>
      </c>
      <c r="N457" s="33">
        <f>IF(Loans[[#This Row],[LoanAmount]]=0,0,Loans[[#This Row],[CollateralValue]]/Loans[[#This Row],[LoanAmount]])</f>
        <v>1.31</v>
      </c>
      <c r="O457" t="str">
        <f>IF(Loans[[#This Row],[CollateralCoverageRatio]]&lt;1,"Undersecured","Secured")</f>
        <v>Secured</v>
      </c>
      <c r="P457" t="str">
        <f>_xlfn.XLOOKUP(Loans[[#This Row],[BranchCode]],BranchesTbl[BranchCode],BranchesTbl[BranchName])</f>
        <v>Nyahururu</v>
      </c>
      <c r="Q457">
        <f>_xlfn.XLOOKUP(Loans[[#This Row],[CustomerID]],CustomerTbl[CustomerID],CustomerTbl[RiskScore])</f>
        <v>330</v>
      </c>
      <c r="R457" t="str">
        <f>IFERROR(INDEX(RiskTbl[Risk_Category],MATCH(Loans[[#This Row],[RiskScore]],RiskTbl[Score_Min],1)),"Unknown")</f>
        <v>High Risk</v>
      </c>
      <c r="S457" t="str">
        <f>IF(OR(Loans[[#This Row],[LoanStatus]]="Default",Loans[[#This Row],[LoanStatus]]="Watchlist",Loans[[#This Row],[CollateralRisk]]="Undersecured",Loans[[#This Row],[RiskCategory]]="High Risk"),"High Risk Exposure","Normal")</f>
        <v>High Risk Exposure</v>
      </c>
      <c r="T457" t="str" cm="1">
        <f t="array" ref="T457">_xlfn.IFS(
Loans[[#This Row],[LoanStatus]]="Default","Critical",
OR(Loans[[#This Row],[LoanStatus]]="Watchlist",Loans[[#This Row],[CollateralRisk]]="Undersecured",Loans[[#This Row],[RiskCategory]]="High Risk"),"High",
TRUE,"Normal"
)</f>
        <v>High</v>
      </c>
    </row>
    <row r="458" spans="1:20" x14ac:dyDescent="0.35">
      <c r="A458" t="s">
        <v>975</v>
      </c>
      <c r="B458" t="s">
        <v>203</v>
      </c>
      <c r="C458" t="s">
        <v>170</v>
      </c>
      <c r="D458" t="s">
        <v>158</v>
      </c>
      <c r="E458" s="34">
        <v>500000</v>
      </c>
      <c r="F458" s="29">
        <v>0.14680000000000001</v>
      </c>
      <c r="G458" s="30">
        <v>44664</v>
      </c>
      <c r="H458">
        <v>72</v>
      </c>
      <c r="I458">
        <v>0</v>
      </c>
      <c r="J458" s="34">
        <v>470000</v>
      </c>
      <c r="K458" t="s">
        <v>171</v>
      </c>
      <c r="L458" s="34">
        <f>PMT(Loans[[#This Row],[InterestRate]]/12,Loans[[#This Row],[LoanTenureMonths]],-Loans[[#This Row],[LoanAmount]])</f>
        <v>10485.809842307595</v>
      </c>
      <c r="M458" s="30">
        <f>EDATE(Loans[[#This Row],[LoanStartDate]],Loans[[#This Row],[LoanTenureMonths]])</f>
        <v>46856</v>
      </c>
      <c r="N458" s="33">
        <f>IF(Loans[[#This Row],[LoanAmount]]=0,0,Loans[[#This Row],[CollateralValue]]/Loans[[#This Row],[LoanAmount]])</f>
        <v>0.94</v>
      </c>
      <c r="O458" t="str">
        <f>IF(Loans[[#This Row],[CollateralCoverageRatio]]&lt;1,"Undersecured","Secured")</f>
        <v>Undersecured</v>
      </c>
      <c r="P458" t="str">
        <f>_xlfn.XLOOKUP(Loans[[#This Row],[BranchCode]],BranchesTbl[BranchCode],BranchesTbl[BranchName])</f>
        <v>Thika</v>
      </c>
      <c r="Q458">
        <f>_xlfn.XLOOKUP(Loans[[#This Row],[CustomerID]],CustomerTbl[CustomerID],CustomerTbl[RiskScore])</f>
        <v>323</v>
      </c>
      <c r="R458" t="str">
        <f>IFERROR(INDEX(RiskTbl[Risk_Category],MATCH(Loans[[#This Row],[RiskScore]],RiskTbl[Score_Min],1)),"Unknown")</f>
        <v>High Risk</v>
      </c>
      <c r="S458" t="str">
        <f>IF(OR(Loans[[#This Row],[LoanStatus]]="Default",Loans[[#This Row],[LoanStatus]]="Watchlist",Loans[[#This Row],[CollateralRisk]]="Undersecured",Loans[[#This Row],[RiskCategory]]="High Risk"),"High Risk Exposure","Normal")</f>
        <v>High Risk Exposure</v>
      </c>
      <c r="T458" t="str" cm="1">
        <f t="array" ref="T458">_xlfn.IFS(
Loans[[#This Row],[LoanStatus]]="Default","Critical",
OR(Loans[[#This Row],[LoanStatus]]="Watchlist",Loans[[#This Row],[CollateralRisk]]="Undersecured",Loans[[#This Row],[RiskCategory]]="High Risk"),"High",
TRUE,"Normal"
)</f>
        <v>High</v>
      </c>
    </row>
    <row r="459" spans="1:20" x14ac:dyDescent="0.35">
      <c r="A459" t="s">
        <v>976</v>
      </c>
      <c r="B459" t="s">
        <v>608</v>
      </c>
      <c r="C459" t="s">
        <v>267</v>
      </c>
      <c r="D459" t="s">
        <v>157</v>
      </c>
      <c r="E459" s="34">
        <v>25000000</v>
      </c>
      <c r="F459" s="29">
        <v>9.4700000000000006E-2</v>
      </c>
      <c r="G459" s="30">
        <v>45237</v>
      </c>
      <c r="H459">
        <v>48</v>
      </c>
      <c r="I459">
        <v>0</v>
      </c>
      <c r="J459" s="34">
        <v>21000000</v>
      </c>
      <c r="K459" t="s">
        <v>171</v>
      </c>
      <c r="L459" s="34">
        <f>PMT(Loans[[#This Row],[InterestRate]]/12,Loans[[#This Row],[LoanTenureMonths]],-Loans[[#This Row],[LoanAmount]])</f>
        <v>627720.32112562167</v>
      </c>
      <c r="M459" s="30">
        <f>EDATE(Loans[[#This Row],[LoanStartDate]],Loans[[#This Row],[LoanTenureMonths]])</f>
        <v>46698</v>
      </c>
      <c r="N459" s="33">
        <f>IF(Loans[[#This Row],[LoanAmount]]=0,0,Loans[[#This Row],[CollateralValue]]/Loans[[#This Row],[LoanAmount]])</f>
        <v>0.84</v>
      </c>
      <c r="O459" t="str">
        <f>IF(Loans[[#This Row],[CollateralCoverageRatio]]&lt;1,"Undersecured","Secured")</f>
        <v>Undersecured</v>
      </c>
      <c r="P459" t="str">
        <f>_xlfn.XLOOKUP(Loans[[#This Row],[BranchCode]],BranchesTbl[BranchCode],BranchesTbl[BranchName])</f>
        <v>Malindi</v>
      </c>
      <c r="Q459">
        <f>_xlfn.XLOOKUP(Loans[[#This Row],[CustomerID]],CustomerTbl[CustomerID],CustomerTbl[RiskScore])</f>
        <v>557</v>
      </c>
      <c r="R459" t="str">
        <f>IFERROR(INDEX(RiskTbl[Risk_Category],MATCH(Loans[[#This Row],[RiskScore]],RiskTbl[Score_Min],1)),"Unknown")</f>
        <v>High Risk</v>
      </c>
      <c r="S459" t="str">
        <f>IF(OR(Loans[[#This Row],[LoanStatus]]="Default",Loans[[#This Row],[LoanStatus]]="Watchlist",Loans[[#This Row],[CollateralRisk]]="Undersecured",Loans[[#This Row],[RiskCategory]]="High Risk"),"High Risk Exposure","Normal")</f>
        <v>High Risk Exposure</v>
      </c>
      <c r="T459" t="str" cm="1">
        <f t="array" ref="T459">_xlfn.IFS(
Loans[[#This Row],[LoanStatus]]="Default","Critical",
OR(Loans[[#This Row],[LoanStatus]]="Watchlist",Loans[[#This Row],[CollateralRisk]]="Undersecured",Loans[[#This Row],[RiskCategory]]="High Risk"),"High",
TRUE,"Normal"
)</f>
        <v>High</v>
      </c>
    </row>
    <row r="460" spans="1:20" x14ac:dyDescent="0.35">
      <c r="A460" t="s">
        <v>977</v>
      </c>
      <c r="B460" t="s">
        <v>978</v>
      </c>
      <c r="C460" t="s">
        <v>270</v>
      </c>
      <c r="D460" t="s">
        <v>156</v>
      </c>
      <c r="E460" s="34">
        <v>1000000</v>
      </c>
      <c r="F460" s="29">
        <v>0.2364</v>
      </c>
      <c r="G460" s="30">
        <v>44404</v>
      </c>
      <c r="H460">
        <v>48</v>
      </c>
      <c r="I460">
        <v>0</v>
      </c>
      <c r="J460" s="34">
        <v>730000</v>
      </c>
      <c r="K460" t="s">
        <v>171</v>
      </c>
      <c r="L460" s="34">
        <f>PMT(Loans[[#This Row],[InterestRate]]/12,Loans[[#This Row],[LoanTenureMonths]],-Loans[[#This Row],[LoanAmount]])</f>
        <v>32403.134526842357</v>
      </c>
      <c r="M460" s="30">
        <f>EDATE(Loans[[#This Row],[LoanStartDate]],Loans[[#This Row],[LoanTenureMonths]])</f>
        <v>45865</v>
      </c>
      <c r="N460" s="33">
        <f>IF(Loans[[#This Row],[LoanAmount]]=0,0,Loans[[#This Row],[CollateralValue]]/Loans[[#This Row],[LoanAmount]])</f>
        <v>0.73</v>
      </c>
      <c r="O460" t="str">
        <f>IF(Loans[[#This Row],[CollateralCoverageRatio]]&lt;1,"Undersecured","Secured")</f>
        <v>Undersecured</v>
      </c>
      <c r="P460" t="str">
        <f>_xlfn.XLOOKUP(Loans[[#This Row],[BranchCode]],BranchesTbl[BranchCode],BranchesTbl[BranchName])</f>
        <v>Nakuru</v>
      </c>
      <c r="Q460">
        <f>_xlfn.XLOOKUP(Loans[[#This Row],[CustomerID]],CustomerTbl[CustomerID],CustomerTbl[RiskScore])</f>
        <v>775</v>
      </c>
      <c r="R460" t="str">
        <f>IFERROR(INDEX(RiskTbl[Risk_Category],MATCH(Loans[[#This Row],[RiskScore]],RiskTbl[Score_Min],1)),"Unknown")</f>
        <v>Very Low Risk</v>
      </c>
      <c r="S460" t="str">
        <f>IF(OR(Loans[[#This Row],[LoanStatus]]="Default",Loans[[#This Row],[LoanStatus]]="Watchlist",Loans[[#This Row],[CollateralRisk]]="Undersecured",Loans[[#This Row],[RiskCategory]]="High Risk"),"High Risk Exposure","Normal")</f>
        <v>High Risk Exposure</v>
      </c>
      <c r="T460" t="str" cm="1">
        <f t="array" ref="T460">_xlfn.IFS(
Loans[[#This Row],[LoanStatus]]="Default","Critical",
OR(Loans[[#This Row],[LoanStatus]]="Watchlist",Loans[[#This Row],[CollateralRisk]]="Undersecured",Loans[[#This Row],[RiskCategory]]="High Risk"),"High",
TRUE,"Normal"
)</f>
        <v>High</v>
      </c>
    </row>
    <row r="461" spans="1:20" x14ac:dyDescent="0.35">
      <c r="A461" t="s">
        <v>979</v>
      </c>
      <c r="B461" t="s">
        <v>468</v>
      </c>
      <c r="C461" t="s">
        <v>177</v>
      </c>
      <c r="D461" t="s">
        <v>157</v>
      </c>
      <c r="E461" s="34">
        <v>6000000</v>
      </c>
      <c r="F461" s="29">
        <v>0.1052</v>
      </c>
      <c r="G461" s="30">
        <v>44344</v>
      </c>
      <c r="H461">
        <v>60</v>
      </c>
      <c r="I461">
        <v>45</v>
      </c>
      <c r="J461" s="34">
        <v>6000000</v>
      </c>
      <c r="K461" t="s">
        <v>199</v>
      </c>
      <c r="L461" s="34">
        <f>PMT(Loans[[#This Row],[InterestRate]]/12,Loans[[#This Row],[LoanTenureMonths]],-Loans[[#This Row],[LoanAmount]])</f>
        <v>129022.85588670548</v>
      </c>
      <c r="M461" s="30">
        <f>EDATE(Loans[[#This Row],[LoanStartDate]],Loans[[#This Row],[LoanTenureMonths]])</f>
        <v>46170</v>
      </c>
      <c r="N461" s="33">
        <f>IF(Loans[[#This Row],[LoanAmount]]=0,0,Loans[[#This Row],[CollateralValue]]/Loans[[#This Row],[LoanAmount]])</f>
        <v>1</v>
      </c>
      <c r="O461" t="str">
        <f>IF(Loans[[#This Row],[CollateralCoverageRatio]]&lt;1,"Undersecured","Secured")</f>
        <v>Secured</v>
      </c>
      <c r="P461" t="str">
        <f>_xlfn.XLOOKUP(Loans[[#This Row],[BranchCode]],BranchesTbl[BranchCode],BranchesTbl[BranchName])</f>
        <v>Naivasha</v>
      </c>
      <c r="Q461">
        <f>_xlfn.XLOOKUP(Loans[[#This Row],[CustomerID]],CustomerTbl[CustomerID],CustomerTbl[RiskScore])</f>
        <v>487</v>
      </c>
      <c r="R461" t="str">
        <f>IFERROR(INDEX(RiskTbl[Risk_Category],MATCH(Loans[[#This Row],[RiskScore]],RiskTbl[Score_Min],1)),"Unknown")</f>
        <v>High Risk</v>
      </c>
      <c r="S461" t="str">
        <f>IF(OR(Loans[[#This Row],[LoanStatus]]="Default",Loans[[#This Row],[LoanStatus]]="Watchlist",Loans[[#This Row],[CollateralRisk]]="Undersecured",Loans[[#This Row],[RiskCategory]]="High Risk"),"High Risk Exposure","Normal")</f>
        <v>High Risk Exposure</v>
      </c>
      <c r="T461" t="str" cm="1">
        <f t="array" ref="T461">_xlfn.IFS(
Loans[[#This Row],[LoanStatus]]="Default","Critical",
OR(Loans[[#This Row],[LoanStatus]]="Watchlist",Loans[[#This Row],[CollateralRisk]]="Undersecured",Loans[[#This Row],[RiskCategory]]="High Risk"),"High",
TRUE,"Normal"
)</f>
        <v>High</v>
      </c>
    </row>
    <row r="462" spans="1:20" x14ac:dyDescent="0.35">
      <c r="A462" t="s">
        <v>980</v>
      </c>
      <c r="B462" t="s">
        <v>981</v>
      </c>
      <c r="C462" t="s">
        <v>177</v>
      </c>
      <c r="D462" t="s">
        <v>155</v>
      </c>
      <c r="E462" s="34">
        <v>100000</v>
      </c>
      <c r="F462" s="29">
        <v>0.21879999999999999</v>
      </c>
      <c r="G462" s="30">
        <v>45132</v>
      </c>
      <c r="H462">
        <v>72</v>
      </c>
      <c r="I462">
        <v>0</v>
      </c>
      <c r="J462" s="34">
        <v>0</v>
      </c>
      <c r="K462" t="s">
        <v>171</v>
      </c>
      <c r="L462" s="34">
        <f>PMT(Loans[[#This Row],[InterestRate]]/12,Loans[[#This Row],[LoanTenureMonths]],-Loans[[#This Row],[LoanAmount]])</f>
        <v>2505.4947749867119</v>
      </c>
      <c r="M462" s="30">
        <f>EDATE(Loans[[#This Row],[LoanStartDate]],Loans[[#This Row],[LoanTenureMonths]])</f>
        <v>47324</v>
      </c>
      <c r="N462" s="33">
        <f>IF(Loans[[#This Row],[LoanAmount]]=0,0,Loans[[#This Row],[CollateralValue]]/Loans[[#This Row],[LoanAmount]])</f>
        <v>0</v>
      </c>
      <c r="O462" t="str">
        <f>IF(Loans[[#This Row],[CollateralCoverageRatio]]&lt;1,"Undersecured","Secured")</f>
        <v>Undersecured</v>
      </c>
      <c r="P462" t="str">
        <f>_xlfn.XLOOKUP(Loans[[#This Row],[BranchCode]],BranchesTbl[BranchCode],BranchesTbl[BranchName])</f>
        <v>Naivasha</v>
      </c>
      <c r="Q462">
        <f>_xlfn.XLOOKUP(Loans[[#This Row],[CustomerID]],CustomerTbl[CustomerID],CustomerTbl[RiskScore])</f>
        <v>450</v>
      </c>
      <c r="R462" t="str">
        <f>IFERROR(INDEX(RiskTbl[Risk_Category],MATCH(Loans[[#This Row],[RiskScore]],RiskTbl[Score_Min],1)),"Unknown")</f>
        <v>High Risk</v>
      </c>
      <c r="S462" t="str">
        <f>IF(OR(Loans[[#This Row],[LoanStatus]]="Default",Loans[[#This Row],[LoanStatus]]="Watchlist",Loans[[#This Row],[CollateralRisk]]="Undersecured",Loans[[#This Row],[RiskCategory]]="High Risk"),"High Risk Exposure","Normal")</f>
        <v>High Risk Exposure</v>
      </c>
      <c r="T462" t="str" cm="1">
        <f t="array" ref="T462">_xlfn.IFS(
Loans[[#This Row],[LoanStatus]]="Default","Critical",
OR(Loans[[#This Row],[LoanStatus]]="Watchlist",Loans[[#This Row],[CollateralRisk]]="Undersecured",Loans[[#This Row],[RiskCategory]]="High Risk"),"High",
TRUE,"Normal"
)</f>
        <v>High</v>
      </c>
    </row>
    <row r="463" spans="1:20" x14ac:dyDescent="0.35">
      <c r="A463" t="s">
        <v>982</v>
      </c>
      <c r="B463" t="s">
        <v>983</v>
      </c>
      <c r="C463" t="s">
        <v>190</v>
      </c>
      <c r="D463" t="s">
        <v>157</v>
      </c>
      <c r="E463" s="34">
        <v>80000000</v>
      </c>
      <c r="F463" s="29">
        <v>0.13489999999999999</v>
      </c>
      <c r="G463" s="30">
        <v>44769</v>
      </c>
      <c r="H463">
        <v>24</v>
      </c>
      <c r="I463">
        <v>120</v>
      </c>
      <c r="J463" s="34">
        <v>97600000</v>
      </c>
      <c r="K463" t="s">
        <v>178</v>
      </c>
      <c r="L463" s="34">
        <f>PMT(Loans[[#This Row],[InterestRate]]/12,Loans[[#This Row],[LoanTenureMonths]],-Loans[[#This Row],[LoanAmount]])</f>
        <v>3821784.3239256679</v>
      </c>
      <c r="M463" s="30">
        <f>EDATE(Loans[[#This Row],[LoanStartDate]],Loans[[#This Row],[LoanTenureMonths]])</f>
        <v>45500</v>
      </c>
      <c r="N463" s="33">
        <f>IF(Loans[[#This Row],[LoanAmount]]=0,0,Loans[[#This Row],[CollateralValue]]/Loans[[#This Row],[LoanAmount]])</f>
        <v>1.22</v>
      </c>
      <c r="O463" t="str">
        <f>IF(Loans[[#This Row],[CollateralCoverageRatio]]&lt;1,"Undersecured","Secured")</f>
        <v>Secured</v>
      </c>
      <c r="P463" t="str">
        <f>_xlfn.XLOOKUP(Loans[[#This Row],[BranchCode]],BranchesTbl[BranchCode],BranchesTbl[BranchName])</f>
        <v>Nyeri</v>
      </c>
      <c r="Q463">
        <f>_xlfn.XLOOKUP(Loans[[#This Row],[CustomerID]],CustomerTbl[CustomerID],CustomerTbl[RiskScore])</f>
        <v>368</v>
      </c>
      <c r="R463" t="str">
        <f>IFERROR(INDEX(RiskTbl[Risk_Category],MATCH(Loans[[#This Row],[RiskScore]],RiskTbl[Score_Min],1)),"Unknown")</f>
        <v>High Risk</v>
      </c>
      <c r="S463" t="str">
        <f>IF(OR(Loans[[#This Row],[LoanStatus]]="Default",Loans[[#This Row],[LoanStatus]]="Watchlist",Loans[[#This Row],[CollateralRisk]]="Undersecured",Loans[[#This Row],[RiskCategory]]="High Risk"),"High Risk Exposure","Normal")</f>
        <v>High Risk Exposure</v>
      </c>
      <c r="T463" t="str" cm="1">
        <f t="array" ref="T463">_xlfn.IFS(
Loans[[#This Row],[LoanStatus]]="Default","Critical",
OR(Loans[[#This Row],[LoanStatus]]="Watchlist",Loans[[#This Row],[CollateralRisk]]="Undersecured",Loans[[#This Row],[RiskCategory]]="High Risk"),"High",
TRUE,"Normal"
)</f>
        <v>Critical</v>
      </c>
    </row>
    <row r="464" spans="1:20" x14ac:dyDescent="0.35">
      <c r="A464" t="s">
        <v>984</v>
      </c>
      <c r="B464" t="s">
        <v>865</v>
      </c>
      <c r="C464" t="s">
        <v>196</v>
      </c>
      <c r="D464" t="s">
        <v>157</v>
      </c>
      <c r="E464" s="34">
        <v>6000000</v>
      </c>
      <c r="F464" s="29">
        <v>0.1343</v>
      </c>
      <c r="G464" s="30">
        <v>43884</v>
      </c>
      <c r="H464">
        <v>72</v>
      </c>
      <c r="I464">
        <v>0</v>
      </c>
      <c r="J464" s="34">
        <v>3600000</v>
      </c>
      <c r="K464" t="s">
        <v>171</v>
      </c>
      <c r="L464" s="34">
        <f>PMT(Loans[[#This Row],[InterestRate]]/12,Loans[[#This Row],[LoanTenureMonths]],-Loans[[#This Row],[LoanAmount]])</f>
        <v>121810.59814958536</v>
      </c>
      <c r="M464" s="30">
        <f>EDATE(Loans[[#This Row],[LoanStartDate]],Loans[[#This Row],[LoanTenureMonths]])</f>
        <v>46076</v>
      </c>
      <c r="N464" s="33">
        <f>IF(Loans[[#This Row],[LoanAmount]]=0,0,Loans[[#This Row],[CollateralValue]]/Loans[[#This Row],[LoanAmount]])</f>
        <v>0.6</v>
      </c>
      <c r="O464" t="str">
        <f>IF(Loans[[#This Row],[CollateralCoverageRatio]]&lt;1,"Undersecured","Secured")</f>
        <v>Undersecured</v>
      </c>
      <c r="P464" t="str">
        <f>_xlfn.XLOOKUP(Loans[[#This Row],[BranchCode]],BranchesTbl[BranchCode],BranchesTbl[BranchName])</f>
        <v>Karen</v>
      </c>
      <c r="Q464">
        <f>_xlfn.XLOOKUP(Loans[[#This Row],[CustomerID]],CustomerTbl[CustomerID],CustomerTbl[RiskScore])</f>
        <v>821</v>
      </c>
      <c r="R464" t="str">
        <f>IFERROR(INDEX(RiskTbl[Risk_Category],MATCH(Loans[[#This Row],[RiskScore]],RiskTbl[Score_Min],1)),"Unknown")</f>
        <v>Prime</v>
      </c>
      <c r="S464" t="str">
        <f>IF(OR(Loans[[#This Row],[LoanStatus]]="Default",Loans[[#This Row],[LoanStatus]]="Watchlist",Loans[[#This Row],[CollateralRisk]]="Undersecured",Loans[[#This Row],[RiskCategory]]="High Risk"),"High Risk Exposure","Normal")</f>
        <v>High Risk Exposure</v>
      </c>
      <c r="T464" t="str" cm="1">
        <f t="array" ref="T464">_xlfn.IFS(
Loans[[#This Row],[LoanStatus]]="Default","Critical",
OR(Loans[[#This Row],[LoanStatus]]="Watchlist",Loans[[#This Row],[CollateralRisk]]="Undersecured",Loans[[#This Row],[RiskCategory]]="High Risk"),"High",
TRUE,"Normal"
)</f>
        <v>High</v>
      </c>
    </row>
    <row r="465" spans="1:20" x14ac:dyDescent="0.35">
      <c r="A465" t="s">
        <v>985</v>
      </c>
      <c r="B465" t="s">
        <v>353</v>
      </c>
      <c r="C465" t="s">
        <v>270</v>
      </c>
      <c r="D465" t="s">
        <v>157</v>
      </c>
      <c r="E465" s="34">
        <v>80000000</v>
      </c>
      <c r="F465" s="29">
        <v>0.1305</v>
      </c>
      <c r="G465" s="30">
        <v>45631</v>
      </c>
      <c r="H465">
        <v>72</v>
      </c>
      <c r="I465">
        <v>5</v>
      </c>
      <c r="J465" s="34">
        <v>43200000</v>
      </c>
      <c r="K465" t="s">
        <v>171</v>
      </c>
      <c r="L465" s="34">
        <f>PMT(Loans[[#This Row],[InterestRate]]/12,Loans[[#This Row],[LoanTenureMonths]],-Loans[[#This Row],[LoanAmount]])</f>
        <v>1608040.335769213</v>
      </c>
      <c r="M465" s="30">
        <f>EDATE(Loans[[#This Row],[LoanStartDate]],Loans[[#This Row],[LoanTenureMonths]])</f>
        <v>47822</v>
      </c>
      <c r="N465" s="33">
        <f>IF(Loans[[#This Row],[LoanAmount]]=0,0,Loans[[#This Row],[CollateralValue]]/Loans[[#This Row],[LoanAmount]])</f>
        <v>0.54</v>
      </c>
      <c r="O465" t="str">
        <f>IF(Loans[[#This Row],[CollateralCoverageRatio]]&lt;1,"Undersecured","Secured")</f>
        <v>Undersecured</v>
      </c>
      <c r="P465" t="str">
        <f>_xlfn.XLOOKUP(Loans[[#This Row],[BranchCode]],BranchesTbl[BranchCode],BranchesTbl[BranchName])</f>
        <v>Nakuru</v>
      </c>
      <c r="Q465">
        <f>_xlfn.XLOOKUP(Loans[[#This Row],[CustomerID]],CustomerTbl[CustomerID],CustomerTbl[RiskScore])</f>
        <v>402</v>
      </c>
      <c r="R465" t="str">
        <f>IFERROR(INDEX(RiskTbl[Risk_Category],MATCH(Loans[[#This Row],[RiskScore]],RiskTbl[Score_Min],1)),"Unknown")</f>
        <v>High Risk</v>
      </c>
      <c r="S465" t="str">
        <f>IF(OR(Loans[[#This Row],[LoanStatus]]="Default",Loans[[#This Row],[LoanStatus]]="Watchlist",Loans[[#This Row],[CollateralRisk]]="Undersecured",Loans[[#This Row],[RiskCategory]]="High Risk"),"High Risk Exposure","Normal")</f>
        <v>High Risk Exposure</v>
      </c>
      <c r="T465" t="str" cm="1">
        <f t="array" ref="T465">_xlfn.IFS(
Loans[[#This Row],[LoanStatus]]="Default","Critical",
OR(Loans[[#This Row],[LoanStatus]]="Watchlist",Loans[[#This Row],[CollateralRisk]]="Undersecured",Loans[[#This Row],[RiskCategory]]="High Risk"),"High",
TRUE,"Normal"
)</f>
        <v>High</v>
      </c>
    </row>
    <row r="466" spans="1:20" x14ac:dyDescent="0.35">
      <c r="A466" t="s">
        <v>986</v>
      </c>
      <c r="B466" t="s">
        <v>800</v>
      </c>
      <c r="C466" t="s">
        <v>206</v>
      </c>
      <c r="D466" t="s">
        <v>157</v>
      </c>
      <c r="E466" s="34">
        <v>25000000</v>
      </c>
      <c r="F466" s="29">
        <v>9.2899999999999996E-2</v>
      </c>
      <c r="G466" s="30">
        <v>43978</v>
      </c>
      <c r="H466">
        <v>36</v>
      </c>
      <c r="I466">
        <v>0</v>
      </c>
      <c r="J466" s="34">
        <v>26750000</v>
      </c>
      <c r="K466" t="s">
        <v>171</v>
      </c>
      <c r="L466" s="34">
        <f>PMT(Loans[[#This Row],[InterestRate]]/12,Loans[[#This Row],[LoanTenureMonths]],-Loans[[#This Row],[LoanAmount]])</f>
        <v>798371.85499128746</v>
      </c>
      <c r="M466" s="30">
        <f>EDATE(Loans[[#This Row],[LoanStartDate]],Loans[[#This Row],[LoanTenureMonths]])</f>
        <v>45073</v>
      </c>
      <c r="N466" s="33">
        <f>IF(Loans[[#This Row],[LoanAmount]]=0,0,Loans[[#This Row],[CollateralValue]]/Loans[[#This Row],[LoanAmount]])</f>
        <v>1.07</v>
      </c>
      <c r="O466" t="str">
        <f>IF(Loans[[#This Row],[CollateralCoverageRatio]]&lt;1,"Undersecured","Secured")</f>
        <v>Secured</v>
      </c>
      <c r="P466" t="str">
        <f>_xlfn.XLOOKUP(Loans[[#This Row],[BranchCode]],BranchesTbl[BranchCode],BranchesTbl[BranchName])</f>
        <v>Nyahururu</v>
      </c>
      <c r="Q466">
        <f>_xlfn.XLOOKUP(Loans[[#This Row],[CustomerID]],CustomerTbl[CustomerID],CustomerTbl[RiskScore])</f>
        <v>305</v>
      </c>
      <c r="R466" t="str">
        <f>IFERROR(INDEX(RiskTbl[Risk_Category],MATCH(Loans[[#This Row],[RiskScore]],RiskTbl[Score_Min],1)),"Unknown")</f>
        <v>High Risk</v>
      </c>
      <c r="S466" t="str">
        <f>IF(OR(Loans[[#This Row],[LoanStatus]]="Default",Loans[[#This Row],[LoanStatus]]="Watchlist",Loans[[#This Row],[CollateralRisk]]="Undersecured",Loans[[#This Row],[RiskCategory]]="High Risk"),"High Risk Exposure","Normal")</f>
        <v>High Risk Exposure</v>
      </c>
      <c r="T466" t="str" cm="1">
        <f t="array" ref="T466">_xlfn.IFS(
Loans[[#This Row],[LoanStatus]]="Default","Critical",
OR(Loans[[#This Row],[LoanStatus]]="Watchlist",Loans[[#This Row],[CollateralRisk]]="Undersecured",Loans[[#This Row],[RiskCategory]]="High Risk"),"High",
TRUE,"Normal"
)</f>
        <v>High</v>
      </c>
    </row>
    <row r="467" spans="1:20" x14ac:dyDescent="0.35">
      <c r="A467" t="s">
        <v>987</v>
      </c>
      <c r="B467" t="s">
        <v>988</v>
      </c>
      <c r="C467" t="s">
        <v>193</v>
      </c>
      <c r="D467" t="s">
        <v>157</v>
      </c>
      <c r="E467" s="34">
        <v>25000000</v>
      </c>
      <c r="F467" s="29">
        <v>0.1113</v>
      </c>
      <c r="G467" s="30">
        <v>44493</v>
      </c>
      <c r="H467">
        <v>72</v>
      </c>
      <c r="I467">
        <v>45</v>
      </c>
      <c r="J467" s="34">
        <v>17500000</v>
      </c>
      <c r="K467" t="s">
        <v>199</v>
      </c>
      <c r="L467" s="34">
        <f>PMT(Loans[[#This Row],[InterestRate]]/12,Loans[[#This Row],[LoanTenureMonths]],-Loans[[#This Row],[LoanAmount]])</f>
        <v>477518.25222091202</v>
      </c>
      <c r="M467" s="30">
        <f>EDATE(Loans[[#This Row],[LoanStartDate]],Loans[[#This Row],[LoanTenureMonths]])</f>
        <v>46684</v>
      </c>
      <c r="N467" s="33">
        <f>IF(Loans[[#This Row],[LoanAmount]]=0,0,Loans[[#This Row],[CollateralValue]]/Loans[[#This Row],[LoanAmount]])</f>
        <v>0.7</v>
      </c>
      <c r="O467" t="str">
        <f>IF(Loans[[#This Row],[CollateralCoverageRatio]]&lt;1,"Undersecured","Secured")</f>
        <v>Undersecured</v>
      </c>
      <c r="P467" t="str">
        <f>_xlfn.XLOOKUP(Loans[[#This Row],[BranchCode]],BranchesTbl[BranchCode],BranchesTbl[BranchName])</f>
        <v>Mombasa</v>
      </c>
      <c r="Q467">
        <f>_xlfn.XLOOKUP(Loans[[#This Row],[CustomerID]],CustomerTbl[CustomerID],CustomerTbl[RiskScore])</f>
        <v>549</v>
      </c>
      <c r="R467" t="str">
        <f>IFERROR(INDEX(RiskTbl[Risk_Category],MATCH(Loans[[#This Row],[RiskScore]],RiskTbl[Score_Min],1)),"Unknown")</f>
        <v>High Risk</v>
      </c>
      <c r="S467" t="str">
        <f>IF(OR(Loans[[#This Row],[LoanStatus]]="Default",Loans[[#This Row],[LoanStatus]]="Watchlist",Loans[[#This Row],[CollateralRisk]]="Undersecured",Loans[[#This Row],[RiskCategory]]="High Risk"),"High Risk Exposure","Normal")</f>
        <v>High Risk Exposure</v>
      </c>
      <c r="T467" t="str" cm="1">
        <f t="array" ref="T467">_xlfn.IFS(
Loans[[#This Row],[LoanStatus]]="Default","Critical",
OR(Loans[[#This Row],[LoanStatus]]="Watchlist",Loans[[#This Row],[CollateralRisk]]="Undersecured",Loans[[#This Row],[RiskCategory]]="High Risk"),"High",
TRUE,"Normal"
)</f>
        <v>High</v>
      </c>
    </row>
    <row r="468" spans="1:20" x14ac:dyDescent="0.35">
      <c r="A468" t="s">
        <v>989</v>
      </c>
      <c r="B468" t="s">
        <v>990</v>
      </c>
      <c r="C468" t="s">
        <v>239</v>
      </c>
      <c r="D468" t="s">
        <v>155</v>
      </c>
      <c r="E468" s="34">
        <v>100000</v>
      </c>
      <c r="F468" s="29">
        <v>0.25269999999999998</v>
      </c>
      <c r="G468" s="30">
        <v>44998</v>
      </c>
      <c r="H468">
        <v>24</v>
      </c>
      <c r="I468">
        <v>0</v>
      </c>
      <c r="J468" s="34">
        <v>0</v>
      </c>
      <c r="K468" t="s">
        <v>171</v>
      </c>
      <c r="L468" s="34">
        <f>PMT(Loans[[#This Row],[InterestRate]]/12,Loans[[#This Row],[LoanTenureMonths]],-Loans[[#This Row],[LoanAmount]])</f>
        <v>5350.7084683223011</v>
      </c>
      <c r="M468" s="30">
        <f>EDATE(Loans[[#This Row],[LoanStartDate]],Loans[[#This Row],[LoanTenureMonths]])</f>
        <v>45729</v>
      </c>
      <c r="N468" s="33">
        <f>IF(Loans[[#This Row],[LoanAmount]]=0,0,Loans[[#This Row],[CollateralValue]]/Loans[[#This Row],[LoanAmount]])</f>
        <v>0</v>
      </c>
      <c r="O468" t="str">
        <f>IF(Loans[[#This Row],[CollateralCoverageRatio]]&lt;1,"Undersecured","Secured")</f>
        <v>Undersecured</v>
      </c>
      <c r="P468" t="str">
        <f>_xlfn.XLOOKUP(Loans[[#This Row],[BranchCode]],BranchesTbl[BranchCode],BranchesTbl[BranchName])</f>
        <v>Machakos</v>
      </c>
      <c r="Q468">
        <f>_xlfn.XLOOKUP(Loans[[#This Row],[CustomerID]],CustomerTbl[CustomerID],CustomerTbl[RiskScore])</f>
        <v>324</v>
      </c>
      <c r="R468" t="str">
        <f>IFERROR(INDEX(RiskTbl[Risk_Category],MATCH(Loans[[#This Row],[RiskScore]],RiskTbl[Score_Min],1)),"Unknown")</f>
        <v>High Risk</v>
      </c>
      <c r="S468" t="str">
        <f>IF(OR(Loans[[#This Row],[LoanStatus]]="Default",Loans[[#This Row],[LoanStatus]]="Watchlist",Loans[[#This Row],[CollateralRisk]]="Undersecured",Loans[[#This Row],[RiskCategory]]="High Risk"),"High Risk Exposure","Normal")</f>
        <v>High Risk Exposure</v>
      </c>
      <c r="T468" t="str" cm="1">
        <f t="array" ref="T468">_xlfn.IFS(
Loans[[#This Row],[LoanStatus]]="Default","Critical",
OR(Loans[[#This Row],[LoanStatus]]="Watchlist",Loans[[#This Row],[CollateralRisk]]="Undersecured",Loans[[#This Row],[RiskCategory]]="High Risk"),"High",
TRUE,"Normal"
)</f>
        <v>High</v>
      </c>
    </row>
    <row r="469" spans="1:20" x14ac:dyDescent="0.35">
      <c r="A469" t="s">
        <v>991</v>
      </c>
      <c r="B469" t="s">
        <v>992</v>
      </c>
      <c r="C469" t="s">
        <v>193</v>
      </c>
      <c r="D469" t="s">
        <v>158</v>
      </c>
      <c r="E469" s="34">
        <v>6000000</v>
      </c>
      <c r="F469" s="29">
        <v>0.14180000000000001</v>
      </c>
      <c r="G469" s="30">
        <v>43961</v>
      </c>
      <c r="H469">
        <v>36</v>
      </c>
      <c r="I469">
        <v>0</v>
      </c>
      <c r="J469" s="34">
        <v>3600000</v>
      </c>
      <c r="K469" t="s">
        <v>171</v>
      </c>
      <c r="L469" s="34">
        <f>PMT(Loans[[#This Row],[InterestRate]]/12,Loans[[#This Row],[LoanTenureMonths]],-Loans[[#This Row],[LoanAmount]])</f>
        <v>205590.71529753078</v>
      </c>
      <c r="M469" s="30">
        <f>EDATE(Loans[[#This Row],[LoanStartDate]],Loans[[#This Row],[LoanTenureMonths]])</f>
        <v>45056</v>
      </c>
      <c r="N469" s="33">
        <f>IF(Loans[[#This Row],[LoanAmount]]=0,0,Loans[[#This Row],[CollateralValue]]/Loans[[#This Row],[LoanAmount]])</f>
        <v>0.6</v>
      </c>
      <c r="O469" t="str">
        <f>IF(Loans[[#This Row],[CollateralCoverageRatio]]&lt;1,"Undersecured","Secured")</f>
        <v>Undersecured</v>
      </c>
      <c r="P469" t="str">
        <f>_xlfn.XLOOKUP(Loans[[#This Row],[BranchCode]],BranchesTbl[BranchCode],BranchesTbl[BranchName])</f>
        <v>Mombasa</v>
      </c>
      <c r="Q469">
        <f>_xlfn.XLOOKUP(Loans[[#This Row],[CustomerID]],CustomerTbl[CustomerID],CustomerTbl[RiskScore])</f>
        <v>300</v>
      </c>
      <c r="R469" t="str">
        <f>IFERROR(INDEX(RiskTbl[Risk_Category],MATCH(Loans[[#This Row],[RiskScore]],RiskTbl[Score_Min],1)),"Unknown")</f>
        <v>High Risk</v>
      </c>
      <c r="S469" t="str">
        <f>IF(OR(Loans[[#This Row],[LoanStatus]]="Default",Loans[[#This Row],[LoanStatus]]="Watchlist",Loans[[#This Row],[CollateralRisk]]="Undersecured",Loans[[#This Row],[RiskCategory]]="High Risk"),"High Risk Exposure","Normal")</f>
        <v>High Risk Exposure</v>
      </c>
      <c r="T469" t="str" cm="1">
        <f t="array" ref="T469">_xlfn.IFS(
Loans[[#This Row],[LoanStatus]]="Default","Critical",
OR(Loans[[#This Row],[LoanStatus]]="Watchlist",Loans[[#This Row],[CollateralRisk]]="Undersecured",Loans[[#This Row],[RiskCategory]]="High Risk"),"High",
TRUE,"Normal"
)</f>
        <v>High</v>
      </c>
    </row>
    <row r="470" spans="1:20" x14ac:dyDescent="0.35">
      <c r="A470" t="s">
        <v>993</v>
      </c>
      <c r="B470" t="s">
        <v>772</v>
      </c>
      <c r="C470" t="s">
        <v>219</v>
      </c>
      <c r="D470" t="s">
        <v>155</v>
      </c>
      <c r="E470" s="34">
        <v>100000</v>
      </c>
      <c r="F470" s="29">
        <v>0.1794</v>
      </c>
      <c r="G470" s="30">
        <v>44968</v>
      </c>
      <c r="H470">
        <v>12</v>
      </c>
      <c r="I470">
        <v>0</v>
      </c>
      <c r="J470" s="34">
        <v>0</v>
      </c>
      <c r="K470" t="s">
        <v>171</v>
      </c>
      <c r="L470" s="34">
        <f>PMT(Loans[[#This Row],[InterestRate]]/12,Loans[[#This Row],[LoanTenureMonths]],-Loans[[#This Row],[LoanAmount]])</f>
        <v>9165.1440520706383</v>
      </c>
      <c r="M470" s="30">
        <f>EDATE(Loans[[#This Row],[LoanStartDate]],Loans[[#This Row],[LoanTenureMonths]])</f>
        <v>45333</v>
      </c>
      <c r="N470" s="33">
        <f>IF(Loans[[#This Row],[LoanAmount]]=0,0,Loans[[#This Row],[CollateralValue]]/Loans[[#This Row],[LoanAmount]])</f>
        <v>0</v>
      </c>
      <c r="O470" t="str">
        <f>IF(Loans[[#This Row],[CollateralCoverageRatio]]&lt;1,"Undersecured","Secured")</f>
        <v>Undersecured</v>
      </c>
      <c r="P470" t="str">
        <f>_xlfn.XLOOKUP(Loans[[#This Row],[BranchCode]],BranchesTbl[BranchCode],BranchesTbl[BranchName])</f>
        <v>Meru</v>
      </c>
      <c r="Q470">
        <f>_xlfn.XLOOKUP(Loans[[#This Row],[CustomerID]],CustomerTbl[CustomerID],CustomerTbl[RiskScore])</f>
        <v>607</v>
      </c>
      <c r="R470" t="str">
        <f>IFERROR(INDEX(RiskTbl[Risk_Category],MATCH(Loans[[#This Row],[RiskScore]],RiskTbl[Score_Min],1)),"Unknown")</f>
        <v>Medium Risk</v>
      </c>
      <c r="S470" t="str">
        <f>IF(OR(Loans[[#This Row],[LoanStatus]]="Default",Loans[[#This Row],[LoanStatus]]="Watchlist",Loans[[#This Row],[CollateralRisk]]="Undersecured",Loans[[#This Row],[RiskCategory]]="High Risk"),"High Risk Exposure","Normal")</f>
        <v>High Risk Exposure</v>
      </c>
      <c r="T470" t="str" cm="1">
        <f t="array" ref="T470">_xlfn.IFS(
Loans[[#This Row],[LoanStatus]]="Default","Critical",
OR(Loans[[#This Row],[LoanStatus]]="Watchlist",Loans[[#This Row],[CollateralRisk]]="Undersecured",Loans[[#This Row],[RiskCategory]]="High Risk"),"High",
TRUE,"Normal"
)</f>
        <v>High</v>
      </c>
    </row>
    <row r="471" spans="1:20" x14ac:dyDescent="0.35">
      <c r="A471" t="s">
        <v>994</v>
      </c>
      <c r="B471" t="s">
        <v>995</v>
      </c>
      <c r="C471" t="s">
        <v>270</v>
      </c>
      <c r="D471" t="s">
        <v>155</v>
      </c>
      <c r="E471" s="34">
        <v>250000</v>
      </c>
      <c r="F471" s="29">
        <v>0.1867</v>
      </c>
      <c r="G471" s="30">
        <v>44504</v>
      </c>
      <c r="H471">
        <v>60</v>
      </c>
      <c r="I471">
        <v>0</v>
      </c>
      <c r="J471" s="34">
        <v>0</v>
      </c>
      <c r="K471" t="s">
        <v>171</v>
      </c>
      <c r="L471" s="34">
        <f>PMT(Loans[[#This Row],[InterestRate]]/12,Loans[[#This Row],[LoanTenureMonths]],-Loans[[#This Row],[LoanAmount]])</f>
        <v>6439.827696217666</v>
      </c>
      <c r="M471" s="30">
        <f>EDATE(Loans[[#This Row],[LoanStartDate]],Loans[[#This Row],[LoanTenureMonths]])</f>
        <v>46330</v>
      </c>
      <c r="N471" s="33">
        <f>IF(Loans[[#This Row],[LoanAmount]]=0,0,Loans[[#This Row],[CollateralValue]]/Loans[[#This Row],[LoanAmount]])</f>
        <v>0</v>
      </c>
      <c r="O471" t="str">
        <f>IF(Loans[[#This Row],[CollateralCoverageRatio]]&lt;1,"Undersecured","Secured")</f>
        <v>Undersecured</v>
      </c>
      <c r="P471" t="str">
        <f>_xlfn.XLOOKUP(Loans[[#This Row],[BranchCode]],BranchesTbl[BranchCode],BranchesTbl[BranchName])</f>
        <v>Nakuru</v>
      </c>
      <c r="Q471">
        <f>_xlfn.XLOOKUP(Loans[[#This Row],[CustomerID]],CustomerTbl[CustomerID],CustomerTbl[RiskScore])</f>
        <v>500</v>
      </c>
      <c r="R471" t="str">
        <f>IFERROR(INDEX(RiskTbl[Risk_Category],MATCH(Loans[[#This Row],[RiskScore]],RiskTbl[Score_Min],1)),"Unknown")</f>
        <v>High Risk</v>
      </c>
      <c r="S471" t="str">
        <f>IF(OR(Loans[[#This Row],[LoanStatus]]="Default",Loans[[#This Row],[LoanStatus]]="Watchlist",Loans[[#This Row],[CollateralRisk]]="Undersecured",Loans[[#This Row],[RiskCategory]]="High Risk"),"High Risk Exposure","Normal")</f>
        <v>High Risk Exposure</v>
      </c>
      <c r="T471" t="str" cm="1">
        <f t="array" ref="T471">_xlfn.IFS(
Loans[[#This Row],[LoanStatus]]="Default","Critical",
OR(Loans[[#This Row],[LoanStatus]]="Watchlist",Loans[[#This Row],[CollateralRisk]]="Undersecured",Loans[[#This Row],[RiskCategory]]="High Risk"),"High",
TRUE,"Normal"
)</f>
        <v>High</v>
      </c>
    </row>
    <row r="472" spans="1:20" x14ac:dyDescent="0.35">
      <c r="A472" t="s">
        <v>996</v>
      </c>
      <c r="B472" t="s">
        <v>997</v>
      </c>
      <c r="C472" t="s">
        <v>193</v>
      </c>
      <c r="D472" t="s">
        <v>158</v>
      </c>
      <c r="E472" s="34">
        <v>1000000</v>
      </c>
      <c r="F472" s="29">
        <v>0.1691</v>
      </c>
      <c r="G472" s="30">
        <v>45258</v>
      </c>
      <c r="H472">
        <v>24</v>
      </c>
      <c r="I472">
        <v>120</v>
      </c>
      <c r="J472" s="34">
        <v>530000</v>
      </c>
      <c r="K472" t="s">
        <v>178</v>
      </c>
      <c r="L472" s="34">
        <f>PMT(Loans[[#This Row],[InterestRate]]/12,Loans[[#This Row],[LoanTenureMonths]],-Loans[[#This Row],[LoanAmount]])</f>
        <v>49399.030239434571</v>
      </c>
      <c r="M472" s="30">
        <f>EDATE(Loans[[#This Row],[LoanStartDate]],Loans[[#This Row],[LoanTenureMonths]])</f>
        <v>45989</v>
      </c>
      <c r="N472" s="33">
        <f>IF(Loans[[#This Row],[LoanAmount]]=0,0,Loans[[#This Row],[CollateralValue]]/Loans[[#This Row],[LoanAmount]])</f>
        <v>0.53</v>
      </c>
      <c r="O472" t="str">
        <f>IF(Loans[[#This Row],[CollateralCoverageRatio]]&lt;1,"Undersecured","Secured")</f>
        <v>Undersecured</v>
      </c>
      <c r="P472" t="str">
        <f>_xlfn.XLOOKUP(Loans[[#This Row],[BranchCode]],BranchesTbl[BranchCode],BranchesTbl[BranchName])</f>
        <v>Mombasa</v>
      </c>
      <c r="Q472">
        <f>_xlfn.XLOOKUP(Loans[[#This Row],[CustomerID]],CustomerTbl[CustomerID],CustomerTbl[RiskScore])</f>
        <v>473</v>
      </c>
      <c r="R472" t="str">
        <f>IFERROR(INDEX(RiskTbl[Risk_Category],MATCH(Loans[[#This Row],[RiskScore]],RiskTbl[Score_Min],1)),"Unknown")</f>
        <v>High Risk</v>
      </c>
      <c r="S472" t="str">
        <f>IF(OR(Loans[[#This Row],[LoanStatus]]="Default",Loans[[#This Row],[LoanStatus]]="Watchlist",Loans[[#This Row],[CollateralRisk]]="Undersecured",Loans[[#This Row],[RiskCategory]]="High Risk"),"High Risk Exposure","Normal")</f>
        <v>High Risk Exposure</v>
      </c>
      <c r="T472" t="str" cm="1">
        <f t="array" ref="T472">_xlfn.IFS(
Loans[[#This Row],[LoanStatus]]="Default","Critical",
OR(Loans[[#This Row],[LoanStatus]]="Watchlist",Loans[[#This Row],[CollateralRisk]]="Undersecured",Loans[[#This Row],[RiskCategory]]="High Risk"),"High",
TRUE,"Normal"
)</f>
        <v>Critical</v>
      </c>
    </row>
    <row r="473" spans="1:20" x14ac:dyDescent="0.35">
      <c r="A473" t="s">
        <v>998</v>
      </c>
      <c r="B473" t="s">
        <v>515</v>
      </c>
      <c r="C473" t="s">
        <v>267</v>
      </c>
      <c r="D473" t="s">
        <v>158</v>
      </c>
      <c r="E473" s="34">
        <v>1000000</v>
      </c>
      <c r="F473" s="29">
        <v>0.19769999999999999</v>
      </c>
      <c r="G473" s="30">
        <v>44823</v>
      </c>
      <c r="H473">
        <v>12</v>
      </c>
      <c r="I473">
        <v>0</v>
      </c>
      <c r="J473" s="34">
        <v>1000000</v>
      </c>
      <c r="K473" t="s">
        <v>171</v>
      </c>
      <c r="L473" s="34">
        <f>PMT(Loans[[#This Row],[InterestRate]]/12,Loans[[#This Row],[LoanTenureMonths]],-Loans[[#This Row],[LoanAmount]])</f>
        <v>92524.463779693222</v>
      </c>
      <c r="M473" s="30">
        <f>EDATE(Loans[[#This Row],[LoanStartDate]],Loans[[#This Row],[LoanTenureMonths]])</f>
        <v>45188</v>
      </c>
      <c r="N473" s="33">
        <f>IF(Loans[[#This Row],[LoanAmount]]=0,0,Loans[[#This Row],[CollateralValue]]/Loans[[#This Row],[LoanAmount]])</f>
        <v>1</v>
      </c>
      <c r="O473" t="str">
        <f>IF(Loans[[#This Row],[CollateralCoverageRatio]]&lt;1,"Undersecured","Secured")</f>
        <v>Secured</v>
      </c>
      <c r="P473" t="str">
        <f>_xlfn.XLOOKUP(Loans[[#This Row],[BranchCode]],BranchesTbl[BranchCode],BranchesTbl[BranchName])</f>
        <v>Malindi</v>
      </c>
      <c r="Q473">
        <f>_xlfn.XLOOKUP(Loans[[#This Row],[CustomerID]],CustomerTbl[CustomerID],CustomerTbl[RiskScore])</f>
        <v>628</v>
      </c>
      <c r="R473" t="str">
        <f>IFERROR(INDEX(RiskTbl[Risk_Category],MATCH(Loans[[#This Row],[RiskScore]],RiskTbl[Score_Min],1)),"Unknown")</f>
        <v>Medium Risk</v>
      </c>
      <c r="S473" t="str">
        <f>IF(OR(Loans[[#This Row],[LoanStatus]]="Default",Loans[[#This Row],[LoanStatus]]="Watchlist",Loans[[#This Row],[CollateralRisk]]="Undersecured",Loans[[#This Row],[RiskCategory]]="High Risk"),"High Risk Exposure","Normal")</f>
        <v>Normal</v>
      </c>
      <c r="T473" t="str" cm="1">
        <f t="array" ref="T473">_xlfn.IFS(
Loans[[#This Row],[LoanStatus]]="Default","Critical",
OR(Loans[[#This Row],[LoanStatus]]="Watchlist",Loans[[#This Row],[CollateralRisk]]="Undersecured",Loans[[#This Row],[RiskCategory]]="High Risk"),"High",
TRUE,"Normal"
)</f>
        <v>Normal</v>
      </c>
    </row>
    <row r="474" spans="1:20" x14ac:dyDescent="0.35">
      <c r="A474" t="s">
        <v>999</v>
      </c>
      <c r="B474" t="s">
        <v>1000</v>
      </c>
      <c r="C474" t="s">
        <v>170</v>
      </c>
      <c r="D474" t="s">
        <v>155</v>
      </c>
      <c r="E474" s="34">
        <v>250000</v>
      </c>
      <c r="F474" s="29">
        <v>0.2641</v>
      </c>
      <c r="G474" s="30">
        <v>45650</v>
      </c>
      <c r="H474">
        <v>36</v>
      </c>
      <c r="I474">
        <v>0</v>
      </c>
      <c r="J474" s="34">
        <v>0</v>
      </c>
      <c r="K474" t="s">
        <v>171</v>
      </c>
      <c r="L474" s="34">
        <f>PMT(Loans[[#This Row],[InterestRate]]/12,Loans[[#This Row],[LoanTenureMonths]],-Loans[[#This Row],[LoanAmount]])</f>
        <v>10127.336487956703</v>
      </c>
      <c r="M474" s="30">
        <f>EDATE(Loans[[#This Row],[LoanStartDate]],Loans[[#This Row],[LoanTenureMonths]])</f>
        <v>46745</v>
      </c>
      <c r="N474" s="33">
        <f>IF(Loans[[#This Row],[LoanAmount]]=0,0,Loans[[#This Row],[CollateralValue]]/Loans[[#This Row],[LoanAmount]])</f>
        <v>0</v>
      </c>
      <c r="O474" t="str">
        <f>IF(Loans[[#This Row],[CollateralCoverageRatio]]&lt;1,"Undersecured","Secured")</f>
        <v>Undersecured</v>
      </c>
      <c r="P474" t="str">
        <f>_xlfn.XLOOKUP(Loans[[#This Row],[BranchCode]],BranchesTbl[BranchCode],BranchesTbl[BranchName])</f>
        <v>Thika</v>
      </c>
      <c r="Q474">
        <f>_xlfn.XLOOKUP(Loans[[#This Row],[CustomerID]],CustomerTbl[CustomerID],CustomerTbl[RiskScore])</f>
        <v>500</v>
      </c>
      <c r="R474" t="str">
        <f>IFERROR(INDEX(RiskTbl[Risk_Category],MATCH(Loans[[#This Row],[RiskScore]],RiskTbl[Score_Min],1)),"Unknown")</f>
        <v>High Risk</v>
      </c>
      <c r="S474" t="str">
        <f>IF(OR(Loans[[#This Row],[LoanStatus]]="Default",Loans[[#This Row],[LoanStatus]]="Watchlist",Loans[[#This Row],[CollateralRisk]]="Undersecured",Loans[[#This Row],[RiskCategory]]="High Risk"),"High Risk Exposure","Normal")</f>
        <v>High Risk Exposure</v>
      </c>
      <c r="T474" t="str" cm="1">
        <f t="array" ref="T474">_xlfn.IFS(
Loans[[#This Row],[LoanStatus]]="Default","Critical",
OR(Loans[[#This Row],[LoanStatus]]="Watchlist",Loans[[#This Row],[CollateralRisk]]="Undersecured",Loans[[#This Row],[RiskCategory]]="High Risk"),"High",
TRUE,"Normal"
)</f>
        <v>High</v>
      </c>
    </row>
    <row r="475" spans="1:20" x14ac:dyDescent="0.35">
      <c r="A475" t="s">
        <v>1001</v>
      </c>
      <c r="B475" t="s">
        <v>400</v>
      </c>
      <c r="C475" t="s">
        <v>267</v>
      </c>
      <c r="D475" t="s">
        <v>156</v>
      </c>
      <c r="E475" s="34">
        <v>1000000</v>
      </c>
      <c r="F475" s="29">
        <v>0.20269999999999999</v>
      </c>
      <c r="G475" s="30">
        <v>45051</v>
      </c>
      <c r="H475">
        <v>12</v>
      </c>
      <c r="I475">
        <v>0</v>
      </c>
      <c r="J475" s="34">
        <v>650000</v>
      </c>
      <c r="K475" t="s">
        <v>171</v>
      </c>
      <c r="L475" s="34">
        <f>PMT(Loans[[#This Row],[InterestRate]]/12,Loans[[#This Row],[LoanTenureMonths]],-Loans[[#This Row],[LoanAmount]])</f>
        <v>92763.776235241021</v>
      </c>
      <c r="M475" s="30">
        <f>EDATE(Loans[[#This Row],[LoanStartDate]],Loans[[#This Row],[LoanTenureMonths]])</f>
        <v>45417</v>
      </c>
      <c r="N475" s="33">
        <f>IF(Loans[[#This Row],[LoanAmount]]=0,0,Loans[[#This Row],[CollateralValue]]/Loans[[#This Row],[LoanAmount]])</f>
        <v>0.65</v>
      </c>
      <c r="O475" t="str">
        <f>IF(Loans[[#This Row],[CollateralCoverageRatio]]&lt;1,"Undersecured","Secured")</f>
        <v>Undersecured</v>
      </c>
      <c r="P475" t="str">
        <f>_xlfn.XLOOKUP(Loans[[#This Row],[BranchCode]],BranchesTbl[BranchCode],BranchesTbl[BranchName])</f>
        <v>Malindi</v>
      </c>
      <c r="Q475">
        <f>_xlfn.XLOOKUP(Loans[[#This Row],[CustomerID]],CustomerTbl[CustomerID],CustomerTbl[RiskScore])</f>
        <v>724</v>
      </c>
      <c r="R475" t="str">
        <f>IFERROR(INDEX(RiskTbl[Risk_Category],MATCH(Loans[[#This Row],[RiskScore]],RiskTbl[Score_Min],1)),"Unknown")</f>
        <v>Low Risk</v>
      </c>
      <c r="S475" t="str">
        <f>IF(OR(Loans[[#This Row],[LoanStatus]]="Default",Loans[[#This Row],[LoanStatus]]="Watchlist",Loans[[#This Row],[CollateralRisk]]="Undersecured",Loans[[#This Row],[RiskCategory]]="High Risk"),"High Risk Exposure","Normal")</f>
        <v>High Risk Exposure</v>
      </c>
      <c r="T475" t="str" cm="1">
        <f t="array" ref="T475">_xlfn.IFS(
Loans[[#This Row],[LoanStatus]]="Default","Critical",
OR(Loans[[#This Row],[LoanStatus]]="Watchlist",Loans[[#This Row],[CollateralRisk]]="Undersecured",Loans[[#This Row],[RiskCategory]]="High Risk"),"High",
TRUE,"Normal"
)</f>
        <v>High</v>
      </c>
    </row>
    <row r="476" spans="1:20" x14ac:dyDescent="0.35">
      <c r="A476" t="s">
        <v>1002</v>
      </c>
      <c r="B476" t="s">
        <v>1003</v>
      </c>
      <c r="C476" t="s">
        <v>190</v>
      </c>
      <c r="D476" t="s">
        <v>157</v>
      </c>
      <c r="E476" s="34">
        <v>6000000</v>
      </c>
      <c r="F476" s="29">
        <v>0.1368</v>
      </c>
      <c r="G476" s="30">
        <v>45300</v>
      </c>
      <c r="H476">
        <v>24</v>
      </c>
      <c r="I476">
        <v>20</v>
      </c>
      <c r="J476" s="34">
        <v>3960000</v>
      </c>
      <c r="K476" t="s">
        <v>171</v>
      </c>
      <c r="L476" s="34">
        <f>PMT(Loans[[#This Row],[InterestRate]]/12,Loans[[#This Row],[LoanTenureMonths]],-Loans[[#This Row],[LoanAmount]])</f>
        <v>287171.0960607123</v>
      </c>
      <c r="M476" s="30">
        <f>EDATE(Loans[[#This Row],[LoanStartDate]],Loans[[#This Row],[LoanTenureMonths]])</f>
        <v>46031</v>
      </c>
      <c r="N476" s="33">
        <f>IF(Loans[[#This Row],[LoanAmount]]=0,0,Loans[[#This Row],[CollateralValue]]/Loans[[#This Row],[LoanAmount]])</f>
        <v>0.66</v>
      </c>
      <c r="O476" t="str">
        <f>IF(Loans[[#This Row],[CollateralCoverageRatio]]&lt;1,"Undersecured","Secured")</f>
        <v>Undersecured</v>
      </c>
      <c r="P476" t="str">
        <f>_xlfn.XLOOKUP(Loans[[#This Row],[BranchCode]],BranchesTbl[BranchCode],BranchesTbl[BranchName])</f>
        <v>Nyeri</v>
      </c>
      <c r="Q476">
        <f>_xlfn.XLOOKUP(Loans[[#This Row],[CustomerID]],CustomerTbl[CustomerID],CustomerTbl[RiskScore])</f>
        <v>844</v>
      </c>
      <c r="R476" t="str">
        <f>IFERROR(INDEX(RiskTbl[Risk_Category],MATCH(Loans[[#This Row],[RiskScore]],RiskTbl[Score_Min],1)),"Unknown")</f>
        <v>Prime</v>
      </c>
      <c r="S476" t="str">
        <f>IF(OR(Loans[[#This Row],[LoanStatus]]="Default",Loans[[#This Row],[LoanStatus]]="Watchlist",Loans[[#This Row],[CollateralRisk]]="Undersecured",Loans[[#This Row],[RiskCategory]]="High Risk"),"High Risk Exposure","Normal")</f>
        <v>High Risk Exposure</v>
      </c>
      <c r="T476" t="str" cm="1">
        <f t="array" ref="T476">_xlfn.IFS(
Loans[[#This Row],[LoanStatus]]="Default","Critical",
OR(Loans[[#This Row],[LoanStatus]]="Watchlist",Loans[[#This Row],[CollateralRisk]]="Undersecured",Loans[[#This Row],[RiskCategory]]="High Risk"),"High",
TRUE,"Normal"
)</f>
        <v>High</v>
      </c>
    </row>
    <row r="477" spans="1:20" x14ac:dyDescent="0.35">
      <c r="A477" t="s">
        <v>1004</v>
      </c>
      <c r="B477" t="s">
        <v>1005</v>
      </c>
      <c r="C477" t="s">
        <v>267</v>
      </c>
      <c r="D477" t="s">
        <v>156</v>
      </c>
      <c r="E477" s="34">
        <v>25000000</v>
      </c>
      <c r="F477" s="29">
        <v>0.20349999999999999</v>
      </c>
      <c r="G477" s="30">
        <v>44829</v>
      </c>
      <c r="H477">
        <v>12</v>
      </c>
      <c r="I477">
        <v>10</v>
      </c>
      <c r="J477" s="34">
        <v>34500000</v>
      </c>
      <c r="K477" t="s">
        <v>171</v>
      </c>
      <c r="L477" s="34">
        <f>PMT(Loans[[#This Row],[InterestRate]]/12,Loans[[#This Row],[LoanTenureMonths]],-Loans[[#This Row],[LoanAmount]])</f>
        <v>2320052.4328527669</v>
      </c>
      <c r="M477" s="30">
        <f>EDATE(Loans[[#This Row],[LoanStartDate]],Loans[[#This Row],[LoanTenureMonths]])</f>
        <v>45194</v>
      </c>
      <c r="N477" s="33">
        <f>IF(Loans[[#This Row],[LoanAmount]]=0,0,Loans[[#This Row],[CollateralValue]]/Loans[[#This Row],[LoanAmount]])</f>
        <v>1.38</v>
      </c>
      <c r="O477" t="str">
        <f>IF(Loans[[#This Row],[CollateralCoverageRatio]]&lt;1,"Undersecured","Secured")</f>
        <v>Secured</v>
      </c>
      <c r="P477" t="str">
        <f>_xlfn.XLOOKUP(Loans[[#This Row],[BranchCode]],BranchesTbl[BranchCode],BranchesTbl[BranchName])</f>
        <v>Malindi</v>
      </c>
      <c r="Q477">
        <f>_xlfn.XLOOKUP(Loans[[#This Row],[CustomerID]],CustomerTbl[CustomerID],CustomerTbl[RiskScore])</f>
        <v>617</v>
      </c>
      <c r="R477" t="str">
        <f>IFERROR(INDEX(RiskTbl[Risk_Category],MATCH(Loans[[#This Row],[RiskScore]],RiskTbl[Score_Min],1)),"Unknown")</f>
        <v>Medium Risk</v>
      </c>
      <c r="S477" t="str">
        <f>IF(OR(Loans[[#This Row],[LoanStatus]]="Default",Loans[[#This Row],[LoanStatus]]="Watchlist",Loans[[#This Row],[CollateralRisk]]="Undersecured",Loans[[#This Row],[RiskCategory]]="High Risk"),"High Risk Exposure","Normal")</f>
        <v>Normal</v>
      </c>
      <c r="T477" t="str" cm="1">
        <f t="array" ref="T477">_xlfn.IFS(
Loans[[#This Row],[LoanStatus]]="Default","Critical",
OR(Loans[[#This Row],[LoanStatus]]="Watchlist",Loans[[#This Row],[CollateralRisk]]="Undersecured",Loans[[#This Row],[RiskCategory]]="High Risk"),"High",
TRUE,"Normal"
)</f>
        <v>Normal</v>
      </c>
    </row>
    <row r="478" spans="1:20" x14ac:dyDescent="0.35">
      <c r="A478" t="s">
        <v>1006</v>
      </c>
      <c r="B478" t="s">
        <v>922</v>
      </c>
      <c r="C478" t="s">
        <v>177</v>
      </c>
      <c r="D478" t="s">
        <v>157</v>
      </c>
      <c r="E478" s="34">
        <v>80000000</v>
      </c>
      <c r="F478" s="29">
        <v>0.1045</v>
      </c>
      <c r="G478" s="30">
        <v>45734</v>
      </c>
      <c r="H478">
        <v>60</v>
      </c>
      <c r="I478">
        <v>5</v>
      </c>
      <c r="J478" s="34">
        <v>70400000</v>
      </c>
      <c r="K478" t="s">
        <v>171</v>
      </c>
      <c r="L478" s="34">
        <f>PMT(Loans[[#This Row],[InterestRate]]/12,Loans[[#This Row],[LoanTenureMonths]],-Loans[[#This Row],[LoanAmount]])</f>
        <v>1717531.1765863397</v>
      </c>
      <c r="M478" s="30">
        <f>EDATE(Loans[[#This Row],[LoanStartDate]],Loans[[#This Row],[LoanTenureMonths]])</f>
        <v>47560</v>
      </c>
      <c r="N478" s="33">
        <f>IF(Loans[[#This Row],[LoanAmount]]=0,0,Loans[[#This Row],[CollateralValue]]/Loans[[#This Row],[LoanAmount]])</f>
        <v>0.88</v>
      </c>
      <c r="O478" t="str">
        <f>IF(Loans[[#This Row],[CollateralCoverageRatio]]&lt;1,"Undersecured","Secured")</f>
        <v>Undersecured</v>
      </c>
      <c r="P478" t="str">
        <f>_xlfn.XLOOKUP(Loans[[#This Row],[BranchCode]],BranchesTbl[BranchCode],BranchesTbl[BranchName])</f>
        <v>Naivasha</v>
      </c>
      <c r="Q478">
        <f>_xlfn.XLOOKUP(Loans[[#This Row],[CustomerID]],CustomerTbl[CustomerID],CustomerTbl[RiskScore])</f>
        <v>559</v>
      </c>
      <c r="R478" t="str">
        <f>IFERROR(INDEX(RiskTbl[Risk_Category],MATCH(Loans[[#This Row],[RiskScore]],RiskTbl[Score_Min],1)),"Unknown")</f>
        <v>High Risk</v>
      </c>
      <c r="S478" t="str">
        <f>IF(OR(Loans[[#This Row],[LoanStatus]]="Default",Loans[[#This Row],[LoanStatus]]="Watchlist",Loans[[#This Row],[CollateralRisk]]="Undersecured",Loans[[#This Row],[RiskCategory]]="High Risk"),"High Risk Exposure","Normal")</f>
        <v>High Risk Exposure</v>
      </c>
      <c r="T478" t="str" cm="1">
        <f t="array" ref="T478">_xlfn.IFS(
Loans[[#This Row],[LoanStatus]]="Default","Critical",
OR(Loans[[#This Row],[LoanStatus]]="Watchlist",Loans[[#This Row],[CollateralRisk]]="Undersecured",Loans[[#This Row],[RiskCategory]]="High Risk"),"High",
TRUE,"Normal"
)</f>
        <v>High</v>
      </c>
    </row>
    <row r="479" spans="1:20" x14ac:dyDescent="0.35">
      <c r="A479" t="s">
        <v>1007</v>
      </c>
      <c r="B479" t="s">
        <v>545</v>
      </c>
      <c r="C479" t="s">
        <v>181</v>
      </c>
      <c r="D479" t="s">
        <v>155</v>
      </c>
      <c r="E479" s="34">
        <v>100000</v>
      </c>
      <c r="F479" s="29">
        <v>0.23669999999999999</v>
      </c>
      <c r="G479" s="30">
        <v>44553</v>
      </c>
      <c r="H479">
        <v>12</v>
      </c>
      <c r="I479">
        <v>5</v>
      </c>
      <c r="J479" s="34">
        <v>0</v>
      </c>
      <c r="K479" t="s">
        <v>171</v>
      </c>
      <c r="L479" s="34">
        <f>PMT(Loans[[#This Row],[InterestRate]]/12,Loans[[#This Row],[LoanTenureMonths]],-Loans[[#This Row],[LoanAmount]])</f>
        <v>9439.9968486786038</v>
      </c>
      <c r="M479" s="30">
        <f>EDATE(Loans[[#This Row],[LoanStartDate]],Loans[[#This Row],[LoanTenureMonths]])</f>
        <v>44918</v>
      </c>
      <c r="N479" s="33">
        <f>IF(Loans[[#This Row],[LoanAmount]]=0,0,Loans[[#This Row],[CollateralValue]]/Loans[[#This Row],[LoanAmount]])</f>
        <v>0</v>
      </c>
      <c r="O479" t="str">
        <f>IF(Loans[[#This Row],[CollateralCoverageRatio]]&lt;1,"Undersecured","Secured")</f>
        <v>Undersecured</v>
      </c>
      <c r="P479" t="str">
        <f>_xlfn.XLOOKUP(Loans[[#This Row],[BranchCode]],BranchesTbl[BranchCode],BranchesTbl[BranchName])</f>
        <v>Kitale</v>
      </c>
      <c r="Q479">
        <f>_xlfn.XLOOKUP(Loans[[#This Row],[CustomerID]],CustomerTbl[CustomerID],CustomerTbl[RiskScore])</f>
        <v>804</v>
      </c>
      <c r="R479" t="str">
        <f>IFERROR(INDEX(RiskTbl[Risk_Category],MATCH(Loans[[#This Row],[RiskScore]],RiskTbl[Score_Min],1)),"Unknown")</f>
        <v>Prime</v>
      </c>
      <c r="S479" t="str">
        <f>IF(OR(Loans[[#This Row],[LoanStatus]]="Default",Loans[[#This Row],[LoanStatus]]="Watchlist",Loans[[#This Row],[CollateralRisk]]="Undersecured",Loans[[#This Row],[RiskCategory]]="High Risk"),"High Risk Exposure","Normal")</f>
        <v>High Risk Exposure</v>
      </c>
      <c r="T479" t="str" cm="1">
        <f t="array" ref="T479">_xlfn.IFS(
Loans[[#This Row],[LoanStatus]]="Default","Critical",
OR(Loans[[#This Row],[LoanStatus]]="Watchlist",Loans[[#This Row],[CollateralRisk]]="Undersecured",Loans[[#This Row],[RiskCategory]]="High Risk"),"High",
TRUE,"Normal"
)</f>
        <v>High</v>
      </c>
    </row>
    <row r="480" spans="1:20" x14ac:dyDescent="0.35">
      <c r="A480" t="s">
        <v>1008</v>
      </c>
      <c r="B480" t="s">
        <v>1009</v>
      </c>
      <c r="C480" t="s">
        <v>174</v>
      </c>
      <c r="D480" t="s">
        <v>155</v>
      </c>
      <c r="E480" s="34">
        <v>100000</v>
      </c>
      <c r="F480" s="29">
        <v>0.16250000000000001</v>
      </c>
      <c r="G480" s="30">
        <v>45934</v>
      </c>
      <c r="H480">
        <v>60</v>
      </c>
      <c r="I480">
        <v>0</v>
      </c>
      <c r="J480" s="34">
        <v>0</v>
      </c>
      <c r="K480" t="s">
        <v>171</v>
      </c>
      <c r="L480" s="34">
        <f>PMT(Loans[[#This Row],[InterestRate]]/12,Loans[[#This Row],[LoanTenureMonths]],-Loans[[#This Row],[LoanAmount]])</f>
        <v>2445.1089813167246</v>
      </c>
      <c r="M480" s="30">
        <f>EDATE(Loans[[#This Row],[LoanStartDate]],Loans[[#This Row],[LoanTenureMonths]])</f>
        <v>47760</v>
      </c>
      <c r="N480" s="33">
        <f>IF(Loans[[#This Row],[LoanAmount]]=0,0,Loans[[#This Row],[CollateralValue]]/Loans[[#This Row],[LoanAmount]])</f>
        <v>0</v>
      </c>
      <c r="O480" t="str">
        <f>IF(Loans[[#This Row],[CollateralCoverageRatio]]&lt;1,"Undersecured","Secured")</f>
        <v>Undersecured</v>
      </c>
      <c r="P480" t="str">
        <f>_xlfn.XLOOKUP(Loans[[#This Row],[BranchCode]],BranchesTbl[BranchCode],BranchesTbl[BranchName])</f>
        <v>Westlands</v>
      </c>
      <c r="Q480">
        <f>_xlfn.XLOOKUP(Loans[[#This Row],[CustomerID]],CustomerTbl[CustomerID],CustomerTbl[RiskScore])</f>
        <v>755</v>
      </c>
      <c r="R480" t="str">
        <f>IFERROR(INDEX(RiskTbl[Risk_Category],MATCH(Loans[[#This Row],[RiskScore]],RiskTbl[Score_Min],1)),"Unknown")</f>
        <v>Very Low Risk</v>
      </c>
      <c r="S480" t="str">
        <f>IF(OR(Loans[[#This Row],[LoanStatus]]="Default",Loans[[#This Row],[LoanStatus]]="Watchlist",Loans[[#This Row],[CollateralRisk]]="Undersecured",Loans[[#This Row],[RiskCategory]]="High Risk"),"High Risk Exposure","Normal")</f>
        <v>High Risk Exposure</v>
      </c>
      <c r="T480" t="str" cm="1">
        <f t="array" ref="T480">_xlfn.IFS(
Loans[[#This Row],[LoanStatus]]="Default","Critical",
OR(Loans[[#This Row],[LoanStatus]]="Watchlist",Loans[[#This Row],[CollateralRisk]]="Undersecured",Loans[[#This Row],[RiskCategory]]="High Risk"),"High",
TRUE,"Normal"
)</f>
        <v>High</v>
      </c>
    </row>
    <row r="481" spans="1:20" x14ac:dyDescent="0.35">
      <c r="A481" t="s">
        <v>1010</v>
      </c>
      <c r="B481" t="s">
        <v>777</v>
      </c>
      <c r="C481" t="s">
        <v>184</v>
      </c>
      <c r="D481" t="s">
        <v>157</v>
      </c>
      <c r="E481" s="34">
        <v>6000000</v>
      </c>
      <c r="F481" s="29">
        <v>0.13150000000000001</v>
      </c>
      <c r="G481" s="30">
        <v>44821</v>
      </c>
      <c r="H481">
        <v>24</v>
      </c>
      <c r="I481">
        <v>0</v>
      </c>
      <c r="J481" s="34">
        <v>4980000</v>
      </c>
      <c r="K481" t="s">
        <v>171</v>
      </c>
      <c r="L481" s="34">
        <f>PMT(Loans[[#This Row],[InterestRate]]/12,Loans[[#This Row],[LoanTenureMonths]],-Loans[[#This Row],[LoanAmount]])</f>
        <v>285673.85434570571</v>
      </c>
      <c r="M481" s="30">
        <f>EDATE(Loans[[#This Row],[LoanStartDate]],Loans[[#This Row],[LoanTenureMonths]])</f>
        <v>45552</v>
      </c>
      <c r="N481" s="33">
        <f>IF(Loans[[#This Row],[LoanAmount]]=0,0,Loans[[#This Row],[CollateralValue]]/Loans[[#This Row],[LoanAmount]])</f>
        <v>0.83</v>
      </c>
      <c r="O481" t="str">
        <f>IF(Loans[[#This Row],[CollateralCoverageRatio]]&lt;1,"Undersecured","Secured")</f>
        <v>Undersecured</v>
      </c>
      <c r="P481" t="str">
        <f>_xlfn.XLOOKUP(Loans[[#This Row],[BranchCode]],BranchesTbl[BranchCode],BranchesTbl[BranchName])</f>
        <v>Kisumu</v>
      </c>
      <c r="Q481">
        <f>_xlfn.XLOOKUP(Loans[[#This Row],[CustomerID]],CustomerTbl[CustomerID],CustomerTbl[RiskScore])</f>
        <v>555</v>
      </c>
      <c r="R481" t="str">
        <f>IFERROR(INDEX(RiskTbl[Risk_Category],MATCH(Loans[[#This Row],[RiskScore]],RiskTbl[Score_Min],1)),"Unknown")</f>
        <v>High Risk</v>
      </c>
      <c r="S481" t="str">
        <f>IF(OR(Loans[[#This Row],[LoanStatus]]="Default",Loans[[#This Row],[LoanStatus]]="Watchlist",Loans[[#This Row],[CollateralRisk]]="Undersecured",Loans[[#This Row],[RiskCategory]]="High Risk"),"High Risk Exposure","Normal")</f>
        <v>High Risk Exposure</v>
      </c>
      <c r="T481" t="str" cm="1">
        <f t="array" ref="T481">_xlfn.IFS(
Loans[[#This Row],[LoanStatus]]="Default","Critical",
OR(Loans[[#This Row],[LoanStatus]]="Watchlist",Loans[[#This Row],[CollateralRisk]]="Undersecured",Loans[[#This Row],[RiskCategory]]="High Risk"),"High",
TRUE,"Normal"
)</f>
        <v>High</v>
      </c>
    </row>
    <row r="482" spans="1:20" x14ac:dyDescent="0.35">
      <c r="A482" t="s">
        <v>1011</v>
      </c>
      <c r="B482" t="s">
        <v>286</v>
      </c>
      <c r="C482" t="s">
        <v>206</v>
      </c>
      <c r="D482" t="s">
        <v>156</v>
      </c>
      <c r="E482" s="34">
        <v>1000000</v>
      </c>
      <c r="F482" s="29">
        <v>0.1769</v>
      </c>
      <c r="G482" s="30">
        <v>44242</v>
      </c>
      <c r="H482">
        <v>24</v>
      </c>
      <c r="I482">
        <v>10</v>
      </c>
      <c r="J482" s="34">
        <v>1150000</v>
      </c>
      <c r="K482" t="s">
        <v>171</v>
      </c>
      <c r="L482" s="34">
        <f>PMT(Loans[[#This Row],[InterestRate]]/12,Loans[[#This Row],[LoanTenureMonths]],-Loans[[#This Row],[LoanAmount]])</f>
        <v>49774.445553888327</v>
      </c>
      <c r="M482" s="30">
        <f>EDATE(Loans[[#This Row],[LoanStartDate]],Loans[[#This Row],[LoanTenureMonths]])</f>
        <v>44972</v>
      </c>
      <c r="N482" s="33">
        <f>IF(Loans[[#This Row],[LoanAmount]]=0,0,Loans[[#This Row],[CollateralValue]]/Loans[[#This Row],[LoanAmount]])</f>
        <v>1.1499999999999999</v>
      </c>
      <c r="O482" t="str">
        <f>IF(Loans[[#This Row],[CollateralCoverageRatio]]&lt;1,"Undersecured","Secured")</f>
        <v>Secured</v>
      </c>
      <c r="P482" t="str">
        <f>_xlfn.XLOOKUP(Loans[[#This Row],[BranchCode]],BranchesTbl[BranchCode],BranchesTbl[BranchName])</f>
        <v>Nyahururu</v>
      </c>
      <c r="Q482">
        <f>_xlfn.XLOOKUP(Loans[[#This Row],[CustomerID]],CustomerTbl[CustomerID],CustomerTbl[RiskScore])</f>
        <v>636</v>
      </c>
      <c r="R482" t="str">
        <f>IFERROR(INDEX(RiskTbl[Risk_Category],MATCH(Loans[[#This Row],[RiskScore]],RiskTbl[Score_Min],1)),"Unknown")</f>
        <v>Medium Risk</v>
      </c>
      <c r="S482" t="str">
        <f>IF(OR(Loans[[#This Row],[LoanStatus]]="Default",Loans[[#This Row],[LoanStatus]]="Watchlist",Loans[[#This Row],[CollateralRisk]]="Undersecured",Loans[[#This Row],[RiskCategory]]="High Risk"),"High Risk Exposure","Normal")</f>
        <v>Normal</v>
      </c>
      <c r="T482" t="str" cm="1">
        <f t="array" ref="T482">_xlfn.IFS(
Loans[[#This Row],[LoanStatus]]="Default","Critical",
OR(Loans[[#This Row],[LoanStatus]]="Watchlist",Loans[[#This Row],[CollateralRisk]]="Undersecured",Loans[[#This Row],[RiskCategory]]="High Risk"),"High",
TRUE,"Normal"
)</f>
        <v>Normal</v>
      </c>
    </row>
    <row r="483" spans="1:20" x14ac:dyDescent="0.35">
      <c r="A483" t="s">
        <v>1012</v>
      </c>
      <c r="B483" t="s">
        <v>1013</v>
      </c>
      <c r="C483" t="s">
        <v>177</v>
      </c>
      <c r="D483" t="s">
        <v>157</v>
      </c>
      <c r="E483" s="34">
        <v>25000000</v>
      </c>
      <c r="F483" s="29">
        <v>0.1229</v>
      </c>
      <c r="G483" s="30">
        <v>45109</v>
      </c>
      <c r="H483">
        <v>48</v>
      </c>
      <c r="I483">
        <v>5</v>
      </c>
      <c r="J483" s="34">
        <v>36250000</v>
      </c>
      <c r="K483" t="s">
        <v>171</v>
      </c>
      <c r="L483" s="34">
        <f>PMT(Loans[[#This Row],[InterestRate]]/12,Loans[[#This Row],[LoanTenureMonths]],-Loans[[#This Row],[LoanAmount]])</f>
        <v>661911.19038865808</v>
      </c>
      <c r="M483" s="30">
        <f>EDATE(Loans[[#This Row],[LoanStartDate]],Loans[[#This Row],[LoanTenureMonths]])</f>
        <v>46570</v>
      </c>
      <c r="N483" s="33">
        <f>IF(Loans[[#This Row],[LoanAmount]]=0,0,Loans[[#This Row],[CollateralValue]]/Loans[[#This Row],[LoanAmount]])</f>
        <v>1.45</v>
      </c>
      <c r="O483" t="str">
        <f>IF(Loans[[#This Row],[CollateralCoverageRatio]]&lt;1,"Undersecured","Secured")</f>
        <v>Secured</v>
      </c>
      <c r="P483" t="str">
        <f>_xlfn.XLOOKUP(Loans[[#This Row],[BranchCode]],BranchesTbl[BranchCode],BranchesTbl[BranchName])</f>
        <v>Naivasha</v>
      </c>
      <c r="Q483">
        <f>_xlfn.XLOOKUP(Loans[[#This Row],[CustomerID]],CustomerTbl[CustomerID],CustomerTbl[RiskScore])</f>
        <v>637</v>
      </c>
      <c r="R483" t="str">
        <f>IFERROR(INDEX(RiskTbl[Risk_Category],MATCH(Loans[[#This Row],[RiskScore]],RiskTbl[Score_Min],1)),"Unknown")</f>
        <v>Medium Risk</v>
      </c>
      <c r="S483" t="str">
        <f>IF(OR(Loans[[#This Row],[LoanStatus]]="Default",Loans[[#This Row],[LoanStatus]]="Watchlist",Loans[[#This Row],[CollateralRisk]]="Undersecured",Loans[[#This Row],[RiskCategory]]="High Risk"),"High Risk Exposure","Normal")</f>
        <v>Normal</v>
      </c>
      <c r="T483" t="str" cm="1">
        <f t="array" ref="T483">_xlfn.IFS(
Loans[[#This Row],[LoanStatus]]="Default","Critical",
OR(Loans[[#This Row],[LoanStatus]]="Watchlist",Loans[[#This Row],[CollateralRisk]]="Undersecured",Loans[[#This Row],[RiskCategory]]="High Risk"),"High",
TRUE,"Normal"
)</f>
        <v>Normal</v>
      </c>
    </row>
    <row r="484" spans="1:20" x14ac:dyDescent="0.35">
      <c r="A484" t="s">
        <v>1014</v>
      </c>
      <c r="B484" t="s">
        <v>1015</v>
      </c>
      <c r="C484" t="s">
        <v>219</v>
      </c>
      <c r="D484" t="s">
        <v>158</v>
      </c>
      <c r="E484" s="34">
        <v>1000000</v>
      </c>
      <c r="F484" s="29">
        <v>0.15690000000000001</v>
      </c>
      <c r="G484" s="30">
        <v>44002</v>
      </c>
      <c r="H484">
        <v>72</v>
      </c>
      <c r="I484">
        <v>5</v>
      </c>
      <c r="J484" s="34">
        <v>1280000</v>
      </c>
      <c r="K484" t="s">
        <v>171</v>
      </c>
      <c r="L484" s="34">
        <f>PMT(Loans[[#This Row],[InterestRate]]/12,Loans[[#This Row],[LoanTenureMonths]],-Loans[[#This Row],[LoanAmount]])</f>
        <v>21521.521665489963</v>
      </c>
      <c r="M484" s="30">
        <f>EDATE(Loans[[#This Row],[LoanStartDate]],Loans[[#This Row],[LoanTenureMonths]])</f>
        <v>46193</v>
      </c>
      <c r="N484" s="33">
        <f>IF(Loans[[#This Row],[LoanAmount]]=0,0,Loans[[#This Row],[CollateralValue]]/Loans[[#This Row],[LoanAmount]])</f>
        <v>1.28</v>
      </c>
      <c r="O484" t="str">
        <f>IF(Loans[[#This Row],[CollateralCoverageRatio]]&lt;1,"Undersecured","Secured")</f>
        <v>Secured</v>
      </c>
      <c r="P484" t="str">
        <f>_xlfn.XLOOKUP(Loans[[#This Row],[BranchCode]],BranchesTbl[BranchCode],BranchesTbl[BranchName])</f>
        <v>Meru</v>
      </c>
      <c r="Q484">
        <f>_xlfn.XLOOKUP(Loans[[#This Row],[CustomerID]],CustomerTbl[CustomerID],CustomerTbl[RiskScore])</f>
        <v>325</v>
      </c>
      <c r="R484" t="str">
        <f>IFERROR(INDEX(RiskTbl[Risk_Category],MATCH(Loans[[#This Row],[RiskScore]],RiskTbl[Score_Min],1)),"Unknown")</f>
        <v>High Risk</v>
      </c>
      <c r="S484" t="str">
        <f>IF(OR(Loans[[#This Row],[LoanStatus]]="Default",Loans[[#This Row],[LoanStatus]]="Watchlist",Loans[[#This Row],[CollateralRisk]]="Undersecured",Loans[[#This Row],[RiskCategory]]="High Risk"),"High Risk Exposure","Normal")</f>
        <v>High Risk Exposure</v>
      </c>
      <c r="T484" t="str" cm="1">
        <f t="array" ref="T484">_xlfn.IFS(
Loans[[#This Row],[LoanStatus]]="Default","Critical",
OR(Loans[[#This Row],[LoanStatus]]="Watchlist",Loans[[#This Row],[CollateralRisk]]="Undersecured",Loans[[#This Row],[RiskCategory]]="High Risk"),"High",
TRUE,"Normal"
)</f>
        <v>High</v>
      </c>
    </row>
    <row r="485" spans="1:20" x14ac:dyDescent="0.35">
      <c r="A485" t="s">
        <v>1016</v>
      </c>
      <c r="B485" t="s">
        <v>1017</v>
      </c>
      <c r="C485" t="s">
        <v>170</v>
      </c>
      <c r="D485" t="s">
        <v>155</v>
      </c>
      <c r="E485" s="34">
        <v>250000</v>
      </c>
      <c r="F485" s="29">
        <v>0.16819999999999999</v>
      </c>
      <c r="G485" s="30">
        <v>44910</v>
      </c>
      <c r="H485">
        <v>36</v>
      </c>
      <c r="I485">
        <v>10</v>
      </c>
      <c r="J485" s="34">
        <v>0</v>
      </c>
      <c r="K485" t="s">
        <v>171</v>
      </c>
      <c r="L485" s="34">
        <f>PMT(Loans[[#This Row],[InterestRate]]/12,Loans[[#This Row],[LoanTenureMonths]],-Loans[[#This Row],[LoanAmount]])</f>
        <v>8890.8021968960329</v>
      </c>
      <c r="M485" s="30">
        <f>EDATE(Loans[[#This Row],[LoanStartDate]],Loans[[#This Row],[LoanTenureMonths]])</f>
        <v>46006</v>
      </c>
      <c r="N485" s="33">
        <f>IF(Loans[[#This Row],[LoanAmount]]=0,0,Loans[[#This Row],[CollateralValue]]/Loans[[#This Row],[LoanAmount]])</f>
        <v>0</v>
      </c>
      <c r="O485" t="str">
        <f>IF(Loans[[#This Row],[CollateralCoverageRatio]]&lt;1,"Undersecured","Secured")</f>
        <v>Undersecured</v>
      </c>
      <c r="P485" t="str">
        <f>_xlfn.XLOOKUP(Loans[[#This Row],[BranchCode]],BranchesTbl[BranchCode],BranchesTbl[BranchName])</f>
        <v>Thika</v>
      </c>
      <c r="Q485">
        <f>_xlfn.XLOOKUP(Loans[[#This Row],[CustomerID]],CustomerTbl[CustomerID],CustomerTbl[RiskScore])</f>
        <v>557</v>
      </c>
      <c r="R485" t="str">
        <f>IFERROR(INDEX(RiskTbl[Risk_Category],MATCH(Loans[[#This Row],[RiskScore]],RiskTbl[Score_Min],1)),"Unknown")</f>
        <v>High Risk</v>
      </c>
      <c r="S485" t="str">
        <f>IF(OR(Loans[[#This Row],[LoanStatus]]="Default",Loans[[#This Row],[LoanStatus]]="Watchlist",Loans[[#This Row],[CollateralRisk]]="Undersecured",Loans[[#This Row],[RiskCategory]]="High Risk"),"High Risk Exposure","Normal")</f>
        <v>High Risk Exposure</v>
      </c>
      <c r="T485" t="str" cm="1">
        <f t="array" ref="T485">_xlfn.IFS(
Loans[[#This Row],[LoanStatus]]="Default","Critical",
OR(Loans[[#This Row],[LoanStatus]]="Watchlist",Loans[[#This Row],[CollateralRisk]]="Undersecured",Loans[[#This Row],[RiskCategory]]="High Risk"),"High",
TRUE,"Normal"
)</f>
        <v>High</v>
      </c>
    </row>
    <row r="486" spans="1:20" x14ac:dyDescent="0.35">
      <c r="A486" t="s">
        <v>1018</v>
      </c>
      <c r="B486" t="s">
        <v>1019</v>
      </c>
      <c r="C486" t="s">
        <v>184</v>
      </c>
      <c r="D486" t="s">
        <v>156</v>
      </c>
      <c r="E486" s="34">
        <v>3000000</v>
      </c>
      <c r="F486" s="29">
        <v>0.15379999999999999</v>
      </c>
      <c r="G486" s="30">
        <v>44123</v>
      </c>
      <c r="H486">
        <v>72</v>
      </c>
      <c r="I486">
        <v>0</v>
      </c>
      <c r="J486" s="34">
        <v>4080000</v>
      </c>
      <c r="K486" t="s">
        <v>171</v>
      </c>
      <c r="L486" s="34">
        <f>PMT(Loans[[#This Row],[InterestRate]]/12,Loans[[#This Row],[LoanTenureMonths]],-Loans[[#This Row],[LoanAmount]])</f>
        <v>64055.768110575023</v>
      </c>
      <c r="M486" s="30">
        <f>EDATE(Loans[[#This Row],[LoanStartDate]],Loans[[#This Row],[LoanTenureMonths]])</f>
        <v>46314</v>
      </c>
      <c r="N486" s="33">
        <f>IF(Loans[[#This Row],[LoanAmount]]=0,0,Loans[[#This Row],[CollateralValue]]/Loans[[#This Row],[LoanAmount]])</f>
        <v>1.36</v>
      </c>
      <c r="O486" t="str">
        <f>IF(Loans[[#This Row],[CollateralCoverageRatio]]&lt;1,"Undersecured","Secured")</f>
        <v>Secured</v>
      </c>
      <c r="P486" t="str">
        <f>_xlfn.XLOOKUP(Loans[[#This Row],[BranchCode]],BranchesTbl[BranchCode],BranchesTbl[BranchName])</f>
        <v>Kisumu</v>
      </c>
      <c r="Q486">
        <f>_xlfn.XLOOKUP(Loans[[#This Row],[CustomerID]],CustomerTbl[CustomerID],CustomerTbl[RiskScore])</f>
        <v>550</v>
      </c>
      <c r="R486" t="str">
        <f>IFERROR(INDEX(RiskTbl[Risk_Category],MATCH(Loans[[#This Row],[RiskScore]],RiskTbl[Score_Min],1)),"Unknown")</f>
        <v>High Risk</v>
      </c>
      <c r="S486" t="str">
        <f>IF(OR(Loans[[#This Row],[LoanStatus]]="Default",Loans[[#This Row],[LoanStatus]]="Watchlist",Loans[[#This Row],[CollateralRisk]]="Undersecured",Loans[[#This Row],[RiskCategory]]="High Risk"),"High Risk Exposure","Normal")</f>
        <v>High Risk Exposure</v>
      </c>
      <c r="T486" t="str" cm="1">
        <f t="array" ref="T486">_xlfn.IFS(
Loans[[#This Row],[LoanStatus]]="Default","Critical",
OR(Loans[[#This Row],[LoanStatus]]="Watchlist",Loans[[#This Row],[CollateralRisk]]="Undersecured",Loans[[#This Row],[RiskCategory]]="High Risk"),"High",
TRUE,"Normal"
)</f>
        <v>High</v>
      </c>
    </row>
    <row r="487" spans="1:20" x14ac:dyDescent="0.35">
      <c r="A487" t="s">
        <v>1020</v>
      </c>
      <c r="B487" t="s">
        <v>916</v>
      </c>
      <c r="C487" t="s">
        <v>219</v>
      </c>
      <c r="D487" t="s">
        <v>158</v>
      </c>
      <c r="E487" s="34">
        <v>6000000</v>
      </c>
      <c r="F487" s="29">
        <v>0.1318</v>
      </c>
      <c r="G487" s="30">
        <v>45660</v>
      </c>
      <c r="H487">
        <v>60</v>
      </c>
      <c r="I487">
        <v>20</v>
      </c>
      <c r="J487" s="34">
        <v>6120000</v>
      </c>
      <c r="K487" t="s">
        <v>171</v>
      </c>
      <c r="L487" s="34">
        <f>PMT(Loans[[#This Row],[InterestRate]]/12,Loans[[#This Row],[LoanTenureMonths]],-Loans[[#This Row],[LoanAmount]])</f>
        <v>137071.93754492237</v>
      </c>
      <c r="M487" s="30">
        <f>EDATE(Loans[[#This Row],[LoanStartDate]],Loans[[#This Row],[LoanTenureMonths]])</f>
        <v>47486</v>
      </c>
      <c r="N487" s="33">
        <f>IF(Loans[[#This Row],[LoanAmount]]=0,0,Loans[[#This Row],[CollateralValue]]/Loans[[#This Row],[LoanAmount]])</f>
        <v>1.02</v>
      </c>
      <c r="O487" t="str">
        <f>IF(Loans[[#This Row],[CollateralCoverageRatio]]&lt;1,"Undersecured","Secured")</f>
        <v>Secured</v>
      </c>
      <c r="P487" t="str">
        <f>_xlfn.XLOOKUP(Loans[[#This Row],[BranchCode]],BranchesTbl[BranchCode],BranchesTbl[BranchName])</f>
        <v>Meru</v>
      </c>
      <c r="Q487">
        <f>_xlfn.XLOOKUP(Loans[[#This Row],[CustomerID]],CustomerTbl[CustomerID],CustomerTbl[RiskScore])</f>
        <v>366</v>
      </c>
      <c r="R487" t="str">
        <f>IFERROR(INDEX(RiskTbl[Risk_Category],MATCH(Loans[[#This Row],[RiskScore]],RiskTbl[Score_Min],1)),"Unknown")</f>
        <v>High Risk</v>
      </c>
      <c r="S487" t="str">
        <f>IF(OR(Loans[[#This Row],[LoanStatus]]="Default",Loans[[#This Row],[LoanStatus]]="Watchlist",Loans[[#This Row],[CollateralRisk]]="Undersecured",Loans[[#This Row],[RiskCategory]]="High Risk"),"High Risk Exposure","Normal")</f>
        <v>High Risk Exposure</v>
      </c>
      <c r="T487" t="str" cm="1">
        <f t="array" ref="T487">_xlfn.IFS(
Loans[[#This Row],[LoanStatus]]="Default","Critical",
OR(Loans[[#This Row],[LoanStatus]]="Watchlist",Loans[[#This Row],[CollateralRisk]]="Undersecured",Loans[[#This Row],[RiskCategory]]="High Risk"),"High",
TRUE,"Normal"
)</f>
        <v>High</v>
      </c>
    </row>
    <row r="488" spans="1:20" x14ac:dyDescent="0.35">
      <c r="A488" t="s">
        <v>1021</v>
      </c>
      <c r="B488" t="s">
        <v>798</v>
      </c>
      <c r="C488" t="s">
        <v>239</v>
      </c>
      <c r="D488" t="s">
        <v>156</v>
      </c>
      <c r="E488" s="34">
        <v>25000000</v>
      </c>
      <c r="F488" s="29">
        <v>0.14369999999999999</v>
      </c>
      <c r="G488" s="30">
        <v>45646</v>
      </c>
      <c r="H488">
        <v>24</v>
      </c>
      <c r="I488">
        <v>0</v>
      </c>
      <c r="J488" s="34">
        <v>33750000</v>
      </c>
      <c r="K488" t="s">
        <v>171</v>
      </c>
      <c r="L488" s="34">
        <f>PMT(Loans[[#This Row],[InterestRate]]/12,Loans[[#This Row],[LoanTenureMonths]],-Loans[[#This Row],[LoanAmount]])</f>
        <v>1204696.5352659314</v>
      </c>
      <c r="M488" s="30">
        <f>EDATE(Loans[[#This Row],[LoanStartDate]],Loans[[#This Row],[LoanTenureMonths]])</f>
        <v>46376</v>
      </c>
      <c r="N488" s="33">
        <f>IF(Loans[[#This Row],[LoanAmount]]=0,0,Loans[[#This Row],[CollateralValue]]/Loans[[#This Row],[LoanAmount]])</f>
        <v>1.35</v>
      </c>
      <c r="O488" t="str">
        <f>IF(Loans[[#This Row],[CollateralCoverageRatio]]&lt;1,"Undersecured","Secured")</f>
        <v>Secured</v>
      </c>
      <c r="P488" t="str">
        <f>_xlfn.XLOOKUP(Loans[[#This Row],[BranchCode]],BranchesTbl[BranchCode],BranchesTbl[BranchName])</f>
        <v>Machakos</v>
      </c>
      <c r="Q488">
        <f>_xlfn.XLOOKUP(Loans[[#This Row],[CustomerID]],CustomerTbl[CustomerID],CustomerTbl[RiskScore])</f>
        <v>642</v>
      </c>
      <c r="R488" t="str">
        <f>IFERROR(INDEX(RiskTbl[Risk_Category],MATCH(Loans[[#This Row],[RiskScore]],RiskTbl[Score_Min],1)),"Unknown")</f>
        <v>Medium Risk</v>
      </c>
      <c r="S488" t="str">
        <f>IF(OR(Loans[[#This Row],[LoanStatus]]="Default",Loans[[#This Row],[LoanStatus]]="Watchlist",Loans[[#This Row],[CollateralRisk]]="Undersecured",Loans[[#This Row],[RiskCategory]]="High Risk"),"High Risk Exposure","Normal")</f>
        <v>Normal</v>
      </c>
      <c r="T488" t="str" cm="1">
        <f t="array" ref="T488">_xlfn.IFS(
Loans[[#This Row],[LoanStatus]]="Default","Critical",
OR(Loans[[#This Row],[LoanStatus]]="Watchlist",Loans[[#This Row],[CollateralRisk]]="Undersecured",Loans[[#This Row],[RiskCategory]]="High Risk"),"High",
TRUE,"Normal"
)</f>
        <v>Normal</v>
      </c>
    </row>
    <row r="489" spans="1:20" x14ac:dyDescent="0.35">
      <c r="A489" t="s">
        <v>1022</v>
      </c>
      <c r="B489" t="s">
        <v>256</v>
      </c>
      <c r="C489" t="s">
        <v>177</v>
      </c>
      <c r="D489" t="s">
        <v>158</v>
      </c>
      <c r="E489" s="34">
        <v>500000</v>
      </c>
      <c r="F489" s="29">
        <v>0.182</v>
      </c>
      <c r="G489" s="30">
        <v>45539</v>
      </c>
      <c r="H489">
        <v>24</v>
      </c>
      <c r="I489">
        <v>20</v>
      </c>
      <c r="J489" s="34">
        <v>285000</v>
      </c>
      <c r="K489" t="s">
        <v>171</v>
      </c>
      <c r="L489" s="34">
        <f>PMT(Loans[[#This Row],[InterestRate]]/12,Loans[[#This Row],[LoanTenureMonths]],-Loans[[#This Row],[LoanAmount]])</f>
        <v>25010.395527262459</v>
      </c>
      <c r="M489" s="30">
        <f>EDATE(Loans[[#This Row],[LoanStartDate]],Loans[[#This Row],[LoanTenureMonths]])</f>
        <v>46269</v>
      </c>
      <c r="N489" s="33">
        <f>IF(Loans[[#This Row],[LoanAmount]]=0,0,Loans[[#This Row],[CollateralValue]]/Loans[[#This Row],[LoanAmount]])</f>
        <v>0.56999999999999995</v>
      </c>
      <c r="O489" t="str">
        <f>IF(Loans[[#This Row],[CollateralCoverageRatio]]&lt;1,"Undersecured","Secured")</f>
        <v>Undersecured</v>
      </c>
      <c r="P489" t="str">
        <f>_xlfn.XLOOKUP(Loans[[#This Row],[BranchCode]],BranchesTbl[BranchCode],BranchesTbl[BranchName])</f>
        <v>Naivasha</v>
      </c>
      <c r="Q489">
        <f>_xlfn.XLOOKUP(Loans[[#This Row],[CustomerID]],CustomerTbl[CustomerID],CustomerTbl[RiskScore])</f>
        <v>659</v>
      </c>
      <c r="R489" t="str">
        <f>IFERROR(INDEX(RiskTbl[Risk_Category],MATCH(Loans[[#This Row],[RiskScore]],RiskTbl[Score_Min],1)),"Unknown")</f>
        <v>Medium Risk</v>
      </c>
      <c r="S489" t="str">
        <f>IF(OR(Loans[[#This Row],[LoanStatus]]="Default",Loans[[#This Row],[LoanStatus]]="Watchlist",Loans[[#This Row],[CollateralRisk]]="Undersecured",Loans[[#This Row],[RiskCategory]]="High Risk"),"High Risk Exposure","Normal")</f>
        <v>High Risk Exposure</v>
      </c>
      <c r="T489" t="str" cm="1">
        <f t="array" ref="T489">_xlfn.IFS(
Loans[[#This Row],[LoanStatus]]="Default","Critical",
OR(Loans[[#This Row],[LoanStatus]]="Watchlist",Loans[[#This Row],[CollateralRisk]]="Undersecured",Loans[[#This Row],[RiskCategory]]="High Risk"),"High",
TRUE,"Normal"
)</f>
        <v>High</v>
      </c>
    </row>
    <row r="490" spans="1:20" x14ac:dyDescent="0.35">
      <c r="A490" t="s">
        <v>1023</v>
      </c>
      <c r="B490" t="s">
        <v>1024</v>
      </c>
      <c r="C490" t="s">
        <v>206</v>
      </c>
      <c r="D490" t="s">
        <v>155</v>
      </c>
      <c r="E490" s="34">
        <v>100000</v>
      </c>
      <c r="F490" s="29">
        <v>0.1706</v>
      </c>
      <c r="G490" s="30">
        <v>45326</v>
      </c>
      <c r="H490">
        <v>24</v>
      </c>
      <c r="I490">
        <v>10</v>
      </c>
      <c r="J490" s="34">
        <v>0</v>
      </c>
      <c r="K490" t="s">
        <v>171</v>
      </c>
      <c r="L490" s="34">
        <f>PMT(Loans[[#This Row],[InterestRate]]/12,Loans[[#This Row],[LoanTenureMonths]],-Loans[[#This Row],[LoanAmount]])</f>
        <v>4947.1098729338446</v>
      </c>
      <c r="M490" s="30">
        <f>EDATE(Loans[[#This Row],[LoanStartDate]],Loans[[#This Row],[LoanTenureMonths]])</f>
        <v>46057</v>
      </c>
      <c r="N490" s="33">
        <f>IF(Loans[[#This Row],[LoanAmount]]=0,0,Loans[[#This Row],[CollateralValue]]/Loans[[#This Row],[LoanAmount]])</f>
        <v>0</v>
      </c>
      <c r="O490" t="str">
        <f>IF(Loans[[#This Row],[CollateralCoverageRatio]]&lt;1,"Undersecured","Secured")</f>
        <v>Undersecured</v>
      </c>
      <c r="P490" t="str">
        <f>_xlfn.XLOOKUP(Loans[[#This Row],[BranchCode]],BranchesTbl[BranchCode],BranchesTbl[BranchName])</f>
        <v>Nyahururu</v>
      </c>
      <c r="Q490">
        <f>_xlfn.XLOOKUP(Loans[[#This Row],[CustomerID]],CustomerTbl[CustomerID],CustomerTbl[RiskScore])</f>
        <v>769</v>
      </c>
      <c r="R490" t="str">
        <f>IFERROR(INDEX(RiskTbl[Risk_Category],MATCH(Loans[[#This Row],[RiskScore]],RiskTbl[Score_Min],1)),"Unknown")</f>
        <v>Very Low Risk</v>
      </c>
      <c r="S490" t="str">
        <f>IF(OR(Loans[[#This Row],[LoanStatus]]="Default",Loans[[#This Row],[LoanStatus]]="Watchlist",Loans[[#This Row],[CollateralRisk]]="Undersecured",Loans[[#This Row],[RiskCategory]]="High Risk"),"High Risk Exposure","Normal")</f>
        <v>High Risk Exposure</v>
      </c>
      <c r="T490" t="str" cm="1">
        <f t="array" ref="T490">_xlfn.IFS(
Loans[[#This Row],[LoanStatus]]="Default","Critical",
OR(Loans[[#This Row],[LoanStatus]]="Watchlist",Loans[[#This Row],[CollateralRisk]]="Undersecured",Loans[[#This Row],[RiskCategory]]="High Risk"),"High",
TRUE,"Normal"
)</f>
        <v>High</v>
      </c>
    </row>
    <row r="491" spans="1:20" x14ac:dyDescent="0.35">
      <c r="A491" t="s">
        <v>1025</v>
      </c>
      <c r="B491" t="s">
        <v>649</v>
      </c>
      <c r="C491" t="s">
        <v>184</v>
      </c>
      <c r="D491" t="s">
        <v>158</v>
      </c>
      <c r="E491" s="34">
        <v>1000000</v>
      </c>
      <c r="F491" s="29">
        <v>0.12559999999999999</v>
      </c>
      <c r="G491" s="30">
        <v>43936</v>
      </c>
      <c r="H491">
        <v>72</v>
      </c>
      <c r="I491">
        <v>10</v>
      </c>
      <c r="J491" s="34">
        <v>890000</v>
      </c>
      <c r="K491" t="s">
        <v>171</v>
      </c>
      <c r="L491" s="34">
        <f>PMT(Loans[[#This Row],[InterestRate]]/12,Loans[[#This Row],[LoanTenureMonths]],-Loans[[#This Row],[LoanAmount]])</f>
        <v>19842.627625558544</v>
      </c>
      <c r="M491" s="30">
        <f>EDATE(Loans[[#This Row],[LoanStartDate]],Loans[[#This Row],[LoanTenureMonths]])</f>
        <v>46127</v>
      </c>
      <c r="N491" s="33">
        <f>IF(Loans[[#This Row],[LoanAmount]]=0,0,Loans[[#This Row],[CollateralValue]]/Loans[[#This Row],[LoanAmount]])</f>
        <v>0.89</v>
      </c>
      <c r="O491" t="str">
        <f>IF(Loans[[#This Row],[CollateralCoverageRatio]]&lt;1,"Undersecured","Secured")</f>
        <v>Undersecured</v>
      </c>
      <c r="P491" t="str">
        <f>_xlfn.XLOOKUP(Loans[[#This Row],[BranchCode]],BranchesTbl[BranchCode],BranchesTbl[BranchName])</f>
        <v>Kisumu</v>
      </c>
      <c r="Q491">
        <f>_xlfn.XLOOKUP(Loans[[#This Row],[CustomerID]],CustomerTbl[CustomerID],CustomerTbl[RiskScore])</f>
        <v>474</v>
      </c>
      <c r="R491" t="str">
        <f>IFERROR(INDEX(RiskTbl[Risk_Category],MATCH(Loans[[#This Row],[RiskScore]],RiskTbl[Score_Min],1)),"Unknown")</f>
        <v>High Risk</v>
      </c>
      <c r="S491" t="str">
        <f>IF(OR(Loans[[#This Row],[LoanStatus]]="Default",Loans[[#This Row],[LoanStatus]]="Watchlist",Loans[[#This Row],[CollateralRisk]]="Undersecured",Loans[[#This Row],[RiskCategory]]="High Risk"),"High Risk Exposure","Normal")</f>
        <v>High Risk Exposure</v>
      </c>
      <c r="T491" t="str" cm="1">
        <f t="array" ref="T491">_xlfn.IFS(
Loans[[#This Row],[LoanStatus]]="Default","Critical",
OR(Loans[[#This Row],[LoanStatus]]="Watchlist",Loans[[#This Row],[CollateralRisk]]="Undersecured",Loans[[#This Row],[RiskCategory]]="High Risk"),"High",
TRUE,"Normal"
)</f>
        <v>High</v>
      </c>
    </row>
    <row r="492" spans="1:20" x14ac:dyDescent="0.35">
      <c r="A492" t="s">
        <v>1026</v>
      </c>
      <c r="B492" t="s">
        <v>310</v>
      </c>
      <c r="C492" t="s">
        <v>270</v>
      </c>
      <c r="D492" t="s">
        <v>158</v>
      </c>
      <c r="E492" s="34">
        <v>500000</v>
      </c>
      <c r="F492" s="29">
        <v>0.19309999999999999</v>
      </c>
      <c r="G492" s="30">
        <v>45004</v>
      </c>
      <c r="H492">
        <v>48</v>
      </c>
      <c r="I492">
        <v>0</v>
      </c>
      <c r="J492" s="34">
        <v>570000</v>
      </c>
      <c r="K492" t="s">
        <v>171</v>
      </c>
      <c r="L492" s="34">
        <f>PMT(Loans[[#This Row],[InterestRate]]/12,Loans[[#This Row],[LoanTenureMonths]],-Loans[[#This Row],[LoanAmount]])</f>
        <v>15031.973712396804</v>
      </c>
      <c r="M492" s="30">
        <f>EDATE(Loans[[#This Row],[LoanStartDate]],Loans[[#This Row],[LoanTenureMonths]])</f>
        <v>46465</v>
      </c>
      <c r="N492" s="33">
        <f>IF(Loans[[#This Row],[LoanAmount]]=0,0,Loans[[#This Row],[CollateralValue]]/Loans[[#This Row],[LoanAmount]])</f>
        <v>1.1399999999999999</v>
      </c>
      <c r="O492" t="str">
        <f>IF(Loans[[#This Row],[CollateralCoverageRatio]]&lt;1,"Undersecured","Secured")</f>
        <v>Secured</v>
      </c>
      <c r="P492" t="str">
        <f>_xlfn.XLOOKUP(Loans[[#This Row],[BranchCode]],BranchesTbl[BranchCode],BranchesTbl[BranchName])</f>
        <v>Nakuru</v>
      </c>
      <c r="Q492">
        <f>_xlfn.XLOOKUP(Loans[[#This Row],[CustomerID]],CustomerTbl[CustomerID],CustomerTbl[RiskScore])</f>
        <v>681</v>
      </c>
      <c r="R492" t="str">
        <f>IFERROR(INDEX(RiskTbl[Risk_Category],MATCH(Loans[[#This Row],[RiskScore]],RiskTbl[Score_Min],1)),"Unknown")</f>
        <v>Low Risk</v>
      </c>
      <c r="S492" t="str">
        <f>IF(OR(Loans[[#This Row],[LoanStatus]]="Default",Loans[[#This Row],[LoanStatus]]="Watchlist",Loans[[#This Row],[CollateralRisk]]="Undersecured",Loans[[#This Row],[RiskCategory]]="High Risk"),"High Risk Exposure","Normal")</f>
        <v>Normal</v>
      </c>
      <c r="T492" t="str" cm="1">
        <f t="array" ref="T492">_xlfn.IFS(
Loans[[#This Row],[LoanStatus]]="Default","Critical",
OR(Loans[[#This Row],[LoanStatus]]="Watchlist",Loans[[#This Row],[CollateralRisk]]="Undersecured",Loans[[#This Row],[RiskCategory]]="High Risk"),"High",
TRUE,"Normal"
)</f>
        <v>Normal</v>
      </c>
    </row>
    <row r="493" spans="1:20" x14ac:dyDescent="0.35">
      <c r="A493" t="s">
        <v>1027</v>
      </c>
      <c r="B493" t="s">
        <v>1028</v>
      </c>
      <c r="C493" t="s">
        <v>196</v>
      </c>
      <c r="D493" t="s">
        <v>156</v>
      </c>
      <c r="E493" s="34">
        <v>1000000</v>
      </c>
      <c r="F493" s="29">
        <v>0.16839999999999999</v>
      </c>
      <c r="G493" s="30">
        <v>44852</v>
      </c>
      <c r="H493">
        <v>24</v>
      </c>
      <c r="I493">
        <v>0</v>
      </c>
      <c r="J493" s="34">
        <v>870000</v>
      </c>
      <c r="K493" t="s">
        <v>171</v>
      </c>
      <c r="L493" s="34">
        <f>PMT(Loans[[#This Row],[InterestRate]]/12,Loans[[#This Row],[LoanTenureMonths]],-Loans[[#This Row],[LoanAmount]])</f>
        <v>49365.418950179461</v>
      </c>
      <c r="M493" s="30">
        <f>EDATE(Loans[[#This Row],[LoanStartDate]],Loans[[#This Row],[LoanTenureMonths]])</f>
        <v>45583</v>
      </c>
      <c r="N493" s="33">
        <f>IF(Loans[[#This Row],[LoanAmount]]=0,0,Loans[[#This Row],[CollateralValue]]/Loans[[#This Row],[LoanAmount]])</f>
        <v>0.87</v>
      </c>
      <c r="O493" t="str">
        <f>IF(Loans[[#This Row],[CollateralCoverageRatio]]&lt;1,"Undersecured","Secured")</f>
        <v>Undersecured</v>
      </c>
      <c r="P493" t="str">
        <f>_xlfn.XLOOKUP(Loans[[#This Row],[BranchCode]],BranchesTbl[BranchCode],BranchesTbl[BranchName])</f>
        <v>Karen</v>
      </c>
      <c r="Q493">
        <f>_xlfn.XLOOKUP(Loans[[#This Row],[CustomerID]],CustomerTbl[CustomerID],CustomerTbl[RiskScore])</f>
        <v>305</v>
      </c>
      <c r="R493" t="str">
        <f>IFERROR(INDEX(RiskTbl[Risk_Category],MATCH(Loans[[#This Row],[RiskScore]],RiskTbl[Score_Min],1)),"Unknown")</f>
        <v>High Risk</v>
      </c>
      <c r="S493" t="str">
        <f>IF(OR(Loans[[#This Row],[LoanStatus]]="Default",Loans[[#This Row],[LoanStatus]]="Watchlist",Loans[[#This Row],[CollateralRisk]]="Undersecured",Loans[[#This Row],[RiskCategory]]="High Risk"),"High Risk Exposure","Normal")</f>
        <v>High Risk Exposure</v>
      </c>
      <c r="T493" t="str" cm="1">
        <f t="array" ref="T493">_xlfn.IFS(
Loans[[#This Row],[LoanStatus]]="Default","Critical",
OR(Loans[[#This Row],[LoanStatus]]="Watchlist",Loans[[#This Row],[CollateralRisk]]="Undersecured",Loans[[#This Row],[RiskCategory]]="High Risk"),"High",
TRUE,"Normal"
)</f>
        <v>High</v>
      </c>
    </row>
    <row r="494" spans="1:20" x14ac:dyDescent="0.35">
      <c r="A494" t="s">
        <v>1029</v>
      </c>
      <c r="B494" t="s">
        <v>1030</v>
      </c>
      <c r="C494" t="s">
        <v>267</v>
      </c>
      <c r="D494" t="s">
        <v>156</v>
      </c>
      <c r="E494" s="34">
        <v>6000000</v>
      </c>
      <c r="F494" s="29">
        <v>0.16400000000000001</v>
      </c>
      <c r="G494" s="30">
        <v>44892</v>
      </c>
      <c r="H494">
        <v>48</v>
      </c>
      <c r="I494">
        <v>20</v>
      </c>
      <c r="J494" s="34">
        <v>7860000</v>
      </c>
      <c r="K494" t="s">
        <v>171</v>
      </c>
      <c r="L494" s="34">
        <f>PMT(Loans[[#This Row],[InterestRate]]/12,Loans[[#This Row],[LoanTenureMonths]],-Loans[[#This Row],[LoanAmount]])</f>
        <v>171273.35854363523</v>
      </c>
      <c r="M494" s="30">
        <f>EDATE(Loans[[#This Row],[LoanStartDate]],Loans[[#This Row],[LoanTenureMonths]])</f>
        <v>46353</v>
      </c>
      <c r="N494" s="33">
        <f>IF(Loans[[#This Row],[LoanAmount]]=0,0,Loans[[#This Row],[CollateralValue]]/Loans[[#This Row],[LoanAmount]])</f>
        <v>1.31</v>
      </c>
      <c r="O494" t="str">
        <f>IF(Loans[[#This Row],[CollateralCoverageRatio]]&lt;1,"Undersecured","Secured")</f>
        <v>Secured</v>
      </c>
      <c r="P494" t="str">
        <f>_xlfn.XLOOKUP(Loans[[#This Row],[BranchCode]],BranchesTbl[BranchCode],BranchesTbl[BranchName])</f>
        <v>Malindi</v>
      </c>
      <c r="Q494">
        <f>_xlfn.XLOOKUP(Loans[[#This Row],[CustomerID]],CustomerTbl[CustomerID],CustomerTbl[RiskScore])</f>
        <v>343</v>
      </c>
      <c r="R494" t="str">
        <f>IFERROR(INDEX(RiskTbl[Risk_Category],MATCH(Loans[[#This Row],[RiskScore]],RiskTbl[Score_Min],1)),"Unknown")</f>
        <v>High Risk</v>
      </c>
      <c r="S494" t="str">
        <f>IF(OR(Loans[[#This Row],[LoanStatus]]="Default",Loans[[#This Row],[LoanStatus]]="Watchlist",Loans[[#This Row],[CollateralRisk]]="Undersecured",Loans[[#This Row],[RiskCategory]]="High Risk"),"High Risk Exposure","Normal")</f>
        <v>High Risk Exposure</v>
      </c>
      <c r="T494" t="str" cm="1">
        <f t="array" ref="T494">_xlfn.IFS(
Loans[[#This Row],[LoanStatus]]="Default","Critical",
OR(Loans[[#This Row],[LoanStatus]]="Watchlist",Loans[[#This Row],[CollateralRisk]]="Undersecured",Loans[[#This Row],[RiskCategory]]="High Risk"),"High",
TRUE,"Normal"
)</f>
        <v>High</v>
      </c>
    </row>
    <row r="495" spans="1:20" x14ac:dyDescent="0.35">
      <c r="A495" t="s">
        <v>1031</v>
      </c>
      <c r="B495" t="s">
        <v>608</v>
      </c>
      <c r="C495" t="s">
        <v>184</v>
      </c>
      <c r="D495" t="s">
        <v>155</v>
      </c>
      <c r="E495" s="34">
        <v>100000</v>
      </c>
      <c r="F495" s="29">
        <v>0.25280000000000002</v>
      </c>
      <c r="G495" s="30">
        <v>45693</v>
      </c>
      <c r="H495">
        <v>72</v>
      </c>
      <c r="I495">
        <v>120</v>
      </c>
      <c r="J495" s="34">
        <v>0</v>
      </c>
      <c r="K495" t="s">
        <v>178</v>
      </c>
      <c r="L495" s="34">
        <f>PMT(Loans[[#This Row],[InterestRate]]/12,Loans[[#This Row],[LoanTenureMonths]],-Loans[[#This Row],[LoanAmount]])</f>
        <v>2710.9245586727561</v>
      </c>
      <c r="M495" s="30">
        <f>EDATE(Loans[[#This Row],[LoanStartDate]],Loans[[#This Row],[LoanTenureMonths]])</f>
        <v>47884</v>
      </c>
      <c r="N495" s="33">
        <f>IF(Loans[[#This Row],[LoanAmount]]=0,0,Loans[[#This Row],[CollateralValue]]/Loans[[#This Row],[LoanAmount]])</f>
        <v>0</v>
      </c>
      <c r="O495" t="str">
        <f>IF(Loans[[#This Row],[CollateralCoverageRatio]]&lt;1,"Undersecured","Secured")</f>
        <v>Undersecured</v>
      </c>
      <c r="P495" t="str">
        <f>_xlfn.XLOOKUP(Loans[[#This Row],[BranchCode]],BranchesTbl[BranchCode],BranchesTbl[BranchName])</f>
        <v>Kisumu</v>
      </c>
      <c r="Q495">
        <f>_xlfn.XLOOKUP(Loans[[#This Row],[CustomerID]],CustomerTbl[CustomerID],CustomerTbl[RiskScore])</f>
        <v>557</v>
      </c>
      <c r="R495" t="str">
        <f>IFERROR(INDEX(RiskTbl[Risk_Category],MATCH(Loans[[#This Row],[RiskScore]],RiskTbl[Score_Min],1)),"Unknown")</f>
        <v>High Risk</v>
      </c>
      <c r="S495" t="str">
        <f>IF(OR(Loans[[#This Row],[LoanStatus]]="Default",Loans[[#This Row],[LoanStatus]]="Watchlist",Loans[[#This Row],[CollateralRisk]]="Undersecured",Loans[[#This Row],[RiskCategory]]="High Risk"),"High Risk Exposure","Normal")</f>
        <v>High Risk Exposure</v>
      </c>
      <c r="T495" t="str" cm="1">
        <f t="array" ref="T495">_xlfn.IFS(
Loans[[#This Row],[LoanStatus]]="Default","Critical",
OR(Loans[[#This Row],[LoanStatus]]="Watchlist",Loans[[#This Row],[CollateralRisk]]="Undersecured",Loans[[#This Row],[RiskCategory]]="High Risk"),"High",
TRUE,"Normal"
)</f>
        <v>Critical</v>
      </c>
    </row>
    <row r="496" spans="1:20" x14ac:dyDescent="0.35">
      <c r="A496" t="s">
        <v>1032</v>
      </c>
      <c r="B496" t="s">
        <v>647</v>
      </c>
      <c r="C496" t="s">
        <v>219</v>
      </c>
      <c r="D496" t="s">
        <v>156</v>
      </c>
      <c r="E496" s="34">
        <v>3000000</v>
      </c>
      <c r="F496" s="29">
        <v>0.19570000000000001</v>
      </c>
      <c r="G496" s="30">
        <v>45962</v>
      </c>
      <c r="H496">
        <v>24</v>
      </c>
      <c r="I496">
        <v>5</v>
      </c>
      <c r="J496" s="34">
        <v>4500000</v>
      </c>
      <c r="K496" t="s">
        <v>171</v>
      </c>
      <c r="L496" s="34">
        <f>PMT(Loans[[#This Row],[InterestRate]]/12,Loans[[#This Row],[LoanTenureMonths]],-Loans[[#This Row],[LoanAmount]])</f>
        <v>152057.95841066426</v>
      </c>
      <c r="M496" s="30">
        <f>EDATE(Loans[[#This Row],[LoanStartDate]],Loans[[#This Row],[LoanTenureMonths]])</f>
        <v>46692</v>
      </c>
      <c r="N496" s="33">
        <f>IF(Loans[[#This Row],[LoanAmount]]=0,0,Loans[[#This Row],[CollateralValue]]/Loans[[#This Row],[LoanAmount]])</f>
        <v>1.5</v>
      </c>
      <c r="O496" t="str">
        <f>IF(Loans[[#This Row],[CollateralCoverageRatio]]&lt;1,"Undersecured","Secured")</f>
        <v>Secured</v>
      </c>
      <c r="P496" t="str">
        <f>_xlfn.XLOOKUP(Loans[[#This Row],[BranchCode]],BranchesTbl[BranchCode],BranchesTbl[BranchName])</f>
        <v>Meru</v>
      </c>
      <c r="Q496">
        <f>_xlfn.XLOOKUP(Loans[[#This Row],[CustomerID]],CustomerTbl[CustomerID],CustomerTbl[RiskScore])</f>
        <v>599</v>
      </c>
      <c r="R496" t="str">
        <f>IFERROR(INDEX(RiskTbl[Risk_Category],MATCH(Loans[[#This Row],[RiskScore]],RiskTbl[Score_Min],1)),"Unknown")</f>
        <v>Medium Risk</v>
      </c>
      <c r="S496" t="str">
        <f>IF(OR(Loans[[#This Row],[LoanStatus]]="Default",Loans[[#This Row],[LoanStatus]]="Watchlist",Loans[[#This Row],[CollateralRisk]]="Undersecured",Loans[[#This Row],[RiskCategory]]="High Risk"),"High Risk Exposure","Normal")</f>
        <v>Normal</v>
      </c>
      <c r="T496" t="str" cm="1">
        <f t="array" ref="T496">_xlfn.IFS(
Loans[[#This Row],[LoanStatus]]="Default","Critical",
OR(Loans[[#This Row],[LoanStatus]]="Watchlist",Loans[[#This Row],[CollateralRisk]]="Undersecured",Loans[[#This Row],[RiskCategory]]="High Risk"),"High",
TRUE,"Normal"
)</f>
        <v>Normal</v>
      </c>
    </row>
    <row r="497" spans="1:20" x14ac:dyDescent="0.35">
      <c r="A497" t="s">
        <v>1033</v>
      </c>
      <c r="B497" t="s">
        <v>1034</v>
      </c>
      <c r="C497" t="s">
        <v>219</v>
      </c>
      <c r="D497" t="s">
        <v>155</v>
      </c>
      <c r="E497" s="34">
        <v>1000000</v>
      </c>
      <c r="F497" s="29">
        <v>0.2392</v>
      </c>
      <c r="G497" s="30">
        <v>45062</v>
      </c>
      <c r="H497">
        <v>60</v>
      </c>
      <c r="I497">
        <v>0</v>
      </c>
      <c r="J497" s="34">
        <v>0</v>
      </c>
      <c r="K497" t="s">
        <v>171</v>
      </c>
      <c r="L497" s="34">
        <f>PMT(Loans[[#This Row],[InterestRate]]/12,Loans[[#This Row],[LoanTenureMonths]],-Loans[[#This Row],[LoanAmount]])</f>
        <v>28721.549519452554</v>
      </c>
      <c r="M497" s="30">
        <f>EDATE(Loans[[#This Row],[LoanStartDate]],Loans[[#This Row],[LoanTenureMonths]])</f>
        <v>46889</v>
      </c>
      <c r="N497" s="33">
        <f>IF(Loans[[#This Row],[LoanAmount]]=0,0,Loans[[#This Row],[CollateralValue]]/Loans[[#This Row],[LoanAmount]])</f>
        <v>0</v>
      </c>
      <c r="O497" t="str">
        <f>IF(Loans[[#This Row],[CollateralCoverageRatio]]&lt;1,"Undersecured","Secured")</f>
        <v>Undersecured</v>
      </c>
      <c r="P497" t="str">
        <f>_xlfn.XLOOKUP(Loans[[#This Row],[BranchCode]],BranchesTbl[BranchCode],BranchesTbl[BranchName])</f>
        <v>Meru</v>
      </c>
      <c r="Q497">
        <f>_xlfn.XLOOKUP(Loans[[#This Row],[CustomerID]],CustomerTbl[CustomerID],CustomerTbl[RiskScore])</f>
        <v>320</v>
      </c>
      <c r="R497" t="str">
        <f>IFERROR(INDEX(RiskTbl[Risk_Category],MATCH(Loans[[#This Row],[RiskScore]],RiskTbl[Score_Min],1)),"Unknown")</f>
        <v>High Risk</v>
      </c>
      <c r="S497" t="str">
        <f>IF(OR(Loans[[#This Row],[LoanStatus]]="Default",Loans[[#This Row],[LoanStatus]]="Watchlist",Loans[[#This Row],[CollateralRisk]]="Undersecured",Loans[[#This Row],[RiskCategory]]="High Risk"),"High Risk Exposure","Normal")</f>
        <v>High Risk Exposure</v>
      </c>
      <c r="T497" t="str" cm="1">
        <f t="array" ref="T497">_xlfn.IFS(
Loans[[#This Row],[LoanStatus]]="Default","Critical",
OR(Loans[[#This Row],[LoanStatus]]="Watchlist",Loans[[#This Row],[CollateralRisk]]="Undersecured",Loans[[#This Row],[RiskCategory]]="High Risk"),"High",
TRUE,"Normal"
)</f>
        <v>High</v>
      </c>
    </row>
    <row r="498" spans="1:20" x14ac:dyDescent="0.35">
      <c r="A498" t="s">
        <v>1035</v>
      </c>
      <c r="B498" t="s">
        <v>874</v>
      </c>
      <c r="C498" t="s">
        <v>184</v>
      </c>
      <c r="D498" t="s">
        <v>157</v>
      </c>
      <c r="E498" s="34">
        <v>6000000</v>
      </c>
      <c r="F498" s="29">
        <v>0.1075</v>
      </c>
      <c r="G498" s="30">
        <v>45071</v>
      </c>
      <c r="H498">
        <v>24</v>
      </c>
      <c r="I498">
        <v>45</v>
      </c>
      <c r="J498" s="34">
        <v>5640000</v>
      </c>
      <c r="K498" t="s">
        <v>199</v>
      </c>
      <c r="L498" s="34">
        <f>PMT(Loans[[#This Row],[InterestRate]]/12,Loans[[#This Row],[LoanTenureMonths]],-Loans[[#This Row],[LoanAmount]])</f>
        <v>278951.12883084791</v>
      </c>
      <c r="M498" s="30">
        <f>EDATE(Loans[[#This Row],[LoanStartDate]],Loans[[#This Row],[LoanTenureMonths]])</f>
        <v>45802</v>
      </c>
      <c r="N498" s="33">
        <f>IF(Loans[[#This Row],[LoanAmount]]=0,0,Loans[[#This Row],[CollateralValue]]/Loans[[#This Row],[LoanAmount]])</f>
        <v>0.94</v>
      </c>
      <c r="O498" t="str">
        <f>IF(Loans[[#This Row],[CollateralCoverageRatio]]&lt;1,"Undersecured","Secured")</f>
        <v>Undersecured</v>
      </c>
      <c r="P498" t="str">
        <f>_xlfn.XLOOKUP(Loans[[#This Row],[BranchCode]],BranchesTbl[BranchCode],BranchesTbl[BranchName])</f>
        <v>Kisumu</v>
      </c>
      <c r="Q498">
        <f>_xlfn.XLOOKUP(Loans[[#This Row],[CustomerID]],CustomerTbl[CustomerID],CustomerTbl[RiskScore])</f>
        <v>574</v>
      </c>
      <c r="R498" t="str">
        <f>IFERROR(INDEX(RiskTbl[Risk_Category],MATCH(Loans[[#This Row],[RiskScore]],RiskTbl[Score_Min],1)),"Unknown")</f>
        <v>High Risk</v>
      </c>
      <c r="S498" t="str">
        <f>IF(OR(Loans[[#This Row],[LoanStatus]]="Default",Loans[[#This Row],[LoanStatus]]="Watchlist",Loans[[#This Row],[CollateralRisk]]="Undersecured",Loans[[#This Row],[RiskCategory]]="High Risk"),"High Risk Exposure","Normal")</f>
        <v>High Risk Exposure</v>
      </c>
      <c r="T498" t="str" cm="1">
        <f t="array" ref="T498">_xlfn.IFS(
Loans[[#This Row],[LoanStatus]]="Default","Critical",
OR(Loans[[#This Row],[LoanStatus]]="Watchlist",Loans[[#This Row],[CollateralRisk]]="Undersecured",Loans[[#This Row],[RiskCategory]]="High Risk"),"High",
TRUE,"Normal"
)</f>
        <v>High</v>
      </c>
    </row>
    <row r="499" spans="1:20" x14ac:dyDescent="0.35">
      <c r="A499" t="s">
        <v>1036</v>
      </c>
      <c r="B499" t="s">
        <v>1037</v>
      </c>
      <c r="C499" t="s">
        <v>177</v>
      </c>
      <c r="D499" t="s">
        <v>158</v>
      </c>
      <c r="E499" s="34">
        <v>6000000</v>
      </c>
      <c r="F499" s="29">
        <v>0.14530000000000001</v>
      </c>
      <c r="G499" s="30">
        <v>44418</v>
      </c>
      <c r="H499">
        <v>24</v>
      </c>
      <c r="I499">
        <v>120</v>
      </c>
      <c r="J499" s="34">
        <v>3180000</v>
      </c>
      <c r="K499" t="s">
        <v>178</v>
      </c>
      <c r="L499" s="34">
        <f>PMT(Loans[[#This Row],[InterestRate]]/12,Loans[[#This Row],[LoanTenureMonths]],-Loans[[#This Row],[LoanAmount]])</f>
        <v>289581.85324840812</v>
      </c>
      <c r="M499" s="30">
        <f>EDATE(Loans[[#This Row],[LoanStartDate]],Loans[[#This Row],[LoanTenureMonths]])</f>
        <v>45148</v>
      </c>
      <c r="N499" s="33">
        <f>IF(Loans[[#This Row],[LoanAmount]]=0,0,Loans[[#This Row],[CollateralValue]]/Loans[[#This Row],[LoanAmount]])</f>
        <v>0.53</v>
      </c>
      <c r="O499" t="str">
        <f>IF(Loans[[#This Row],[CollateralCoverageRatio]]&lt;1,"Undersecured","Secured")</f>
        <v>Undersecured</v>
      </c>
      <c r="P499" t="str">
        <f>_xlfn.XLOOKUP(Loans[[#This Row],[BranchCode]],BranchesTbl[BranchCode],BranchesTbl[BranchName])</f>
        <v>Naivasha</v>
      </c>
      <c r="Q499">
        <f>_xlfn.XLOOKUP(Loans[[#This Row],[CustomerID]],CustomerTbl[CustomerID],CustomerTbl[RiskScore])</f>
        <v>444</v>
      </c>
      <c r="R499" t="str">
        <f>IFERROR(INDEX(RiskTbl[Risk_Category],MATCH(Loans[[#This Row],[RiskScore]],RiskTbl[Score_Min],1)),"Unknown")</f>
        <v>High Risk</v>
      </c>
      <c r="S499" t="str">
        <f>IF(OR(Loans[[#This Row],[LoanStatus]]="Default",Loans[[#This Row],[LoanStatus]]="Watchlist",Loans[[#This Row],[CollateralRisk]]="Undersecured",Loans[[#This Row],[RiskCategory]]="High Risk"),"High Risk Exposure","Normal")</f>
        <v>High Risk Exposure</v>
      </c>
      <c r="T499" t="str" cm="1">
        <f t="array" ref="T499">_xlfn.IFS(
Loans[[#This Row],[LoanStatus]]="Default","Critical",
OR(Loans[[#This Row],[LoanStatus]]="Watchlist",Loans[[#This Row],[CollateralRisk]]="Undersecured",Loans[[#This Row],[RiskCategory]]="High Risk"),"High",
TRUE,"Normal"
)</f>
        <v>Critical</v>
      </c>
    </row>
    <row r="500" spans="1:20" x14ac:dyDescent="0.35">
      <c r="A500" t="s">
        <v>1038</v>
      </c>
      <c r="B500" t="s">
        <v>1039</v>
      </c>
      <c r="C500" t="s">
        <v>196</v>
      </c>
      <c r="D500" t="s">
        <v>155</v>
      </c>
      <c r="E500" s="34">
        <v>250000</v>
      </c>
      <c r="F500" s="29">
        <v>0.1774</v>
      </c>
      <c r="G500" s="30">
        <v>45284</v>
      </c>
      <c r="H500">
        <v>48</v>
      </c>
      <c r="I500">
        <v>10</v>
      </c>
      <c r="J500" s="34">
        <v>0</v>
      </c>
      <c r="K500" t="s">
        <v>171</v>
      </c>
      <c r="L500" s="34">
        <f>PMT(Loans[[#This Row],[InterestRate]]/12,Loans[[#This Row],[LoanTenureMonths]],-Loans[[#This Row],[LoanAmount]])</f>
        <v>7309.8281939472417</v>
      </c>
      <c r="M500" s="30">
        <f>EDATE(Loans[[#This Row],[LoanStartDate]],Loans[[#This Row],[LoanTenureMonths]])</f>
        <v>46745</v>
      </c>
      <c r="N500" s="33">
        <f>IF(Loans[[#This Row],[LoanAmount]]=0,0,Loans[[#This Row],[CollateralValue]]/Loans[[#This Row],[LoanAmount]])</f>
        <v>0</v>
      </c>
      <c r="O500" t="str">
        <f>IF(Loans[[#This Row],[CollateralCoverageRatio]]&lt;1,"Undersecured","Secured")</f>
        <v>Undersecured</v>
      </c>
      <c r="P500" t="str">
        <f>_xlfn.XLOOKUP(Loans[[#This Row],[BranchCode]],BranchesTbl[BranchCode],BranchesTbl[BranchName])</f>
        <v>Karen</v>
      </c>
      <c r="Q500">
        <f>_xlfn.XLOOKUP(Loans[[#This Row],[CustomerID]],CustomerTbl[CustomerID],CustomerTbl[RiskScore])</f>
        <v>698</v>
      </c>
      <c r="R500" t="str">
        <f>IFERROR(INDEX(RiskTbl[Risk_Category],MATCH(Loans[[#This Row],[RiskScore]],RiskTbl[Score_Min],1)),"Unknown")</f>
        <v>Low Risk</v>
      </c>
      <c r="S500" t="str">
        <f>IF(OR(Loans[[#This Row],[LoanStatus]]="Default",Loans[[#This Row],[LoanStatus]]="Watchlist",Loans[[#This Row],[CollateralRisk]]="Undersecured",Loans[[#This Row],[RiskCategory]]="High Risk"),"High Risk Exposure","Normal")</f>
        <v>High Risk Exposure</v>
      </c>
      <c r="T500" t="str" cm="1">
        <f t="array" ref="T500">_xlfn.IFS(
Loans[[#This Row],[LoanStatus]]="Default","Critical",
OR(Loans[[#This Row],[LoanStatus]]="Watchlist",Loans[[#This Row],[CollateralRisk]]="Undersecured",Loans[[#This Row],[RiskCategory]]="High Risk"),"High",
TRUE,"Normal"
)</f>
        <v>High</v>
      </c>
    </row>
    <row r="501" spans="1:20" x14ac:dyDescent="0.35">
      <c r="A501" t="s">
        <v>1040</v>
      </c>
      <c r="B501" t="s">
        <v>1041</v>
      </c>
      <c r="C501" t="s">
        <v>206</v>
      </c>
      <c r="D501" t="s">
        <v>155</v>
      </c>
      <c r="E501" s="34">
        <v>1000000</v>
      </c>
      <c r="F501" s="29">
        <v>0.26879999999999998</v>
      </c>
      <c r="G501" s="30">
        <v>45035</v>
      </c>
      <c r="H501">
        <v>48</v>
      </c>
      <c r="I501">
        <v>120</v>
      </c>
      <c r="J501" s="34">
        <v>0</v>
      </c>
      <c r="K501" t="s">
        <v>178</v>
      </c>
      <c r="L501" s="34">
        <f>PMT(Loans[[#This Row],[InterestRate]]/12,Loans[[#This Row],[LoanTenureMonths]],-Loans[[#This Row],[LoanAmount]])</f>
        <v>34214.271134447459</v>
      </c>
      <c r="M501" s="30">
        <f>EDATE(Loans[[#This Row],[LoanStartDate]],Loans[[#This Row],[LoanTenureMonths]])</f>
        <v>46496</v>
      </c>
      <c r="N501" s="33">
        <f>IF(Loans[[#This Row],[LoanAmount]]=0,0,Loans[[#This Row],[CollateralValue]]/Loans[[#This Row],[LoanAmount]])</f>
        <v>0</v>
      </c>
      <c r="O501" t="str">
        <f>IF(Loans[[#This Row],[CollateralCoverageRatio]]&lt;1,"Undersecured","Secured")</f>
        <v>Undersecured</v>
      </c>
      <c r="P501" t="str">
        <f>_xlfn.XLOOKUP(Loans[[#This Row],[BranchCode]],BranchesTbl[BranchCode],BranchesTbl[BranchName])</f>
        <v>Nyahururu</v>
      </c>
      <c r="Q501">
        <f>_xlfn.XLOOKUP(Loans[[#This Row],[CustomerID]],CustomerTbl[CustomerID],CustomerTbl[RiskScore])</f>
        <v>424</v>
      </c>
      <c r="R501" t="str">
        <f>IFERROR(INDEX(RiskTbl[Risk_Category],MATCH(Loans[[#This Row],[RiskScore]],RiskTbl[Score_Min],1)),"Unknown")</f>
        <v>High Risk</v>
      </c>
      <c r="S501" t="str">
        <f>IF(OR(Loans[[#This Row],[LoanStatus]]="Default",Loans[[#This Row],[LoanStatus]]="Watchlist",Loans[[#This Row],[CollateralRisk]]="Undersecured",Loans[[#This Row],[RiskCategory]]="High Risk"),"High Risk Exposure","Normal")</f>
        <v>High Risk Exposure</v>
      </c>
      <c r="T501" t="str" cm="1">
        <f t="array" ref="T501">_xlfn.IFS(
Loans[[#This Row],[LoanStatus]]="Default","Critical",
OR(Loans[[#This Row],[LoanStatus]]="Watchlist",Loans[[#This Row],[CollateralRisk]]="Undersecured",Loans[[#This Row],[RiskCategory]]="High Risk"),"High",
TRUE,"Normal"
)</f>
        <v>Critical</v>
      </c>
    </row>
    <row r="502" spans="1:20" x14ac:dyDescent="0.35">
      <c r="A502" t="s">
        <v>1042</v>
      </c>
      <c r="B502" t="s">
        <v>1043</v>
      </c>
      <c r="C502" t="s">
        <v>206</v>
      </c>
      <c r="D502" t="s">
        <v>155</v>
      </c>
      <c r="E502" s="34">
        <v>500000</v>
      </c>
      <c r="F502" s="29">
        <v>0.27129999999999999</v>
      </c>
      <c r="G502" s="30">
        <v>44386</v>
      </c>
      <c r="H502">
        <v>48</v>
      </c>
      <c r="I502">
        <v>0</v>
      </c>
      <c r="J502" s="34">
        <v>0</v>
      </c>
      <c r="K502" t="s">
        <v>171</v>
      </c>
      <c r="L502" s="34">
        <f>PMT(Loans[[#This Row],[InterestRate]]/12,Loans[[#This Row],[LoanTenureMonths]],-Loans[[#This Row],[LoanAmount]])</f>
        <v>17178.066967983203</v>
      </c>
      <c r="M502" s="30">
        <f>EDATE(Loans[[#This Row],[LoanStartDate]],Loans[[#This Row],[LoanTenureMonths]])</f>
        <v>45847</v>
      </c>
      <c r="N502" s="33">
        <f>IF(Loans[[#This Row],[LoanAmount]]=0,0,Loans[[#This Row],[CollateralValue]]/Loans[[#This Row],[LoanAmount]])</f>
        <v>0</v>
      </c>
      <c r="O502" t="str">
        <f>IF(Loans[[#This Row],[CollateralCoverageRatio]]&lt;1,"Undersecured","Secured")</f>
        <v>Undersecured</v>
      </c>
      <c r="P502" t="str">
        <f>_xlfn.XLOOKUP(Loans[[#This Row],[BranchCode]],BranchesTbl[BranchCode],BranchesTbl[BranchName])</f>
        <v>Nyahururu</v>
      </c>
      <c r="Q502">
        <f>_xlfn.XLOOKUP(Loans[[#This Row],[CustomerID]],CustomerTbl[CustomerID],CustomerTbl[RiskScore])</f>
        <v>361</v>
      </c>
      <c r="R502" t="str">
        <f>IFERROR(INDEX(RiskTbl[Risk_Category],MATCH(Loans[[#This Row],[RiskScore]],RiskTbl[Score_Min],1)),"Unknown")</f>
        <v>High Risk</v>
      </c>
      <c r="S502" t="str">
        <f>IF(OR(Loans[[#This Row],[LoanStatus]]="Default",Loans[[#This Row],[LoanStatus]]="Watchlist",Loans[[#This Row],[CollateralRisk]]="Undersecured",Loans[[#This Row],[RiskCategory]]="High Risk"),"High Risk Exposure","Normal")</f>
        <v>High Risk Exposure</v>
      </c>
      <c r="T502" t="str" cm="1">
        <f t="array" ref="T502">_xlfn.IFS(
Loans[[#This Row],[LoanStatus]]="Default","Critical",
OR(Loans[[#This Row],[LoanStatus]]="Watchlist",Loans[[#This Row],[CollateralRisk]]="Undersecured",Loans[[#This Row],[RiskCategory]]="High Risk"),"High",
TRUE,"Normal"
)</f>
        <v>High</v>
      </c>
    </row>
    <row r="503" spans="1:20" x14ac:dyDescent="0.35">
      <c r="A503" t="s">
        <v>1044</v>
      </c>
      <c r="B503" t="s">
        <v>1045</v>
      </c>
      <c r="C503" t="s">
        <v>181</v>
      </c>
      <c r="D503" t="s">
        <v>158</v>
      </c>
      <c r="E503" s="34">
        <v>3000000</v>
      </c>
      <c r="F503" s="29">
        <v>0.18459999999999999</v>
      </c>
      <c r="G503" s="30">
        <v>45784</v>
      </c>
      <c r="H503">
        <v>60</v>
      </c>
      <c r="I503">
        <v>45</v>
      </c>
      <c r="J503" s="34">
        <v>3060000</v>
      </c>
      <c r="K503" t="s">
        <v>199</v>
      </c>
      <c r="L503" s="34">
        <f>PMT(Loans[[#This Row],[InterestRate]]/12,Loans[[#This Row],[LoanTenureMonths]],-Loans[[#This Row],[LoanAmount]])</f>
        <v>76932.987346987677</v>
      </c>
      <c r="M503" s="30">
        <f>EDATE(Loans[[#This Row],[LoanStartDate]],Loans[[#This Row],[LoanTenureMonths]])</f>
        <v>47610</v>
      </c>
      <c r="N503" s="33">
        <f>IF(Loans[[#This Row],[LoanAmount]]=0,0,Loans[[#This Row],[CollateralValue]]/Loans[[#This Row],[LoanAmount]])</f>
        <v>1.02</v>
      </c>
      <c r="O503" t="str">
        <f>IF(Loans[[#This Row],[CollateralCoverageRatio]]&lt;1,"Undersecured","Secured")</f>
        <v>Secured</v>
      </c>
      <c r="P503" t="str">
        <f>_xlfn.XLOOKUP(Loans[[#This Row],[BranchCode]],BranchesTbl[BranchCode],BranchesTbl[BranchName])</f>
        <v>Kitale</v>
      </c>
      <c r="Q503">
        <f>_xlfn.XLOOKUP(Loans[[#This Row],[CustomerID]],CustomerTbl[CustomerID],CustomerTbl[RiskScore])</f>
        <v>308</v>
      </c>
      <c r="R503" t="str">
        <f>IFERROR(INDEX(RiskTbl[Risk_Category],MATCH(Loans[[#This Row],[RiskScore]],RiskTbl[Score_Min],1)),"Unknown")</f>
        <v>High Risk</v>
      </c>
      <c r="S503" t="str">
        <f>IF(OR(Loans[[#This Row],[LoanStatus]]="Default",Loans[[#This Row],[LoanStatus]]="Watchlist",Loans[[#This Row],[CollateralRisk]]="Undersecured",Loans[[#This Row],[RiskCategory]]="High Risk"),"High Risk Exposure","Normal")</f>
        <v>High Risk Exposure</v>
      </c>
      <c r="T503" t="str" cm="1">
        <f t="array" ref="T503">_xlfn.IFS(
Loans[[#This Row],[LoanStatus]]="Default","Critical",
OR(Loans[[#This Row],[LoanStatus]]="Watchlist",Loans[[#This Row],[CollateralRisk]]="Undersecured",Loans[[#This Row],[RiskCategory]]="High Risk"),"High",
TRUE,"Normal"
)</f>
        <v>High</v>
      </c>
    </row>
    <row r="504" spans="1:20" x14ac:dyDescent="0.35">
      <c r="A504" t="s">
        <v>1046</v>
      </c>
      <c r="B504" t="s">
        <v>676</v>
      </c>
      <c r="C504" t="s">
        <v>184</v>
      </c>
      <c r="D504" t="s">
        <v>156</v>
      </c>
      <c r="E504" s="34">
        <v>6000000</v>
      </c>
      <c r="F504" s="29">
        <v>0.15240000000000001</v>
      </c>
      <c r="G504" s="30">
        <v>45775</v>
      </c>
      <c r="H504">
        <v>72</v>
      </c>
      <c r="I504">
        <v>0</v>
      </c>
      <c r="J504" s="34">
        <v>3300000</v>
      </c>
      <c r="K504" t="s">
        <v>171</v>
      </c>
      <c r="L504" s="34">
        <f>PMT(Loans[[#This Row],[InterestRate]]/12,Loans[[#This Row],[LoanTenureMonths]],-Loans[[#This Row],[LoanAmount]])</f>
        <v>127653.39804776819</v>
      </c>
      <c r="M504" s="30">
        <f>EDATE(Loans[[#This Row],[LoanStartDate]],Loans[[#This Row],[LoanTenureMonths]])</f>
        <v>47966</v>
      </c>
      <c r="N504" s="33">
        <f>IF(Loans[[#This Row],[LoanAmount]]=0,0,Loans[[#This Row],[CollateralValue]]/Loans[[#This Row],[LoanAmount]])</f>
        <v>0.55000000000000004</v>
      </c>
      <c r="O504" t="str">
        <f>IF(Loans[[#This Row],[CollateralCoverageRatio]]&lt;1,"Undersecured","Secured")</f>
        <v>Undersecured</v>
      </c>
      <c r="P504" t="str">
        <f>_xlfn.XLOOKUP(Loans[[#This Row],[BranchCode]],BranchesTbl[BranchCode],BranchesTbl[BranchName])</f>
        <v>Kisumu</v>
      </c>
      <c r="Q504">
        <f>_xlfn.XLOOKUP(Loans[[#This Row],[CustomerID]],CustomerTbl[CustomerID],CustomerTbl[RiskScore])</f>
        <v>830</v>
      </c>
      <c r="R504" t="str">
        <f>IFERROR(INDEX(RiskTbl[Risk_Category],MATCH(Loans[[#This Row],[RiskScore]],RiskTbl[Score_Min],1)),"Unknown")</f>
        <v>Prime</v>
      </c>
      <c r="S504" t="str">
        <f>IF(OR(Loans[[#This Row],[LoanStatus]]="Default",Loans[[#This Row],[LoanStatus]]="Watchlist",Loans[[#This Row],[CollateralRisk]]="Undersecured",Loans[[#This Row],[RiskCategory]]="High Risk"),"High Risk Exposure","Normal")</f>
        <v>High Risk Exposure</v>
      </c>
      <c r="T504" t="str" cm="1">
        <f t="array" ref="T504">_xlfn.IFS(
Loans[[#This Row],[LoanStatus]]="Default","Critical",
OR(Loans[[#This Row],[LoanStatus]]="Watchlist",Loans[[#This Row],[CollateralRisk]]="Undersecured",Loans[[#This Row],[RiskCategory]]="High Risk"),"High",
TRUE,"Normal"
)</f>
        <v>High</v>
      </c>
    </row>
    <row r="505" spans="1:20" x14ac:dyDescent="0.35">
      <c r="A505" t="s">
        <v>1047</v>
      </c>
      <c r="B505" t="s">
        <v>733</v>
      </c>
      <c r="C505" t="s">
        <v>193</v>
      </c>
      <c r="D505" t="s">
        <v>157</v>
      </c>
      <c r="E505" s="34">
        <v>80000000</v>
      </c>
      <c r="F505" s="29">
        <v>9.0700000000000003E-2</v>
      </c>
      <c r="G505" s="30">
        <v>44211</v>
      </c>
      <c r="H505">
        <v>72</v>
      </c>
      <c r="I505">
        <v>0</v>
      </c>
      <c r="J505" s="34">
        <v>40000000</v>
      </c>
      <c r="K505" t="s">
        <v>171</v>
      </c>
      <c r="L505" s="34">
        <f>PMT(Loans[[#This Row],[InterestRate]]/12,Loans[[#This Row],[LoanTenureMonths]],-Loans[[#This Row],[LoanAmount]])</f>
        <v>1444823.8709869431</v>
      </c>
      <c r="M505" s="30">
        <f>EDATE(Loans[[#This Row],[LoanStartDate]],Loans[[#This Row],[LoanTenureMonths]])</f>
        <v>46402</v>
      </c>
      <c r="N505" s="33">
        <f>IF(Loans[[#This Row],[LoanAmount]]=0,0,Loans[[#This Row],[CollateralValue]]/Loans[[#This Row],[LoanAmount]])</f>
        <v>0.5</v>
      </c>
      <c r="O505" t="str">
        <f>IF(Loans[[#This Row],[CollateralCoverageRatio]]&lt;1,"Undersecured","Secured")</f>
        <v>Undersecured</v>
      </c>
      <c r="P505" t="str">
        <f>_xlfn.XLOOKUP(Loans[[#This Row],[BranchCode]],BranchesTbl[BranchCode],BranchesTbl[BranchName])</f>
        <v>Mombasa</v>
      </c>
      <c r="Q505">
        <f>_xlfn.XLOOKUP(Loans[[#This Row],[CustomerID]],CustomerTbl[CustomerID],CustomerTbl[RiskScore])</f>
        <v>719</v>
      </c>
      <c r="R505" t="str">
        <f>IFERROR(INDEX(RiskTbl[Risk_Category],MATCH(Loans[[#This Row],[RiskScore]],RiskTbl[Score_Min],1)),"Unknown")</f>
        <v>Low Risk</v>
      </c>
      <c r="S505" t="str">
        <f>IF(OR(Loans[[#This Row],[LoanStatus]]="Default",Loans[[#This Row],[LoanStatus]]="Watchlist",Loans[[#This Row],[CollateralRisk]]="Undersecured",Loans[[#This Row],[RiskCategory]]="High Risk"),"High Risk Exposure","Normal")</f>
        <v>High Risk Exposure</v>
      </c>
      <c r="T505" t="str" cm="1">
        <f t="array" ref="T505">_xlfn.IFS(
Loans[[#This Row],[LoanStatus]]="Default","Critical",
OR(Loans[[#This Row],[LoanStatus]]="Watchlist",Loans[[#This Row],[CollateralRisk]]="Undersecured",Loans[[#This Row],[RiskCategory]]="High Risk"),"High",
TRUE,"Normal"
)</f>
        <v>High</v>
      </c>
    </row>
    <row r="506" spans="1:20" x14ac:dyDescent="0.35">
      <c r="A506" t="s">
        <v>1048</v>
      </c>
      <c r="B506" t="s">
        <v>850</v>
      </c>
      <c r="C506" t="s">
        <v>170</v>
      </c>
      <c r="D506" t="s">
        <v>157</v>
      </c>
      <c r="E506" s="34">
        <v>80000000</v>
      </c>
      <c r="F506" s="29">
        <v>9.0800000000000006E-2</v>
      </c>
      <c r="G506" s="30">
        <v>45135</v>
      </c>
      <c r="H506">
        <v>24</v>
      </c>
      <c r="I506">
        <v>0</v>
      </c>
      <c r="J506" s="34">
        <v>52000000</v>
      </c>
      <c r="K506" t="s">
        <v>171</v>
      </c>
      <c r="L506" s="34">
        <f>PMT(Loans[[#This Row],[InterestRate]]/12,Loans[[#This Row],[LoanTenureMonths]],-Loans[[#This Row],[LoanAmount]])</f>
        <v>3657716.5193208572</v>
      </c>
      <c r="M506" s="30">
        <f>EDATE(Loans[[#This Row],[LoanStartDate]],Loans[[#This Row],[LoanTenureMonths]])</f>
        <v>45866</v>
      </c>
      <c r="N506" s="33">
        <f>IF(Loans[[#This Row],[LoanAmount]]=0,0,Loans[[#This Row],[CollateralValue]]/Loans[[#This Row],[LoanAmount]])</f>
        <v>0.65</v>
      </c>
      <c r="O506" t="str">
        <f>IF(Loans[[#This Row],[CollateralCoverageRatio]]&lt;1,"Undersecured","Secured")</f>
        <v>Undersecured</v>
      </c>
      <c r="P506" t="str">
        <f>_xlfn.XLOOKUP(Loans[[#This Row],[BranchCode]],BranchesTbl[BranchCode],BranchesTbl[BranchName])</f>
        <v>Thika</v>
      </c>
      <c r="Q506">
        <f>_xlfn.XLOOKUP(Loans[[#This Row],[CustomerID]],CustomerTbl[CustomerID],CustomerTbl[RiskScore])</f>
        <v>317</v>
      </c>
      <c r="R506" t="str">
        <f>IFERROR(INDEX(RiskTbl[Risk_Category],MATCH(Loans[[#This Row],[RiskScore]],RiskTbl[Score_Min],1)),"Unknown")</f>
        <v>High Risk</v>
      </c>
      <c r="S506" t="str">
        <f>IF(OR(Loans[[#This Row],[LoanStatus]]="Default",Loans[[#This Row],[LoanStatus]]="Watchlist",Loans[[#This Row],[CollateralRisk]]="Undersecured",Loans[[#This Row],[RiskCategory]]="High Risk"),"High Risk Exposure","Normal")</f>
        <v>High Risk Exposure</v>
      </c>
      <c r="T506" t="str" cm="1">
        <f t="array" ref="T506">_xlfn.IFS(
Loans[[#This Row],[LoanStatus]]="Default","Critical",
OR(Loans[[#This Row],[LoanStatus]]="Watchlist",Loans[[#This Row],[CollateralRisk]]="Undersecured",Loans[[#This Row],[RiskCategory]]="High Risk"),"High",
TRUE,"Normal"
)</f>
        <v>High</v>
      </c>
    </row>
    <row r="507" spans="1:20" x14ac:dyDescent="0.35">
      <c r="A507" t="s">
        <v>1049</v>
      </c>
      <c r="B507" t="s">
        <v>1050</v>
      </c>
      <c r="C507" t="s">
        <v>170</v>
      </c>
      <c r="D507" t="s">
        <v>155</v>
      </c>
      <c r="E507" s="34">
        <v>500000</v>
      </c>
      <c r="F507" s="29">
        <v>0.26229999999999998</v>
      </c>
      <c r="G507" s="30">
        <v>44776</v>
      </c>
      <c r="H507">
        <v>12</v>
      </c>
      <c r="I507">
        <v>45</v>
      </c>
      <c r="J507" s="34">
        <v>0</v>
      </c>
      <c r="K507" t="s">
        <v>199</v>
      </c>
      <c r="L507" s="34">
        <f>PMT(Loans[[#This Row],[InterestRate]]/12,Loans[[#This Row],[LoanTenureMonths]],-Loans[[#This Row],[LoanAmount]])</f>
        <v>47821.045989198195</v>
      </c>
      <c r="M507" s="30">
        <f>EDATE(Loans[[#This Row],[LoanStartDate]],Loans[[#This Row],[LoanTenureMonths]])</f>
        <v>45141</v>
      </c>
      <c r="N507" s="33">
        <f>IF(Loans[[#This Row],[LoanAmount]]=0,0,Loans[[#This Row],[CollateralValue]]/Loans[[#This Row],[LoanAmount]])</f>
        <v>0</v>
      </c>
      <c r="O507" t="str">
        <f>IF(Loans[[#This Row],[CollateralCoverageRatio]]&lt;1,"Undersecured","Secured")</f>
        <v>Undersecured</v>
      </c>
      <c r="P507" t="str">
        <f>_xlfn.XLOOKUP(Loans[[#This Row],[BranchCode]],BranchesTbl[BranchCode],BranchesTbl[BranchName])</f>
        <v>Thika</v>
      </c>
      <c r="Q507">
        <f>_xlfn.XLOOKUP(Loans[[#This Row],[CustomerID]],CustomerTbl[CustomerID],CustomerTbl[RiskScore])</f>
        <v>835</v>
      </c>
      <c r="R507" t="str">
        <f>IFERROR(INDEX(RiskTbl[Risk_Category],MATCH(Loans[[#This Row],[RiskScore]],RiskTbl[Score_Min],1)),"Unknown")</f>
        <v>Prime</v>
      </c>
      <c r="S507" t="str">
        <f>IF(OR(Loans[[#This Row],[LoanStatus]]="Default",Loans[[#This Row],[LoanStatus]]="Watchlist",Loans[[#This Row],[CollateralRisk]]="Undersecured",Loans[[#This Row],[RiskCategory]]="High Risk"),"High Risk Exposure","Normal")</f>
        <v>High Risk Exposure</v>
      </c>
      <c r="T507" t="str" cm="1">
        <f t="array" ref="T507">_xlfn.IFS(
Loans[[#This Row],[LoanStatus]]="Default","Critical",
OR(Loans[[#This Row],[LoanStatus]]="Watchlist",Loans[[#This Row],[CollateralRisk]]="Undersecured",Loans[[#This Row],[RiskCategory]]="High Risk"),"High",
TRUE,"Normal"
)</f>
        <v>High</v>
      </c>
    </row>
    <row r="508" spans="1:20" x14ac:dyDescent="0.35">
      <c r="A508" t="s">
        <v>1051</v>
      </c>
      <c r="B508" t="s">
        <v>225</v>
      </c>
      <c r="C508" t="s">
        <v>181</v>
      </c>
      <c r="D508" t="s">
        <v>155</v>
      </c>
      <c r="E508" s="34">
        <v>250000</v>
      </c>
      <c r="F508" s="29">
        <v>0.23630000000000001</v>
      </c>
      <c r="G508" s="30">
        <v>44080</v>
      </c>
      <c r="H508">
        <v>24</v>
      </c>
      <c r="I508">
        <v>120</v>
      </c>
      <c r="J508" s="34">
        <v>0</v>
      </c>
      <c r="K508" t="s">
        <v>178</v>
      </c>
      <c r="L508" s="34">
        <f>PMT(Loans[[#This Row],[InterestRate]]/12,Loans[[#This Row],[LoanTenureMonths]],-Loans[[#This Row],[LoanAmount]])</f>
        <v>13171.651832866281</v>
      </c>
      <c r="M508" s="30">
        <f>EDATE(Loans[[#This Row],[LoanStartDate]],Loans[[#This Row],[LoanTenureMonths]])</f>
        <v>44810</v>
      </c>
      <c r="N508" s="33">
        <f>IF(Loans[[#This Row],[LoanAmount]]=0,0,Loans[[#This Row],[CollateralValue]]/Loans[[#This Row],[LoanAmount]])</f>
        <v>0</v>
      </c>
      <c r="O508" t="str">
        <f>IF(Loans[[#This Row],[CollateralCoverageRatio]]&lt;1,"Undersecured","Secured")</f>
        <v>Undersecured</v>
      </c>
      <c r="P508" t="str">
        <f>_xlfn.XLOOKUP(Loans[[#This Row],[BranchCode]],BranchesTbl[BranchCode],BranchesTbl[BranchName])</f>
        <v>Kitale</v>
      </c>
      <c r="Q508">
        <f>_xlfn.XLOOKUP(Loans[[#This Row],[CustomerID]],CustomerTbl[CustomerID],CustomerTbl[RiskScore])</f>
        <v>717</v>
      </c>
      <c r="R508" t="str">
        <f>IFERROR(INDEX(RiskTbl[Risk_Category],MATCH(Loans[[#This Row],[RiskScore]],RiskTbl[Score_Min],1)),"Unknown")</f>
        <v>Low Risk</v>
      </c>
      <c r="S508" t="str">
        <f>IF(OR(Loans[[#This Row],[LoanStatus]]="Default",Loans[[#This Row],[LoanStatus]]="Watchlist",Loans[[#This Row],[CollateralRisk]]="Undersecured",Loans[[#This Row],[RiskCategory]]="High Risk"),"High Risk Exposure","Normal")</f>
        <v>High Risk Exposure</v>
      </c>
      <c r="T508" t="str" cm="1">
        <f t="array" ref="T508">_xlfn.IFS(
Loans[[#This Row],[LoanStatus]]="Default","Critical",
OR(Loans[[#This Row],[LoanStatus]]="Watchlist",Loans[[#This Row],[CollateralRisk]]="Undersecured",Loans[[#This Row],[RiskCategory]]="High Risk"),"High",
TRUE,"Normal"
)</f>
        <v>Critical</v>
      </c>
    </row>
    <row r="509" spans="1:20" x14ac:dyDescent="0.35">
      <c r="A509" t="s">
        <v>1052</v>
      </c>
      <c r="B509" t="s">
        <v>1053</v>
      </c>
      <c r="C509" t="s">
        <v>184</v>
      </c>
      <c r="D509" t="s">
        <v>158</v>
      </c>
      <c r="E509" s="34">
        <v>1000000</v>
      </c>
      <c r="F509" s="29">
        <v>0.1399</v>
      </c>
      <c r="G509" s="30">
        <v>44733</v>
      </c>
      <c r="H509">
        <v>36</v>
      </c>
      <c r="I509">
        <v>45</v>
      </c>
      <c r="J509" s="34">
        <v>510000</v>
      </c>
      <c r="K509" t="s">
        <v>199</v>
      </c>
      <c r="L509" s="34">
        <f>PMT(Loans[[#This Row],[InterestRate]]/12,Loans[[#This Row],[LoanTenureMonths]],-Loans[[#This Row],[LoanAmount]])</f>
        <v>34172.773051757176</v>
      </c>
      <c r="M509" s="30">
        <f>EDATE(Loans[[#This Row],[LoanStartDate]],Loans[[#This Row],[LoanTenureMonths]])</f>
        <v>45829</v>
      </c>
      <c r="N509" s="33">
        <f>IF(Loans[[#This Row],[LoanAmount]]=0,0,Loans[[#This Row],[CollateralValue]]/Loans[[#This Row],[LoanAmount]])</f>
        <v>0.51</v>
      </c>
      <c r="O509" t="str">
        <f>IF(Loans[[#This Row],[CollateralCoverageRatio]]&lt;1,"Undersecured","Secured")</f>
        <v>Undersecured</v>
      </c>
      <c r="P509" t="str">
        <f>_xlfn.XLOOKUP(Loans[[#This Row],[BranchCode]],BranchesTbl[BranchCode],BranchesTbl[BranchName])</f>
        <v>Kisumu</v>
      </c>
      <c r="Q509">
        <f>_xlfn.XLOOKUP(Loans[[#This Row],[CustomerID]],CustomerTbl[CustomerID],CustomerTbl[RiskScore])</f>
        <v>694</v>
      </c>
      <c r="R509" t="str">
        <f>IFERROR(INDEX(RiskTbl[Risk_Category],MATCH(Loans[[#This Row],[RiskScore]],RiskTbl[Score_Min],1)),"Unknown")</f>
        <v>Low Risk</v>
      </c>
      <c r="S509" t="str">
        <f>IF(OR(Loans[[#This Row],[LoanStatus]]="Default",Loans[[#This Row],[LoanStatus]]="Watchlist",Loans[[#This Row],[CollateralRisk]]="Undersecured",Loans[[#This Row],[RiskCategory]]="High Risk"),"High Risk Exposure","Normal")</f>
        <v>High Risk Exposure</v>
      </c>
      <c r="T509" t="str" cm="1">
        <f t="array" ref="T509">_xlfn.IFS(
Loans[[#This Row],[LoanStatus]]="Default","Critical",
OR(Loans[[#This Row],[LoanStatus]]="Watchlist",Loans[[#This Row],[CollateralRisk]]="Undersecured",Loans[[#This Row],[RiskCategory]]="High Risk"),"High",
TRUE,"Normal"
)</f>
        <v>High</v>
      </c>
    </row>
    <row r="510" spans="1:20" x14ac:dyDescent="0.35">
      <c r="A510" t="s">
        <v>1054</v>
      </c>
      <c r="B510" t="s">
        <v>1055</v>
      </c>
      <c r="C510" t="s">
        <v>206</v>
      </c>
      <c r="D510" t="s">
        <v>155</v>
      </c>
      <c r="E510" s="34">
        <v>500000</v>
      </c>
      <c r="F510" s="29">
        <v>0.2616</v>
      </c>
      <c r="G510" s="30">
        <v>45945</v>
      </c>
      <c r="H510">
        <v>60</v>
      </c>
      <c r="I510">
        <v>0</v>
      </c>
      <c r="J510" s="34">
        <v>0</v>
      </c>
      <c r="K510" t="s">
        <v>171</v>
      </c>
      <c r="L510" s="34">
        <f>PMT(Loans[[#This Row],[InterestRate]]/12,Loans[[#This Row],[LoanTenureMonths]],-Loans[[#This Row],[LoanAmount]])</f>
        <v>15017.632350211305</v>
      </c>
      <c r="M510" s="30">
        <f>EDATE(Loans[[#This Row],[LoanStartDate]],Loans[[#This Row],[LoanTenureMonths]])</f>
        <v>47771</v>
      </c>
      <c r="N510" s="33">
        <f>IF(Loans[[#This Row],[LoanAmount]]=0,0,Loans[[#This Row],[CollateralValue]]/Loans[[#This Row],[LoanAmount]])</f>
        <v>0</v>
      </c>
      <c r="O510" t="str">
        <f>IF(Loans[[#This Row],[CollateralCoverageRatio]]&lt;1,"Undersecured","Secured")</f>
        <v>Undersecured</v>
      </c>
      <c r="P510" t="str">
        <f>_xlfn.XLOOKUP(Loans[[#This Row],[BranchCode]],BranchesTbl[BranchCode],BranchesTbl[BranchName])</f>
        <v>Nyahururu</v>
      </c>
      <c r="Q510">
        <f>_xlfn.XLOOKUP(Loans[[#This Row],[CustomerID]],CustomerTbl[CustomerID],CustomerTbl[RiskScore])</f>
        <v>805</v>
      </c>
      <c r="R510" t="str">
        <f>IFERROR(INDEX(RiskTbl[Risk_Category],MATCH(Loans[[#This Row],[RiskScore]],RiskTbl[Score_Min],1)),"Unknown")</f>
        <v>Prime</v>
      </c>
      <c r="S510" t="str">
        <f>IF(OR(Loans[[#This Row],[LoanStatus]]="Default",Loans[[#This Row],[LoanStatus]]="Watchlist",Loans[[#This Row],[CollateralRisk]]="Undersecured",Loans[[#This Row],[RiskCategory]]="High Risk"),"High Risk Exposure","Normal")</f>
        <v>High Risk Exposure</v>
      </c>
      <c r="T510" t="str" cm="1">
        <f t="array" ref="T510">_xlfn.IFS(
Loans[[#This Row],[LoanStatus]]="Default","Critical",
OR(Loans[[#This Row],[LoanStatus]]="Watchlist",Loans[[#This Row],[CollateralRisk]]="Undersecured",Loans[[#This Row],[RiskCategory]]="High Risk"),"High",
TRUE,"Normal"
)</f>
        <v>High</v>
      </c>
    </row>
    <row r="511" spans="1:20" x14ac:dyDescent="0.35">
      <c r="A511" t="s">
        <v>1056</v>
      </c>
      <c r="B511" t="s">
        <v>1057</v>
      </c>
      <c r="C511" t="s">
        <v>206</v>
      </c>
      <c r="D511" t="s">
        <v>158</v>
      </c>
      <c r="E511" s="34">
        <v>1000000</v>
      </c>
      <c r="F511" s="29">
        <v>0.1845</v>
      </c>
      <c r="G511" s="30">
        <v>44308</v>
      </c>
      <c r="H511">
        <v>60</v>
      </c>
      <c r="I511">
        <v>5</v>
      </c>
      <c r="J511" s="34">
        <v>640000</v>
      </c>
      <c r="K511" t="s">
        <v>171</v>
      </c>
      <c r="L511" s="34">
        <f>PMT(Loans[[#This Row],[InterestRate]]/12,Loans[[#This Row],[LoanTenureMonths]],-Loans[[#This Row],[LoanAmount]])</f>
        <v>25638.860661227754</v>
      </c>
      <c r="M511" s="30">
        <f>EDATE(Loans[[#This Row],[LoanStartDate]],Loans[[#This Row],[LoanTenureMonths]])</f>
        <v>46134</v>
      </c>
      <c r="N511" s="33">
        <f>IF(Loans[[#This Row],[LoanAmount]]=0,0,Loans[[#This Row],[CollateralValue]]/Loans[[#This Row],[LoanAmount]])</f>
        <v>0.64</v>
      </c>
      <c r="O511" t="str">
        <f>IF(Loans[[#This Row],[CollateralCoverageRatio]]&lt;1,"Undersecured","Secured")</f>
        <v>Undersecured</v>
      </c>
      <c r="P511" t="str">
        <f>_xlfn.XLOOKUP(Loans[[#This Row],[BranchCode]],BranchesTbl[BranchCode],BranchesTbl[BranchName])</f>
        <v>Nyahururu</v>
      </c>
      <c r="Q511">
        <f>_xlfn.XLOOKUP(Loans[[#This Row],[CustomerID]],CustomerTbl[CustomerID],CustomerTbl[RiskScore])</f>
        <v>631</v>
      </c>
      <c r="R511" t="str">
        <f>IFERROR(INDEX(RiskTbl[Risk_Category],MATCH(Loans[[#This Row],[RiskScore]],RiskTbl[Score_Min],1)),"Unknown")</f>
        <v>Medium Risk</v>
      </c>
      <c r="S511" t="str">
        <f>IF(OR(Loans[[#This Row],[LoanStatus]]="Default",Loans[[#This Row],[LoanStatus]]="Watchlist",Loans[[#This Row],[CollateralRisk]]="Undersecured",Loans[[#This Row],[RiskCategory]]="High Risk"),"High Risk Exposure","Normal")</f>
        <v>High Risk Exposure</v>
      </c>
      <c r="T511" t="str" cm="1">
        <f t="array" ref="T511">_xlfn.IFS(
Loans[[#This Row],[LoanStatus]]="Default","Critical",
OR(Loans[[#This Row],[LoanStatus]]="Watchlist",Loans[[#This Row],[CollateralRisk]]="Undersecured",Loans[[#This Row],[RiskCategory]]="High Risk"),"High",
TRUE,"Normal"
)</f>
        <v>High</v>
      </c>
    </row>
    <row r="512" spans="1:20" x14ac:dyDescent="0.35">
      <c r="A512" t="s">
        <v>1058</v>
      </c>
      <c r="B512" t="s">
        <v>777</v>
      </c>
      <c r="C512" t="s">
        <v>270</v>
      </c>
      <c r="D512" t="s">
        <v>158</v>
      </c>
      <c r="E512" s="34">
        <v>1000000</v>
      </c>
      <c r="F512" s="29">
        <v>0.16470000000000001</v>
      </c>
      <c r="G512" s="30">
        <v>44068</v>
      </c>
      <c r="H512">
        <v>12</v>
      </c>
      <c r="I512">
        <v>0</v>
      </c>
      <c r="J512" s="34">
        <v>970000</v>
      </c>
      <c r="K512" t="s">
        <v>171</v>
      </c>
      <c r="L512" s="34">
        <f>PMT(Loans[[#This Row],[InterestRate]]/12,Loans[[#This Row],[LoanTenureMonths]],-Loans[[#This Row],[LoanAmount]])</f>
        <v>90953.420288445297</v>
      </c>
      <c r="M512" s="30">
        <f>EDATE(Loans[[#This Row],[LoanStartDate]],Loans[[#This Row],[LoanTenureMonths]])</f>
        <v>44433</v>
      </c>
      <c r="N512" s="33">
        <f>IF(Loans[[#This Row],[LoanAmount]]=0,0,Loans[[#This Row],[CollateralValue]]/Loans[[#This Row],[LoanAmount]])</f>
        <v>0.97</v>
      </c>
      <c r="O512" t="str">
        <f>IF(Loans[[#This Row],[CollateralCoverageRatio]]&lt;1,"Undersecured","Secured")</f>
        <v>Undersecured</v>
      </c>
      <c r="P512" t="str">
        <f>_xlfn.XLOOKUP(Loans[[#This Row],[BranchCode]],BranchesTbl[BranchCode],BranchesTbl[BranchName])</f>
        <v>Nakuru</v>
      </c>
      <c r="Q512">
        <f>_xlfn.XLOOKUP(Loans[[#This Row],[CustomerID]],CustomerTbl[CustomerID],CustomerTbl[RiskScore])</f>
        <v>555</v>
      </c>
      <c r="R512" t="str">
        <f>IFERROR(INDEX(RiskTbl[Risk_Category],MATCH(Loans[[#This Row],[RiskScore]],RiskTbl[Score_Min],1)),"Unknown")</f>
        <v>High Risk</v>
      </c>
      <c r="S512" t="str">
        <f>IF(OR(Loans[[#This Row],[LoanStatus]]="Default",Loans[[#This Row],[LoanStatus]]="Watchlist",Loans[[#This Row],[CollateralRisk]]="Undersecured",Loans[[#This Row],[RiskCategory]]="High Risk"),"High Risk Exposure","Normal")</f>
        <v>High Risk Exposure</v>
      </c>
      <c r="T512" t="str" cm="1">
        <f t="array" ref="T512">_xlfn.IFS(
Loans[[#This Row],[LoanStatus]]="Default","Critical",
OR(Loans[[#This Row],[LoanStatus]]="Watchlist",Loans[[#This Row],[CollateralRisk]]="Undersecured",Loans[[#This Row],[RiskCategory]]="High Risk"),"High",
TRUE,"Normal"
)</f>
        <v>High</v>
      </c>
    </row>
    <row r="513" spans="1:20" x14ac:dyDescent="0.35">
      <c r="A513" t="s">
        <v>1059</v>
      </c>
      <c r="B513" t="s">
        <v>381</v>
      </c>
      <c r="C513" t="s">
        <v>184</v>
      </c>
      <c r="D513" t="s">
        <v>158</v>
      </c>
      <c r="E513" s="34">
        <v>1000000</v>
      </c>
      <c r="F513" s="29">
        <v>0.1542</v>
      </c>
      <c r="G513" s="30">
        <v>44977</v>
      </c>
      <c r="H513">
        <v>72</v>
      </c>
      <c r="I513">
        <v>10</v>
      </c>
      <c r="J513" s="34">
        <v>880000</v>
      </c>
      <c r="K513" t="s">
        <v>171</v>
      </c>
      <c r="L513" s="34">
        <f>PMT(Loans[[#This Row],[InterestRate]]/12,Loans[[#This Row],[LoanTenureMonths]],-Loans[[#This Row],[LoanAmount]])</f>
        <v>21373.765889558897</v>
      </c>
      <c r="M513" s="30">
        <f>EDATE(Loans[[#This Row],[LoanStartDate]],Loans[[#This Row],[LoanTenureMonths]])</f>
        <v>47169</v>
      </c>
      <c r="N513" s="33">
        <f>IF(Loans[[#This Row],[LoanAmount]]=0,0,Loans[[#This Row],[CollateralValue]]/Loans[[#This Row],[LoanAmount]])</f>
        <v>0.88</v>
      </c>
      <c r="O513" t="str">
        <f>IF(Loans[[#This Row],[CollateralCoverageRatio]]&lt;1,"Undersecured","Secured")</f>
        <v>Undersecured</v>
      </c>
      <c r="P513" t="str">
        <f>_xlfn.XLOOKUP(Loans[[#This Row],[BranchCode]],BranchesTbl[BranchCode],BranchesTbl[BranchName])</f>
        <v>Kisumu</v>
      </c>
      <c r="Q513">
        <f>_xlfn.XLOOKUP(Loans[[#This Row],[CustomerID]],CustomerTbl[CustomerID],CustomerTbl[RiskScore])</f>
        <v>628</v>
      </c>
      <c r="R513" t="str">
        <f>IFERROR(INDEX(RiskTbl[Risk_Category],MATCH(Loans[[#This Row],[RiskScore]],RiskTbl[Score_Min],1)),"Unknown")</f>
        <v>Medium Risk</v>
      </c>
      <c r="S513" t="str">
        <f>IF(OR(Loans[[#This Row],[LoanStatus]]="Default",Loans[[#This Row],[LoanStatus]]="Watchlist",Loans[[#This Row],[CollateralRisk]]="Undersecured",Loans[[#This Row],[RiskCategory]]="High Risk"),"High Risk Exposure","Normal")</f>
        <v>High Risk Exposure</v>
      </c>
      <c r="T513" t="str" cm="1">
        <f t="array" ref="T513">_xlfn.IFS(
Loans[[#This Row],[LoanStatus]]="Default","Critical",
OR(Loans[[#This Row],[LoanStatus]]="Watchlist",Loans[[#This Row],[CollateralRisk]]="Undersecured",Loans[[#This Row],[RiskCategory]]="High Risk"),"High",
TRUE,"Normal"
)</f>
        <v>High</v>
      </c>
    </row>
    <row r="514" spans="1:20" x14ac:dyDescent="0.35">
      <c r="A514" t="s">
        <v>1060</v>
      </c>
      <c r="B514" t="s">
        <v>1061</v>
      </c>
      <c r="C514" t="s">
        <v>196</v>
      </c>
      <c r="D514" t="s">
        <v>155</v>
      </c>
      <c r="E514" s="34">
        <v>100000</v>
      </c>
      <c r="F514" s="29">
        <v>0.1704</v>
      </c>
      <c r="G514" s="30">
        <v>43965</v>
      </c>
      <c r="H514">
        <v>60</v>
      </c>
      <c r="I514">
        <v>0</v>
      </c>
      <c r="J514" s="34">
        <v>0</v>
      </c>
      <c r="K514" t="s">
        <v>171</v>
      </c>
      <c r="L514" s="34">
        <f>PMT(Loans[[#This Row],[InterestRate]]/12,Loans[[#This Row],[LoanTenureMonths]],-Loans[[#This Row],[LoanAmount]])</f>
        <v>2487.4088637953964</v>
      </c>
      <c r="M514" s="30">
        <f>EDATE(Loans[[#This Row],[LoanStartDate]],Loans[[#This Row],[LoanTenureMonths]])</f>
        <v>45791</v>
      </c>
      <c r="N514" s="33">
        <f>IF(Loans[[#This Row],[LoanAmount]]=0,0,Loans[[#This Row],[CollateralValue]]/Loans[[#This Row],[LoanAmount]])</f>
        <v>0</v>
      </c>
      <c r="O514" t="str">
        <f>IF(Loans[[#This Row],[CollateralCoverageRatio]]&lt;1,"Undersecured","Secured")</f>
        <v>Undersecured</v>
      </c>
      <c r="P514" t="str">
        <f>_xlfn.XLOOKUP(Loans[[#This Row],[BranchCode]],BranchesTbl[BranchCode],BranchesTbl[BranchName])</f>
        <v>Karen</v>
      </c>
      <c r="Q514">
        <f>_xlfn.XLOOKUP(Loans[[#This Row],[CustomerID]],CustomerTbl[CustomerID],CustomerTbl[RiskScore])</f>
        <v>453</v>
      </c>
      <c r="R514" t="str">
        <f>IFERROR(INDEX(RiskTbl[Risk_Category],MATCH(Loans[[#This Row],[RiskScore]],RiskTbl[Score_Min],1)),"Unknown")</f>
        <v>High Risk</v>
      </c>
      <c r="S514" t="str">
        <f>IF(OR(Loans[[#This Row],[LoanStatus]]="Default",Loans[[#This Row],[LoanStatus]]="Watchlist",Loans[[#This Row],[CollateralRisk]]="Undersecured",Loans[[#This Row],[RiskCategory]]="High Risk"),"High Risk Exposure","Normal")</f>
        <v>High Risk Exposure</v>
      </c>
      <c r="T514" t="str" cm="1">
        <f t="array" ref="T514">_xlfn.IFS(
Loans[[#This Row],[LoanStatus]]="Default","Critical",
OR(Loans[[#This Row],[LoanStatus]]="Watchlist",Loans[[#This Row],[CollateralRisk]]="Undersecured",Loans[[#This Row],[RiskCategory]]="High Risk"),"High",
TRUE,"Normal"
)</f>
        <v>High</v>
      </c>
    </row>
    <row r="515" spans="1:20" x14ac:dyDescent="0.35">
      <c r="A515" t="s">
        <v>1062</v>
      </c>
      <c r="B515" t="s">
        <v>536</v>
      </c>
      <c r="C515" t="s">
        <v>181</v>
      </c>
      <c r="D515" t="s">
        <v>156</v>
      </c>
      <c r="E515" s="34">
        <v>3000000</v>
      </c>
      <c r="F515" s="29">
        <v>0.14729999999999999</v>
      </c>
      <c r="G515" s="30">
        <v>44666</v>
      </c>
      <c r="H515">
        <v>48</v>
      </c>
      <c r="I515">
        <v>10</v>
      </c>
      <c r="J515" s="34">
        <v>1500000</v>
      </c>
      <c r="K515" t="s">
        <v>171</v>
      </c>
      <c r="L515" s="34">
        <f>PMT(Loans[[#This Row],[InterestRate]]/12,Loans[[#This Row],[LoanTenureMonths]],-Loans[[#This Row],[LoanAmount]])</f>
        <v>83082.225437002955</v>
      </c>
      <c r="M515" s="30">
        <f>EDATE(Loans[[#This Row],[LoanStartDate]],Loans[[#This Row],[LoanTenureMonths]])</f>
        <v>46127</v>
      </c>
      <c r="N515" s="33">
        <f>IF(Loans[[#This Row],[LoanAmount]]=0,0,Loans[[#This Row],[CollateralValue]]/Loans[[#This Row],[LoanAmount]])</f>
        <v>0.5</v>
      </c>
      <c r="O515" t="str">
        <f>IF(Loans[[#This Row],[CollateralCoverageRatio]]&lt;1,"Undersecured","Secured")</f>
        <v>Undersecured</v>
      </c>
      <c r="P515" t="str">
        <f>_xlfn.XLOOKUP(Loans[[#This Row],[BranchCode]],BranchesTbl[BranchCode],BranchesTbl[BranchName])</f>
        <v>Kitale</v>
      </c>
      <c r="Q515">
        <f>_xlfn.XLOOKUP(Loans[[#This Row],[CustomerID]],CustomerTbl[CustomerID],CustomerTbl[RiskScore])</f>
        <v>369</v>
      </c>
      <c r="R515" t="str">
        <f>IFERROR(INDEX(RiskTbl[Risk_Category],MATCH(Loans[[#This Row],[RiskScore]],RiskTbl[Score_Min],1)),"Unknown")</f>
        <v>High Risk</v>
      </c>
      <c r="S515" t="str">
        <f>IF(OR(Loans[[#This Row],[LoanStatus]]="Default",Loans[[#This Row],[LoanStatus]]="Watchlist",Loans[[#This Row],[CollateralRisk]]="Undersecured",Loans[[#This Row],[RiskCategory]]="High Risk"),"High Risk Exposure","Normal")</f>
        <v>High Risk Exposure</v>
      </c>
      <c r="T515" t="str" cm="1">
        <f t="array" ref="T515">_xlfn.IFS(
Loans[[#This Row],[LoanStatus]]="Default","Critical",
OR(Loans[[#This Row],[LoanStatus]]="Watchlist",Loans[[#This Row],[CollateralRisk]]="Undersecured",Loans[[#This Row],[RiskCategory]]="High Risk"),"High",
TRUE,"Normal"
)</f>
        <v>High</v>
      </c>
    </row>
    <row r="516" spans="1:20" x14ac:dyDescent="0.35">
      <c r="A516" t="s">
        <v>1063</v>
      </c>
      <c r="B516" t="s">
        <v>488</v>
      </c>
      <c r="C516" t="s">
        <v>170</v>
      </c>
      <c r="D516" t="s">
        <v>156</v>
      </c>
      <c r="E516" s="34">
        <v>1000000</v>
      </c>
      <c r="F516" s="29">
        <v>0.17419999999999999</v>
      </c>
      <c r="G516" s="30">
        <v>44760</v>
      </c>
      <c r="H516">
        <v>24</v>
      </c>
      <c r="I516">
        <v>120</v>
      </c>
      <c r="J516" s="34">
        <v>1170000</v>
      </c>
      <c r="K516" t="s">
        <v>178</v>
      </c>
      <c r="L516" s="34">
        <f>PMT(Loans[[#This Row],[InterestRate]]/12,Loans[[#This Row],[LoanTenureMonths]],-Loans[[#This Row],[LoanAmount]])</f>
        <v>49644.309444466497</v>
      </c>
      <c r="M516" s="30">
        <f>EDATE(Loans[[#This Row],[LoanStartDate]],Loans[[#This Row],[LoanTenureMonths]])</f>
        <v>45491</v>
      </c>
      <c r="N516" s="33">
        <f>IF(Loans[[#This Row],[LoanAmount]]=0,0,Loans[[#This Row],[CollateralValue]]/Loans[[#This Row],[LoanAmount]])</f>
        <v>1.17</v>
      </c>
      <c r="O516" t="str">
        <f>IF(Loans[[#This Row],[CollateralCoverageRatio]]&lt;1,"Undersecured","Secured")</f>
        <v>Secured</v>
      </c>
      <c r="P516" t="str">
        <f>_xlfn.XLOOKUP(Loans[[#This Row],[BranchCode]],BranchesTbl[BranchCode],BranchesTbl[BranchName])</f>
        <v>Thika</v>
      </c>
      <c r="Q516">
        <f>_xlfn.XLOOKUP(Loans[[#This Row],[CustomerID]],CustomerTbl[CustomerID],CustomerTbl[RiskScore])</f>
        <v>331</v>
      </c>
      <c r="R516" t="str">
        <f>IFERROR(INDEX(RiskTbl[Risk_Category],MATCH(Loans[[#This Row],[RiskScore]],RiskTbl[Score_Min],1)),"Unknown")</f>
        <v>High Risk</v>
      </c>
      <c r="S516" t="str">
        <f>IF(OR(Loans[[#This Row],[LoanStatus]]="Default",Loans[[#This Row],[LoanStatus]]="Watchlist",Loans[[#This Row],[CollateralRisk]]="Undersecured",Loans[[#This Row],[RiskCategory]]="High Risk"),"High Risk Exposure","Normal")</f>
        <v>High Risk Exposure</v>
      </c>
      <c r="T516" t="str" cm="1">
        <f t="array" ref="T516">_xlfn.IFS(
Loans[[#This Row],[LoanStatus]]="Default","Critical",
OR(Loans[[#This Row],[LoanStatus]]="Watchlist",Loans[[#This Row],[CollateralRisk]]="Undersecured",Loans[[#This Row],[RiskCategory]]="High Risk"),"High",
TRUE,"Normal"
)</f>
        <v>Critical</v>
      </c>
    </row>
    <row r="517" spans="1:20" x14ac:dyDescent="0.35">
      <c r="A517" t="s">
        <v>1064</v>
      </c>
      <c r="B517" t="s">
        <v>1065</v>
      </c>
      <c r="C517" t="s">
        <v>190</v>
      </c>
      <c r="D517" t="s">
        <v>158</v>
      </c>
      <c r="E517" s="34">
        <v>6000000</v>
      </c>
      <c r="F517" s="29">
        <v>0.1951</v>
      </c>
      <c r="G517" s="30">
        <v>44115</v>
      </c>
      <c r="H517">
        <v>12</v>
      </c>
      <c r="I517">
        <v>10</v>
      </c>
      <c r="J517" s="34">
        <v>7140000</v>
      </c>
      <c r="K517" t="s">
        <v>171</v>
      </c>
      <c r="L517" s="34">
        <f>PMT(Loans[[#This Row],[InterestRate]]/12,Loans[[#This Row],[LoanTenureMonths]],-Loans[[#This Row],[LoanAmount]])</f>
        <v>554400.92247729131</v>
      </c>
      <c r="M517" s="30">
        <f>EDATE(Loans[[#This Row],[LoanStartDate]],Loans[[#This Row],[LoanTenureMonths]])</f>
        <v>44480</v>
      </c>
      <c r="N517" s="33">
        <f>IF(Loans[[#This Row],[LoanAmount]]=0,0,Loans[[#This Row],[CollateralValue]]/Loans[[#This Row],[LoanAmount]])</f>
        <v>1.19</v>
      </c>
      <c r="O517" t="str">
        <f>IF(Loans[[#This Row],[CollateralCoverageRatio]]&lt;1,"Undersecured","Secured")</f>
        <v>Secured</v>
      </c>
      <c r="P517" t="str">
        <f>_xlfn.XLOOKUP(Loans[[#This Row],[BranchCode]],BranchesTbl[BranchCode],BranchesTbl[BranchName])</f>
        <v>Nyeri</v>
      </c>
      <c r="Q517">
        <f>_xlfn.XLOOKUP(Loans[[#This Row],[CustomerID]],CustomerTbl[CustomerID],CustomerTbl[RiskScore])</f>
        <v>707</v>
      </c>
      <c r="R517" t="str">
        <f>IFERROR(INDEX(RiskTbl[Risk_Category],MATCH(Loans[[#This Row],[RiskScore]],RiskTbl[Score_Min],1)),"Unknown")</f>
        <v>Low Risk</v>
      </c>
      <c r="S517" t="str">
        <f>IF(OR(Loans[[#This Row],[LoanStatus]]="Default",Loans[[#This Row],[LoanStatus]]="Watchlist",Loans[[#This Row],[CollateralRisk]]="Undersecured",Loans[[#This Row],[RiskCategory]]="High Risk"),"High Risk Exposure","Normal")</f>
        <v>Normal</v>
      </c>
      <c r="T517" t="str" cm="1">
        <f t="array" ref="T517">_xlfn.IFS(
Loans[[#This Row],[LoanStatus]]="Default","Critical",
OR(Loans[[#This Row],[LoanStatus]]="Watchlist",Loans[[#This Row],[CollateralRisk]]="Undersecured",Loans[[#This Row],[RiskCategory]]="High Risk"),"High",
TRUE,"Normal"
)</f>
        <v>Normal</v>
      </c>
    </row>
    <row r="518" spans="1:20" x14ac:dyDescent="0.35">
      <c r="A518" t="s">
        <v>1066</v>
      </c>
      <c r="B518" t="s">
        <v>722</v>
      </c>
      <c r="C518" t="s">
        <v>187</v>
      </c>
      <c r="D518" t="s">
        <v>158</v>
      </c>
      <c r="E518" s="34">
        <v>6000000</v>
      </c>
      <c r="F518" s="29">
        <v>0.17180000000000001</v>
      </c>
      <c r="G518" s="30">
        <v>44178</v>
      </c>
      <c r="H518">
        <v>36</v>
      </c>
      <c r="I518">
        <v>0</v>
      </c>
      <c r="J518" s="34">
        <v>7380000</v>
      </c>
      <c r="K518" t="s">
        <v>171</v>
      </c>
      <c r="L518" s="34">
        <f>PMT(Loans[[#This Row],[InterestRate]]/12,Loans[[#This Row],[LoanTenureMonths]],-Loans[[#This Row],[LoanAmount]])</f>
        <v>214454.25005690043</v>
      </c>
      <c r="M518" s="30">
        <f>EDATE(Loans[[#This Row],[LoanStartDate]],Loans[[#This Row],[LoanTenureMonths]])</f>
        <v>45273</v>
      </c>
      <c r="N518" s="33">
        <f>IF(Loans[[#This Row],[LoanAmount]]=0,0,Loans[[#This Row],[CollateralValue]]/Loans[[#This Row],[LoanAmount]])</f>
        <v>1.23</v>
      </c>
      <c r="O518" t="str">
        <f>IF(Loans[[#This Row],[CollateralCoverageRatio]]&lt;1,"Undersecured","Secured")</f>
        <v>Secured</v>
      </c>
      <c r="P518" t="str">
        <f>_xlfn.XLOOKUP(Loans[[#This Row],[BranchCode]],BranchesTbl[BranchCode],BranchesTbl[BranchName])</f>
        <v>Eldoret</v>
      </c>
      <c r="Q518">
        <f>_xlfn.XLOOKUP(Loans[[#This Row],[CustomerID]],CustomerTbl[CustomerID],CustomerTbl[RiskScore])</f>
        <v>366</v>
      </c>
      <c r="R518" t="str">
        <f>IFERROR(INDEX(RiskTbl[Risk_Category],MATCH(Loans[[#This Row],[RiskScore]],RiskTbl[Score_Min],1)),"Unknown")</f>
        <v>High Risk</v>
      </c>
      <c r="S518" t="str">
        <f>IF(OR(Loans[[#This Row],[LoanStatus]]="Default",Loans[[#This Row],[LoanStatus]]="Watchlist",Loans[[#This Row],[CollateralRisk]]="Undersecured",Loans[[#This Row],[RiskCategory]]="High Risk"),"High Risk Exposure","Normal")</f>
        <v>High Risk Exposure</v>
      </c>
      <c r="T518" t="str" cm="1">
        <f t="array" ref="T518">_xlfn.IFS(
Loans[[#This Row],[LoanStatus]]="Default","Critical",
OR(Loans[[#This Row],[LoanStatus]]="Watchlist",Loans[[#This Row],[CollateralRisk]]="Undersecured",Loans[[#This Row],[RiskCategory]]="High Risk"),"High",
TRUE,"Normal"
)</f>
        <v>High</v>
      </c>
    </row>
    <row r="519" spans="1:20" x14ac:dyDescent="0.35">
      <c r="A519" t="s">
        <v>1067</v>
      </c>
      <c r="B519" t="s">
        <v>1068</v>
      </c>
      <c r="C519" t="s">
        <v>177</v>
      </c>
      <c r="D519" t="s">
        <v>155</v>
      </c>
      <c r="E519" s="34">
        <v>100000</v>
      </c>
      <c r="F519" s="29">
        <v>0.21790000000000001</v>
      </c>
      <c r="G519" s="30">
        <v>44987</v>
      </c>
      <c r="H519">
        <v>12</v>
      </c>
      <c r="I519">
        <v>0</v>
      </c>
      <c r="J519" s="34">
        <v>0</v>
      </c>
      <c r="K519" t="s">
        <v>171</v>
      </c>
      <c r="L519" s="34">
        <f>PMT(Loans[[#This Row],[InterestRate]]/12,Loans[[#This Row],[LoanTenureMonths]],-Loans[[#This Row],[LoanAmount]])</f>
        <v>9349.3341527707526</v>
      </c>
      <c r="M519" s="30">
        <f>EDATE(Loans[[#This Row],[LoanStartDate]],Loans[[#This Row],[LoanTenureMonths]])</f>
        <v>45353</v>
      </c>
      <c r="N519" s="33">
        <f>IF(Loans[[#This Row],[LoanAmount]]=0,0,Loans[[#This Row],[CollateralValue]]/Loans[[#This Row],[LoanAmount]])</f>
        <v>0</v>
      </c>
      <c r="O519" t="str">
        <f>IF(Loans[[#This Row],[CollateralCoverageRatio]]&lt;1,"Undersecured","Secured")</f>
        <v>Undersecured</v>
      </c>
      <c r="P519" t="str">
        <f>_xlfn.XLOOKUP(Loans[[#This Row],[BranchCode]],BranchesTbl[BranchCode],BranchesTbl[BranchName])</f>
        <v>Naivasha</v>
      </c>
      <c r="Q519">
        <f>_xlfn.XLOOKUP(Loans[[#This Row],[CustomerID]],CustomerTbl[CustomerID],CustomerTbl[RiskScore])</f>
        <v>629</v>
      </c>
      <c r="R519" t="str">
        <f>IFERROR(INDEX(RiskTbl[Risk_Category],MATCH(Loans[[#This Row],[RiskScore]],RiskTbl[Score_Min],1)),"Unknown")</f>
        <v>Medium Risk</v>
      </c>
      <c r="S519" t="str">
        <f>IF(OR(Loans[[#This Row],[LoanStatus]]="Default",Loans[[#This Row],[LoanStatus]]="Watchlist",Loans[[#This Row],[CollateralRisk]]="Undersecured",Loans[[#This Row],[RiskCategory]]="High Risk"),"High Risk Exposure","Normal")</f>
        <v>High Risk Exposure</v>
      </c>
      <c r="T519" t="str" cm="1">
        <f t="array" ref="T519">_xlfn.IFS(
Loans[[#This Row],[LoanStatus]]="Default","Critical",
OR(Loans[[#This Row],[LoanStatus]]="Watchlist",Loans[[#This Row],[CollateralRisk]]="Undersecured",Loans[[#This Row],[RiskCategory]]="High Risk"),"High",
TRUE,"Normal"
)</f>
        <v>High</v>
      </c>
    </row>
    <row r="520" spans="1:20" x14ac:dyDescent="0.35">
      <c r="A520" t="s">
        <v>1069</v>
      </c>
      <c r="B520" t="s">
        <v>476</v>
      </c>
      <c r="C520" t="s">
        <v>267</v>
      </c>
      <c r="D520" t="s">
        <v>157</v>
      </c>
      <c r="E520" s="34">
        <v>6000000</v>
      </c>
      <c r="F520" s="29">
        <v>9.1899999999999996E-2</v>
      </c>
      <c r="G520" s="30">
        <v>45801</v>
      </c>
      <c r="H520">
        <v>36</v>
      </c>
      <c r="I520">
        <v>90</v>
      </c>
      <c r="J520" s="34">
        <v>3720000</v>
      </c>
      <c r="K520" t="s">
        <v>199</v>
      </c>
      <c r="L520" s="34">
        <f>PMT(Loans[[#This Row],[InterestRate]]/12,Loans[[#This Row],[LoanTenureMonths]],-Loans[[#This Row],[LoanAmount]])</f>
        <v>191329.40913739396</v>
      </c>
      <c r="M520" s="30">
        <f>EDATE(Loans[[#This Row],[LoanStartDate]],Loans[[#This Row],[LoanTenureMonths]])</f>
        <v>46897</v>
      </c>
      <c r="N520" s="33">
        <f>IF(Loans[[#This Row],[LoanAmount]]=0,0,Loans[[#This Row],[CollateralValue]]/Loans[[#This Row],[LoanAmount]])</f>
        <v>0.62</v>
      </c>
      <c r="O520" t="str">
        <f>IF(Loans[[#This Row],[CollateralCoverageRatio]]&lt;1,"Undersecured","Secured")</f>
        <v>Undersecured</v>
      </c>
      <c r="P520" t="str">
        <f>_xlfn.XLOOKUP(Loans[[#This Row],[BranchCode]],BranchesTbl[BranchCode],BranchesTbl[BranchName])</f>
        <v>Malindi</v>
      </c>
      <c r="Q520">
        <f>_xlfn.XLOOKUP(Loans[[#This Row],[CustomerID]],CustomerTbl[CustomerID],CustomerTbl[RiskScore])</f>
        <v>641</v>
      </c>
      <c r="R520" t="str">
        <f>IFERROR(INDEX(RiskTbl[Risk_Category],MATCH(Loans[[#This Row],[RiskScore]],RiskTbl[Score_Min],1)),"Unknown")</f>
        <v>Medium Risk</v>
      </c>
      <c r="S520" t="str">
        <f>IF(OR(Loans[[#This Row],[LoanStatus]]="Default",Loans[[#This Row],[LoanStatus]]="Watchlist",Loans[[#This Row],[CollateralRisk]]="Undersecured",Loans[[#This Row],[RiskCategory]]="High Risk"),"High Risk Exposure","Normal")</f>
        <v>High Risk Exposure</v>
      </c>
      <c r="T520" t="str" cm="1">
        <f t="array" ref="T520">_xlfn.IFS(
Loans[[#This Row],[LoanStatus]]="Default","Critical",
OR(Loans[[#This Row],[LoanStatus]]="Watchlist",Loans[[#This Row],[CollateralRisk]]="Undersecured",Loans[[#This Row],[RiskCategory]]="High Risk"),"High",
TRUE,"Normal"
)</f>
        <v>High</v>
      </c>
    </row>
    <row r="521" spans="1:20" x14ac:dyDescent="0.35">
      <c r="A521" t="s">
        <v>1070</v>
      </c>
      <c r="B521" t="s">
        <v>956</v>
      </c>
      <c r="C521" t="s">
        <v>196</v>
      </c>
      <c r="D521" t="s">
        <v>157</v>
      </c>
      <c r="E521" s="34">
        <v>25000000</v>
      </c>
      <c r="F521" s="29">
        <v>0.115</v>
      </c>
      <c r="G521" s="30">
        <v>45811</v>
      </c>
      <c r="H521">
        <v>12</v>
      </c>
      <c r="I521">
        <v>120</v>
      </c>
      <c r="J521" s="34">
        <v>23750000</v>
      </c>
      <c r="K521" t="s">
        <v>178</v>
      </c>
      <c r="L521" s="34">
        <f>PMT(Loans[[#This Row],[InterestRate]]/12,Loans[[#This Row],[LoanTenureMonths]],-Loans[[#This Row],[LoanAmount]])</f>
        <v>2215376.3466398343</v>
      </c>
      <c r="M521" s="30">
        <f>EDATE(Loans[[#This Row],[LoanStartDate]],Loans[[#This Row],[LoanTenureMonths]])</f>
        <v>46176</v>
      </c>
      <c r="N521" s="33">
        <f>IF(Loans[[#This Row],[LoanAmount]]=0,0,Loans[[#This Row],[CollateralValue]]/Loans[[#This Row],[LoanAmount]])</f>
        <v>0.95</v>
      </c>
      <c r="O521" t="str">
        <f>IF(Loans[[#This Row],[CollateralCoverageRatio]]&lt;1,"Undersecured","Secured")</f>
        <v>Undersecured</v>
      </c>
      <c r="P521" t="str">
        <f>_xlfn.XLOOKUP(Loans[[#This Row],[BranchCode]],BranchesTbl[BranchCode],BranchesTbl[BranchName])</f>
        <v>Karen</v>
      </c>
      <c r="Q521">
        <f>_xlfn.XLOOKUP(Loans[[#This Row],[CustomerID]],CustomerTbl[CustomerID],CustomerTbl[RiskScore])</f>
        <v>459</v>
      </c>
      <c r="R521" t="str">
        <f>IFERROR(INDEX(RiskTbl[Risk_Category],MATCH(Loans[[#This Row],[RiskScore]],RiskTbl[Score_Min],1)),"Unknown")</f>
        <v>High Risk</v>
      </c>
      <c r="S521" t="str">
        <f>IF(OR(Loans[[#This Row],[LoanStatus]]="Default",Loans[[#This Row],[LoanStatus]]="Watchlist",Loans[[#This Row],[CollateralRisk]]="Undersecured",Loans[[#This Row],[RiskCategory]]="High Risk"),"High Risk Exposure","Normal")</f>
        <v>High Risk Exposure</v>
      </c>
      <c r="T521" t="str" cm="1">
        <f t="array" ref="T521">_xlfn.IFS(
Loans[[#This Row],[LoanStatus]]="Default","Critical",
OR(Loans[[#This Row],[LoanStatus]]="Watchlist",Loans[[#This Row],[CollateralRisk]]="Undersecured",Loans[[#This Row],[RiskCategory]]="High Risk"),"High",
TRUE,"Normal"
)</f>
        <v>Critical</v>
      </c>
    </row>
    <row r="522" spans="1:20" x14ac:dyDescent="0.35">
      <c r="A522" t="s">
        <v>1071</v>
      </c>
      <c r="B522" t="s">
        <v>221</v>
      </c>
      <c r="C522" t="s">
        <v>193</v>
      </c>
      <c r="D522" t="s">
        <v>156</v>
      </c>
      <c r="E522" s="34">
        <v>25000000</v>
      </c>
      <c r="F522" s="29">
        <v>0.2162</v>
      </c>
      <c r="G522" s="30">
        <v>45820</v>
      </c>
      <c r="H522">
        <v>72</v>
      </c>
      <c r="I522">
        <v>0</v>
      </c>
      <c r="J522" s="34">
        <v>15250000</v>
      </c>
      <c r="K522" t="s">
        <v>171</v>
      </c>
      <c r="L522" s="34">
        <f>PMT(Loans[[#This Row],[InterestRate]]/12,Loans[[#This Row],[LoanTenureMonths]],-Loans[[#This Row],[LoanAmount]])</f>
        <v>622526.61448689119</v>
      </c>
      <c r="M522" s="30">
        <f>EDATE(Loans[[#This Row],[LoanStartDate]],Loans[[#This Row],[LoanTenureMonths]])</f>
        <v>48011</v>
      </c>
      <c r="N522" s="33">
        <f>IF(Loans[[#This Row],[LoanAmount]]=0,0,Loans[[#This Row],[CollateralValue]]/Loans[[#This Row],[LoanAmount]])</f>
        <v>0.61</v>
      </c>
      <c r="O522" t="str">
        <f>IF(Loans[[#This Row],[CollateralCoverageRatio]]&lt;1,"Undersecured","Secured")</f>
        <v>Undersecured</v>
      </c>
      <c r="P522" t="str">
        <f>_xlfn.XLOOKUP(Loans[[#This Row],[BranchCode]],BranchesTbl[BranchCode],BranchesTbl[BranchName])</f>
        <v>Mombasa</v>
      </c>
      <c r="Q522">
        <f>_xlfn.XLOOKUP(Loans[[#This Row],[CustomerID]],CustomerTbl[CustomerID],CustomerTbl[RiskScore])</f>
        <v>732</v>
      </c>
      <c r="R522" t="str">
        <f>IFERROR(INDEX(RiskTbl[Risk_Category],MATCH(Loans[[#This Row],[RiskScore]],RiskTbl[Score_Min],1)),"Unknown")</f>
        <v>Low Risk</v>
      </c>
      <c r="S522" t="str">
        <f>IF(OR(Loans[[#This Row],[LoanStatus]]="Default",Loans[[#This Row],[LoanStatus]]="Watchlist",Loans[[#This Row],[CollateralRisk]]="Undersecured",Loans[[#This Row],[RiskCategory]]="High Risk"),"High Risk Exposure","Normal")</f>
        <v>High Risk Exposure</v>
      </c>
      <c r="T522" t="str" cm="1">
        <f t="array" ref="T522">_xlfn.IFS(
Loans[[#This Row],[LoanStatus]]="Default","Critical",
OR(Loans[[#This Row],[LoanStatus]]="Watchlist",Loans[[#This Row],[CollateralRisk]]="Undersecured",Loans[[#This Row],[RiskCategory]]="High Risk"),"High",
TRUE,"Normal"
)</f>
        <v>High</v>
      </c>
    </row>
    <row r="523" spans="1:20" x14ac:dyDescent="0.35">
      <c r="A523" t="s">
        <v>1072</v>
      </c>
      <c r="B523" t="s">
        <v>1073</v>
      </c>
      <c r="C523" t="s">
        <v>187</v>
      </c>
      <c r="D523" t="s">
        <v>158</v>
      </c>
      <c r="E523" s="34">
        <v>500000</v>
      </c>
      <c r="F523" s="29">
        <v>0.18820000000000001</v>
      </c>
      <c r="G523" s="30">
        <v>45507</v>
      </c>
      <c r="H523">
        <v>12</v>
      </c>
      <c r="I523">
        <v>0</v>
      </c>
      <c r="J523" s="34">
        <v>650000</v>
      </c>
      <c r="K523" t="s">
        <v>171</v>
      </c>
      <c r="L523" s="34">
        <f>PMT(Loans[[#This Row],[InterestRate]]/12,Loans[[#This Row],[LoanTenureMonths]],-Loans[[#This Row],[LoanAmount]])</f>
        <v>46035.34686992623</v>
      </c>
      <c r="M523" s="30">
        <f>EDATE(Loans[[#This Row],[LoanStartDate]],Loans[[#This Row],[LoanTenureMonths]])</f>
        <v>45872</v>
      </c>
      <c r="N523" s="33">
        <f>IF(Loans[[#This Row],[LoanAmount]]=0,0,Loans[[#This Row],[CollateralValue]]/Loans[[#This Row],[LoanAmount]])</f>
        <v>1.3</v>
      </c>
      <c r="O523" t="str">
        <f>IF(Loans[[#This Row],[CollateralCoverageRatio]]&lt;1,"Undersecured","Secured")</f>
        <v>Secured</v>
      </c>
      <c r="P523" t="str">
        <f>_xlfn.XLOOKUP(Loans[[#This Row],[BranchCode]],BranchesTbl[BranchCode],BranchesTbl[BranchName])</f>
        <v>Eldoret</v>
      </c>
      <c r="Q523">
        <f>_xlfn.XLOOKUP(Loans[[#This Row],[CustomerID]],CustomerTbl[CustomerID],CustomerTbl[RiskScore])</f>
        <v>671</v>
      </c>
      <c r="R523" t="str">
        <f>IFERROR(INDEX(RiskTbl[Risk_Category],MATCH(Loans[[#This Row],[RiskScore]],RiskTbl[Score_Min],1)),"Unknown")</f>
        <v>Low Risk</v>
      </c>
      <c r="S523" t="str">
        <f>IF(OR(Loans[[#This Row],[LoanStatus]]="Default",Loans[[#This Row],[LoanStatus]]="Watchlist",Loans[[#This Row],[CollateralRisk]]="Undersecured",Loans[[#This Row],[RiskCategory]]="High Risk"),"High Risk Exposure","Normal")</f>
        <v>Normal</v>
      </c>
      <c r="T523" t="str" cm="1">
        <f t="array" ref="T523">_xlfn.IFS(
Loans[[#This Row],[LoanStatus]]="Default","Critical",
OR(Loans[[#This Row],[LoanStatus]]="Watchlist",Loans[[#This Row],[CollateralRisk]]="Undersecured",Loans[[#This Row],[RiskCategory]]="High Risk"),"High",
TRUE,"Normal"
)</f>
        <v>Normal</v>
      </c>
    </row>
    <row r="524" spans="1:20" x14ac:dyDescent="0.35">
      <c r="A524" t="s">
        <v>1074</v>
      </c>
      <c r="B524" t="s">
        <v>1075</v>
      </c>
      <c r="C524" t="s">
        <v>239</v>
      </c>
      <c r="D524" t="s">
        <v>156</v>
      </c>
      <c r="E524" s="34">
        <v>1000000</v>
      </c>
      <c r="F524" s="29">
        <v>0.1484</v>
      </c>
      <c r="G524" s="30">
        <v>44317</v>
      </c>
      <c r="H524">
        <v>60</v>
      </c>
      <c r="I524">
        <v>5</v>
      </c>
      <c r="J524" s="34">
        <v>540000</v>
      </c>
      <c r="K524" t="s">
        <v>171</v>
      </c>
      <c r="L524" s="34">
        <f>PMT(Loans[[#This Row],[InterestRate]]/12,Loans[[#This Row],[LoanTenureMonths]],-Loans[[#This Row],[LoanAmount]])</f>
        <v>23706.026692241336</v>
      </c>
      <c r="M524" s="30">
        <f>EDATE(Loans[[#This Row],[LoanStartDate]],Loans[[#This Row],[LoanTenureMonths]])</f>
        <v>46143</v>
      </c>
      <c r="N524" s="33">
        <f>IF(Loans[[#This Row],[LoanAmount]]=0,0,Loans[[#This Row],[CollateralValue]]/Loans[[#This Row],[LoanAmount]])</f>
        <v>0.54</v>
      </c>
      <c r="O524" t="str">
        <f>IF(Loans[[#This Row],[CollateralCoverageRatio]]&lt;1,"Undersecured","Secured")</f>
        <v>Undersecured</v>
      </c>
      <c r="P524" t="str">
        <f>_xlfn.XLOOKUP(Loans[[#This Row],[BranchCode]],BranchesTbl[BranchCode],BranchesTbl[BranchName])</f>
        <v>Machakos</v>
      </c>
      <c r="Q524">
        <f>_xlfn.XLOOKUP(Loans[[#This Row],[CustomerID]],CustomerTbl[CustomerID],CustomerTbl[RiskScore])</f>
        <v>813</v>
      </c>
      <c r="R524" t="str">
        <f>IFERROR(INDEX(RiskTbl[Risk_Category],MATCH(Loans[[#This Row],[RiskScore]],RiskTbl[Score_Min],1)),"Unknown")</f>
        <v>Prime</v>
      </c>
      <c r="S524" t="str">
        <f>IF(OR(Loans[[#This Row],[LoanStatus]]="Default",Loans[[#This Row],[LoanStatus]]="Watchlist",Loans[[#This Row],[CollateralRisk]]="Undersecured",Loans[[#This Row],[RiskCategory]]="High Risk"),"High Risk Exposure","Normal")</f>
        <v>High Risk Exposure</v>
      </c>
      <c r="T524" t="str" cm="1">
        <f t="array" ref="T524">_xlfn.IFS(
Loans[[#This Row],[LoanStatus]]="Default","Critical",
OR(Loans[[#This Row],[LoanStatus]]="Watchlist",Loans[[#This Row],[CollateralRisk]]="Undersecured",Loans[[#This Row],[RiskCategory]]="High Risk"),"High",
TRUE,"Normal"
)</f>
        <v>High</v>
      </c>
    </row>
    <row r="525" spans="1:20" x14ac:dyDescent="0.35">
      <c r="A525" t="s">
        <v>1076</v>
      </c>
      <c r="B525" t="s">
        <v>562</v>
      </c>
      <c r="C525" t="s">
        <v>196</v>
      </c>
      <c r="D525" t="s">
        <v>158</v>
      </c>
      <c r="E525" s="34">
        <v>6000000</v>
      </c>
      <c r="F525" s="29">
        <v>0.1229</v>
      </c>
      <c r="G525" s="30">
        <v>45769</v>
      </c>
      <c r="H525">
        <v>72</v>
      </c>
      <c r="I525">
        <v>0</v>
      </c>
      <c r="J525" s="34">
        <v>4440000</v>
      </c>
      <c r="K525" t="s">
        <v>171</v>
      </c>
      <c r="L525" s="34">
        <f>PMT(Loans[[#This Row],[InterestRate]]/12,Loans[[#This Row],[LoanTenureMonths]],-Loans[[#This Row],[LoanAmount]])</f>
        <v>118207.96566556238</v>
      </c>
      <c r="M525" s="30">
        <f>EDATE(Loans[[#This Row],[LoanStartDate]],Loans[[#This Row],[LoanTenureMonths]])</f>
        <v>47960</v>
      </c>
      <c r="N525" s="33">
        <f>IF(Loans[[#This Row],[LoanAmount]]=0,0,Loans[[#This Row],[CollateralValue]]/Loans[[#This Row],[LoanAmount]])</f>
        <v>0.74</v>
      </c>
      <c r="O525" t="str">
        <f>IF(Loans[[#This Row],[CollateralCoverageRatio]]&lt;1,"Undersecured","Secured")</f>
        <v>Undersecured</v>
      </c>
      <c r="P525" t="str">
        <f>_xlfn.XLOOKUP(Loans[[#This Row],[BranchCode]],BranchesTbl[BranchCode],BranchesTbl[BranchName])</f>
        <v>Karen</v>
      </c>
      <c r="Q525">
        <f>_xlfn.XLOOKUP(Loans[[#This Row],[CustomerID]],CustomerTbl[CustomerID],CustomerTbl[RiskScore])</f>
        <v>767</v>
      </c>
      <c r="R525" t="str">
        <f>IFERROR(INDEX(RiskTbl[Risk_Category],MATCH(Loans[[#This Row],[RiskScore]],RiskTbl[Score_Min],1)),"Unknown")</f>
        <v>Very Low Risk</v>
      </c>
      <c r="S525" t="str">
        <f>IF(OR(Loans[[#This Row],[LoanStatus]]="Default",Loans[[#This Row],[LoanStatus]]="Watchlist",Loans[[#This Row],[CollateralRisk]]="Undersecured",Loans[[#This Row],[RiskCategory]]="High Risk"),"High Risk Exposure","Normal")</f>
        <v>High Risk Exposure</v>
      </c>
      <c r="T525" t="str" cm="1">
        <f t="array" ref="T525">_xlfn.IFS(
Loans[[#This Row],[LoanStatus]]="Default","Critical",
OR(Loans[[#This Row],[LoanStatus]]="Watchlist",Loans[[#This Row],[CollateralRisk]]="Undersecured",Loans[[#This Row],[RiskCategory]]="High Risk"),"High",
TRUE,"Normal"
)</f>
        <v>High</v>
      </c>
    </row>
    <row r="526" spans="1:20" x14ac:dyDescent="0.35">
      <c r="A526" t="s">
        <v>1077</v>
      </c>
      <c r="B526" t="s">
        <v>827</v>
      </c>
      <c r="C526" t="s">
        <v>170</v>
      </c>
      <c r="D526" t="s">
        <v>157</v>
      </c>
      <c r="E526" s="34">
        <v>25000000</v>
      </c>
      <c r="F526" s="29">
        <v>0.1072</v>
      </c>
      <c r="G526" s="30">
        <v>44547</v>
      </c>
      <c r="H526">
        <v>36</v>
      </c>
      <c r="I526">
        <v>45</v>
      </c>
      <c r="J526" s="34">
        <v>19000000</v>
      </c>
      <c r="K526" t="s">
        <v>199</v>
      </c>
      <c r="L526" s="34">
        <f>PMT(Loans[[#This Row],[InterestRate]]/12,Loans[[#This Row],[LoanTenureMonths]],-Loans[[#This Row],[LoanAmount]])</f>
        <v>815156.96640262194</v>
      </c>
      <c r="M526" s="30">
        <f>EDATE(Loans[[#This Row],[LoanStartDate]],Loans[[#This Row],[LoanTenureMonths]])</f>
        <v>45643</v>
      </c>
      <c r="N526" s="33">
        <f>IF(Loans[[#This Row],[LoanAmount]]=0,0,Loans[[#This Row],[CollateralValue]]/Loans[[#This Row],[LoanAmount]])</f>
        <v>0.76</v>
      </c>
      <c r="O526" t="str">
        <f>IF(Loans[[#This Row],[CollateralCoverageRatio]]&lt;1,"Undersecured","Secured")</f>
        <v>Undersecured</v>
      </c>
      <c r="P526" t="str">
        <f>_xlfn.XLOOKUP(Loans[[#This Row],[BranchCode]],BranchesTbl[BranchCode],BranchesTbl[BranchName])</f>
        <v>Thika</v>
      </c>
      <c r="Q526">
        <f>_xlfn.XLOOKUP(Loans[[#This Row],[CustomerID]],CustomerTbl[CustomerID],CustomerTbl[RiskScore])</f>
        <v>523</v>
      </c>
      <c r="R526" t="str">
        <f>IFERROR(INDEX(RiskTbl[Risk_Category],MATCH(Loans[[#This Row],[RiskScore]],RiskTbl[Score_Min],1)),"Unknown")</f>
        <v>High Risk</v>
      </c>
      <c r="S526" t="str">
        <f>IF(OR(Loans[[#This Row],[LoanStatus]]="Default",Loans[[#This Row],[LoanStatus]]="Watchlist",Loans[[#This Row],[CollateralRisk]]="Undersecured",Loans[[#This Row],[RiskCategory]]="High Risk"),"High Risk Exposure","Normal")</f>
        <v>High Risk Exposure</v>
      </c>
      <c r="T526" t="str" cm="1">
        <f t="array" ref="T526">_xlfn.IFS(
Loans[[#This Row],[LoanStatus]]="Default","Critical",
OR(Loans[[#This Row],[LoanStatus]]="Watchlist",Loans[[#This Row],[CollateralRisk]]="Undersecured",Loans[[#This Row],[RiskCategory]]="High Risk"),"High",
TRUE,"Normal"
)</f>
        <v>High</v>
      </c>
    </row>
    <row r="527" spans="1:20" x14ac:dyDescent="0.35">
      <c r="A527" t="s">
        <v>1078</v>
      </c>
      <c r="B527" t="s">
        <v>254</v>
      </c>
      <c r="C527" t="s">
        <v>270</v>
      </c>
      <c r="D527" t="s">
        <v>158</v>
      </c>
      <c r="E527" s="34">
        <v>3000000</v>
      </c>
      <c r="F527" s="29">
        <v>0.1928</v>
      </c>
      <c r="G527" s="30">
        <v>44893</v>
      </c>
      <c r="H527">
        <v>36</v>
      </c>
      <c r="I527">
        <v>0</v>
      </c>
      <c r="J527" s="34">
        <v>3900000</v>
      </c>
      <c r="K527" t="s">
        <v>171</v>
      </c>
      <c r="L527" s="34">
        <f>PMT(Loans[[#This Row],[InterestRate]]/12,Loans[[#This Row],[LoanTenureMonths]],-Loans[[#This Row],[LoanAmount]])</f>
        <v>110393.22448281753</v>
      </c>
      <c r="M527" s="30">
        <f>EDATE(Loans[[#This Row],[LoanStartDate]],Loans[[#This Row],[LoanTenureMonths]])</f>
        <v>45989</v>
      </c>
      <c r="N527" s="33">
        <f>IF(Loans[[#This Row],[LoanAmount]]=0,0,Loans[[#This Row],[CollateralValue]]/Loans[[#This Row],[LoanAmount]])</f>
        <v>1.3</v>
      </c>
      <c r="O527" t="str">
        <f>IF(Loans[[#This Row],[CollateralCoverageRatio]]&lt;1,"Undersecured","Secured")</f>
        <v>Secured</v>
      </c>
      <c r="P527" t="str">
        <f>_xlfn.XLOOKUP(Loans[[#This Row],[BranchCode]],BranchesTbl[BranchCode],BranchesTbl[BranchName])</f>
        <v>Nakuru</v>
      </c>
      <c r="Q527">
        <f>_xlfn.XLOOKUP(Loans[[#This Row],[CustomerID]],CustomerTbl[CustomerID],CustomerTbl[RiskScore])</f>
        <v>535</v>
      </c>
      <c r="R527" t="str">
        <f>IFERROR(INDEX(RiskTbl[Risk_Category],MATCH(Loans[[#This Row],[RiskScore]],RiskTbl[Score_Min],1)),"Unknown")</f>
        <v>High Risk</v>
      </c>
      <c r="S527" t="str">
        <f>IF(OR(Loans[[#This Row],[LoanStatus]]="Default",Loans[[#This Row],[LoanStatus]]="Watchlist",Loans[[#This Row],[CollateralRisk]]="Undersecured",Loans[[#This Row],[RiskCategory]]="High Risk"),"High Risk Exposure","Normal")</f>
        <v>High Risk Exposure</v>
      </c>
      <c r="T527" t="str" cm="1">
        <f t="array" ref="T527">_xlfn.IFS(
Loans[[#This Row],[LoanStatus]]="Default","Critical",
OR(Loans[[#This Row],[LoanStatus]]="Watchlist",Loans[[#This Row],[CollateralRisk]]="Undersecured",Loans[[#This Row],[RiskCategory]]="High Risk"),"High",
TRUE,"Normal"
)</f>
        <v>High</v>
      </c>
    </row>
    <row r="528" spans="1:20" x14ac:dyDescent="0.35">
      <c r="A528" t="s">
        <v>1079</v>
      </c>
      <c r="B528" t="s">
        <v>1068</v>
      </c>
      <c r="C528" t="s">
        <v>196</v>
      </c>
      <c r="D528" t="s">
        <v>156</v>
      </c>
      <c r="E528" s="34">
        <v>3000000</v>
      </c>
      <c r="F528" s="29">
        <v>0.2361</v>
      </c>
      <c r="G528" s="30">
        <v>44080</v>
      </c>
      <c r="H528">
        <v>72</v>
      </c>
      <c r="I528">
        <v>90</v>
      </c>
      <c r="J528" s="34">
        <v>4380000</v>
      </c>
      <c r="K528" t="s">
        <v>199</v>
      </c>
      <c r="L528" s="34">
        <f>PMT(Loans[[#This Row],[InterestRate]]/12,Loans[[#This Row],[LoanTenureMonths]],-Loans[[#This Row],[LoanAmount]])</f>
        <v>78271.75504135809</v>
      </c>
      <c r="M528" s="30">
        <f>EDATE(Loans[[#This Row],[LoanStartDate]],Loans[[#This Row],[LoanTenureMonths]])</f>
        <v>46271</v>
      </c>
      <c r="N528" s="33">
        <f>IF(Loans[[#This Row],[LoanAmount]]=0,0,Loans[[#This Row],[CollateralValue]]/Loans[[#This Row],[LoanAmount]])</f>
        <v>1.46</v>
      </c>
      <c r="O528" t="str">
        <f>IF(Loans[[#This Row],[CollateralCoverageRatio]]&lt;1,"Undersecured","Secured")</f>
        <v>Secured</v>
      </c>
      <c r="P528" t="str">
        <f>_xlfn.XLOOKUP(Loans[[#This Row],[BranchCode]],BranchesTbl[BranchCode],BranchesTbl[BranchName])</f>
        <v>Karen</v>
      </c>
      <c r="Q528">
        <f>_xlfn.XLOOKUP(Loans[[#This Row],[CustomerID]],CustomerTbl[CustomerID],CustomerTbl[RiskScore])</f>
        <v>629</v>
      </c>
      <c r="R528" t="str">
        <f>IFERROR(INDEX(RiskTbl[Risk_Category],MATCH(Loans[[#This Row],[RiskScore]],RiskTbl[Score_Min],1)),"Unknown")</f>
        <v>Medium Risk</v>
      </c>
      <c r="S528" t="str">
        <f>IF(OR(Loans[[#This Row],[LoanStatus]]="Default",Loans[[#This Row],[LoanStatus]]="Watchlist",Loans[[#This Row],[CollateralRisk]]="Undersecured",Loans[[#This Row],[RiskCategory]]="High Risk"),"High Risk Exposure","Normal")</f>
        <v>High Risk Exposure</v>
      </c>
      <c r="T528" t="str" cm="1">
        <f t="array" ref="T528">_xlfn.IFS(
Loans[[#This Row],[LoanStatus]]="Default","Critical",
OR(Loans[[#This Row],[LoanStatus]]="Watchlist",Loans[[#This Row],[CollateralRisk]]="Undersecured",Loans[[#This Row],[RiskCategory]]="High Risk"),"High",
TRUE,"Normal"
)</f>
        <v>High</v>
      </c>
    </row>
    <row r="529" spans="1:20" x14ac:dyDescent="0.35">
      <c r="A529" t="s">
        <v>1080</v>
      </c>
      <c r="B529" t="s">
        <v>1081</v>
      </c>
      <c r="C529" t="s">
        <v>181</v>
      </c>
      <c r="D529" t="s">
        <v>156</v>
      </c>
      <c r="E529" s="34">
        <v>1000000</v>
      </c>
      <c r="F529" s="29">
        <v>0.15240000000000001</v>
      </c>
      <c r="G529" s="30">
        <v>45266</v>
      </c>
      <c r="H529">
        <v>24</v>
      </c>
      <c r="I529">
        <v>90</v>
      </c>
      <c r="J529" s="34">
        <v>670000</v>
      </c>
      <c r="K529" t="s">
        <v>199</v>
      </c>
      <c r="L529" s="34">
        <f>PMT(Loans[[#This Row],[InterestRate]]/12,Loans[[#This Row],[LoanTenureMonths]],-Loans[[#This Row],[LoanAmount]])</f>
        <v>48600.753255881849</v>
      </c>
      <c r="M529" s="30">
        <f>EDATE(Loans[[#This Row],[LoanStartDate]],Loans[[#This Row],[LoanTenureMonths]])</f>
        <v>45997</v>
      </c>
      <c r="N529" s="33">
        <f>IF(Loans[[#This Row],[LoanAmount]]=0,0,Loans[[#This Row],[CollateralValue]]/Loans[[#This Row],[LoanAmount]])</f>
        <v>0.67</v>
      </c>
      <c r="O529" t="str">
        <f>IF(Loans[[#This Row],[CollateralCoverageRatio]]&lt;1,"Undersecured","Secured")</f>
        <v>Undersecured</v>
      </c>
      <c r="P529" t="str">
        <f>_xlfn.XLOOKUP(Loans[[#This Row],[BranchCode]],BranchesTbl[BranchCode],BranchesTbl[BranchName])</f>
        <v>Kitale</v>
      </c>
      <c r="Q529">
        <f>_xlfn.XLOOKUP(Loans[[#This Row],[CustomerID]],CustomerTbl[CustomerID],CustomerTbl[RiskScore])</f>
        <v>463</v>
      </c>
      <c r="R529" t="str">
        <f>IFERROR(INDEX(RiskTbl[Risk_Category],MATCH(Loans[[#This Row],[RiskScore]],RiskTbl[Score_Min],1)),"Unknown")</f>
        <v>High Risk</v>
      </c>
      <c r="S529" t="str">
        <f>IF(OR(Loans[[#This Row],[LoanStatus]]="Default",Loans[[#This Row],[LoanStatus]]="Watchlist",Loans[[#This Row],[CollateralRisk]]="Undersecured",Loans[[#This Row],[RiskCategory]]="High Risk"),"High Risk Exposure","Normal")</f>
        <v>High Risk Exposure</v>
      </c>
      <c r="T529" t="str" cm="1">
        <f t="array" ref="T529">_xlfn.IFS(
Loans[[#This Row],[LoanStatus]]="Default","Critical",
OR(Loans[[#This Row],[LoanStatus]]="Watchlist",Loans[[#This Row],[CollateralRisk]]="Undersecured",Loans[[#This Row],[RiskCategory]]="High Risk"),"High",
TRUE,"Normal"
)</f>
        <v>High</v>
      </c>
    </row>
    <row r="530" spans="1:20" x14ac:dyDescent="0.35">
      <c r="A530" t="s">
        <v>1082</v>
      </c>
      <c r="B530" t="s">
        <v>1083</v>
      </c>
      <c r="C530" t="s">
        <v>190</v>
      </c>
      <c r="D530" t="s">
        <v>155</v>
      </c>
      <c r="E530" s="34">
        <v>100000</v>
      </c>
      <c r="F530" s="29">
        <v>0.27779999999999999</v>
      </c>
      <c r="G530" s="30">
        <v>45285</v>
      </c>
      <c r="H530">
        <v>36</v>
      </c>
      <c r="I530">
        <v>0</v>
      </c>
      <c r="J530" s="34">
        <v>0</v>
      </c>
      <c r="K530" t="s">
        <v>171</v>
      </c>
      <c r="L530" s="34">
        <f>PMT(Loans[[#This Row],[InterestRate]]/12,Loans[[#This Row],[LoanTenureMonths]],-Loans[[#This Row],[LoanAmount]])</f>
        <v>4124.4822687055148</v>
      </c>
      <c r="M530" s="30">
        <f>EDATE(Loans[[#This Row],[LoanStartDate]],Loans[[#This Row],[LoanTenureMonths]])</f>
        <v>46381</v>
      </c>
      <c r="N530" s="33">
        <f>IF(Loans[[#This Row],[LoanAmount]]=0,0,Loans[[#This Row],[CollateralValue]]/Loans[[#This Row],[LoanAmount]])</f>
        <v>0</v>
      </c>
      <c r="O530" t="str">
        <f>IF(Loans[[#This Row],[CollateralCoverageRatio]]&lt;1,"Undersecured","Secured")</f>
        <v>Undersecured</v>
      </c>
      <c r="P530" t="str">
        <f>_xlfn.XLOOKUP(Loans[[#This Row],[BranchCode]],BranchesTbl[BranchCode],BranchesTbl[BranchName])</f>
        <v>Nyeri</v>
      </c>
      <c r="Q530">
        <f>_xlfn.XLOOKUP(Loans[[#This Row],[CustomerID]],CustomerTbl[CustomerID],CustomerTbl[RiskScore])</f>
        <v>707</v>
      </c>
      <c r="R530" t="str">
        <f>IFERROR(INDEX(RiskTbl[Risk_Category],MATCH(Loans[[#This Row],[RiskScore]],RiskTbl[Score_Min],1)),"Unknown")</f>
        <v>Low Risk</v>
      </c>
      <c r="S530" t="str">
        <f>IF(OR(Loans[[#This Row],[LoanStatus]]="Default",Loans[[#This Row],[LoanStatus]]="Watchlist",Loans[[#This Row],[CollateralRisk]]="Undersecured",Loans[[#This Row],[RiskCategory]]="High Risk"),"High Risk Exposure","Normal")</f>
        <v>High Risk Exposure</v>
      </c>
      <c r="T530" t="str" cm="1">
        <f t="array" ref="T530">_xlfn.IFS(
Loans[[#This Row],[LoanStatus]]="Default","Critical",
OR(Loans[[#This Row],[LoanStatus]]="Watchlist",Loans[[#This Row],[CollateralRisk]]="Undersecured",Loans[[#This Row],[RiskCategory]]="High Risk"),"High",
TRUE,"Normal"
)</f>
        <v>High</v>
      </c>
    </row>
    <row r="531" spans="1:20" x14ac:dyDescent="0.35">
      <c r="A531" t="s">
        <v>1084</v>
      </c>
      <c r="B531" t="s">
        <v>1085</v>
      </c>
      <c r="C531" t="s">
        <v>184</v>
      </c>
      <c r="D531" t="s">
        <v>156</v>
      </c>
      <c r="E531" s="34">
        <v>25000000</v>
      </c>
      <c r="F531" s="29">
        <v>0.21049999999999999</v>
      </c>
      <c r="G531" s="30">
        <v>45147</v>
      </c>
      <c r="H531">
        <v>72</v>
      </c>
      <c r="I531">
        <v>0</v>
      </c>
      <c r="J531" s="34">
        <v>16500000</v>
      </c>
      <c r="K531" t="s">
        <v>171</v>
      </c>
      <c r="L531" s="34">
        <f>PMT(Loans[[#This Row],[InterestRate]]/12,Loans[[#This Row],[LoanTenureMonths]],-Loans[[#This Row],[LoanAmount]])</f>
        <v>614133.4645029885</v>
      </c>
      <c r="M531" s="30">
        <f>EDATE(Loans[[#This Row],[LoanStartDate]],Loans[[#This Row],[LoanTenureMonths]])</f>
        <v>47339</v>
      </c>
      <c r="N531" s="33">
        <f>IF(Loans[[#This Row],[LoanAmount]]=0,0,Loans[[#This Row],[CollateralValue]]/Loans[[#This Row],[LoanAmount]])</f>
        <v>0.66</v>
      </c>
      <c r="O531" t="str">
        <f>IF(Loans[[#This Row],[CollateralCoverageRatio]]&lt;1,"Undersecured","Secured")</f>
        <v>Undersecured</v>
      </c>
      <c r="P531" t="str">
        <f>_xlfn.XLOOKUP(Loans[[#This Row],[BranchCode]],BranchesTbl[BranchCode],BranchesTbl[BranchName])</f>
        <v>Kisumu</v>
      </c>
      <c r="Q531">
        <f>_xlfn.XLOOKUP(Loans[[#This Row],[CustomerID]],CustomerTbl[CustomerID],CustomerTbl[RiskScore])</f>
        <v>654</v>
      </c>
      <c r="R531" t="str">
        <f>IFERROR(INDEX(RiskTbl[Risk_Category],MATCH(Loans[[#This Row],[RiskScore]],RiskTbl[Score_Min],1)),"Unknown")</f>
        <v>Medium Risk</v>
      </c>
      <c r="S531" t="str">
        <f>IF(OR(Loans[[#This Row],[LoanStatus]]="Default",Loans[[#This Row],[LoanStatus]]="Watchlist",Loans[[#This Row],[CollateralRisk]]="Undersecured",Loans[[#This Row],[RiskCategory]]="High Risk"),"High Risk Exposure","Normal")</f>
        <v>High Risk Exposure</v>
      </c>
      <c r="T531" t="str" cm="1">
        <f t="array" ref="T531">_xlfn.IFS(
Loans[[#This Row],[LoanStatus]]="Default","Critical",
OR(Loans[[#This Row],[LoanStatus]]="Watchlist",Loans[[#This Row],[CollateralRisk]]="Undersecured",Loans[[#This Row],[RiskCategory]]="High Risk"),"High",
TRUE,"Normal"
)</f>
        <v>High</v>
      </c>
    </row>
    <row r="532" spans="1:20" x14ac:dyDescent="0.35">
      <c r="A532" t="s">
        <v>1086</v>
      </c>
      <c r="B532" t="s">
        <v>1087</v>
      </c>
      <c r="C532" t="s">
        <v>187</v>
      </c>
      <c r="D532" t="s">
        <v>158</v>
      </c>
      <c r="E532" s="34">
        <v>500000</v>
      </c>
      <c r="F532" s="29">
        <v>0.16470000000000001</v>
      </c>
      <c r="G532" s="30">
        <v>45842</v>
      </c>
      <c r="H532">
        <v>36</v>
      </c>
      <c r="I532">
        <v>0</v>
      </c>
      <c r="J532" s="34">
        <v>725000</v>
      </c>
      <c r="K532" t="s">
        <v>171</v>
      </c>
      <c r="L532" s="34">
        <f>PMT(Loans[[#This Row],[InterestRate]]/12,Loans[[#This Row],[LoanTenureMonths]],-Loans[[#This Row],[LoanAmount]])</f>
        <v>17694.756743336704</v>
      </c>
      <c r="M532" s="30">
        <f>EDATE(Loans[[#This Row],[LoanStartDate]],Loans[[#This Row],[LoanTenureMonths]])</f>
        <v>46938</v>
      </c>
      <c r="N532" s="33">
        <f>IF(Loans[[#This Row],[LoanAmount]]=0,0,Loans[[#This Row],[CollateralValue]]/Loans[[#This Row],[LoanAmount]])</f>
        <v>1.45</v>
      </c>
      <c r="O532" t="str">
        <f>IF(Loans[[#This Row],[CollateralCoverageRatio]]&lt;1,"Undersecured","Secured")</f>
        <v>Secured</v>
      </c>
      <c r="P532" t="str">
        <f>_xlfn.XLOOKUP(Loans[[#This Row],[BranchCode]],BranchesTbl[BranchCode],BranchesTbl[BranchName])</f>
        <v>Eldoret</v>
      </c>
      <c r="Q532">
        <f>_xlfn.XLOOKUP(Loans[[#This Row],[CustomerID]],CustomerTbl[CustomerID],CustomerTbl[RiskScore])</f>
        <v>332</v>
      </c>
      <c r="R532" t="str">
        <f>IFERROR(INDEX(RiskTbl[Risk_Category],MATCH(Loans[[#This Row],[RiskScore]],RiskTbl[Score_Min],1)),"Unknown")</f>
        <v>High Risk</v>
      </c>
      <c r="S532" t="str">
        <f>IF(OR(Loans[[#This Row],[LoanStatus]]="Default",Loans[[#This Row],[LoanStatus]]="Watchlist",Loans[[#This Row],[CollateralRisk]]="Undersecured",Loans[[#This Row],[RiskCategory]]="High Risk"),"High Risk Exposure","Normal")</f>
        <v>High Risk Exposure</v>
      </c>
      <c r="T532" t="str" cm="1">
        <f t="array" ref="T532">_xlfn.IFS(
Loans[[#This Row],[LoanStatus]]="Default","Critical",
OR(Loans[[#This Row],[LoanStatus]]="Watchlist",Loans[[#This Row],[CollateralRisk]]="Undersecured",Loans[[#This Row],[RiskCategory]]="High Risk"),"High",
TRUE,"Normal"
)</f>
        <v>High</v>
      </c>
    </row>
    <row r="533" spans="1:20" x14ac:dyDescent="0.35">
      <c r="A533" t="s">
        <v>1088</v>
      </c>
      <c r="B533" t="s">
        <v>173</v>
      </c>
      <c r="C533" t="s">
        <v>190</v>
      </c>
      <c r="D533" t="s">
        <v>157</v>
      </c>
      <c r="E533" s="34">
        <v>80000000</v>
      </c>
      <c r="F533" s="29">
        <v>0.11509999999999999</v>
      </c>
      <c r="G533" s="30">
        <v>45333</v>
      </c>
      <c r="H533">
        <v>24</v>
      </c>
      <c r="I533">
        <v>5</v>
      </c>
      <c r="J533" s="34">
        <v>101600000</v>
      </c>
      <c r="K533" t="s">
        <v>171</v>
      </c>
      <c r="L533" s="34">
        <f>PMT(Loans[[#This Row],[InterestRate]]/12,Loans[[#This Row],[LoanTenureMonths]],-Loans[[#This Row],[LoanAmount]])</f>
        <v>3747597.7421871522</v>
      </c>
      <c r="M533" s="30">
        <f>EDATE(Loans[[#This Row],[LoanStartDate]],Loans[[#This Row],[LoanTenureMonths]])</f>
        <v>46064</v>
      </c>
      <c r="N533" s="33">
        <f>IF(Loans[[#This Row],[LoanAmount]]=0,0,Loans[[#This Row],[CollateralValue]]/Loans[[#This Row],[LoanAmount]])</f>
        <v>1.27</v>
      </c>
      <c r="O533" t="str">
        <f>IF(Loans[[#This Row],[CollateralCoverageRatio]]&lt;1,"Undersecured","Secured")</f>
        <v>Secured</v>
      </c>
      <c r="P533" t="str">
        <f>_xlfn.XLOOKUP(Loans[[#This Row],[BranchCode]],BranchesTbl[BranchCode],BranchesTbl[BranchName])</f>
        <v>Nyeri</v>
      </c>
      <c r="Q533">
        <f>_xlfn.XLOOKUP(Loans[[#This Row],[CustomerID]],CustomerTbl[CustomerID],CustomerTbl[RiskScore])</f>
        <v>490</v>
      </c>
      <c r="R533" t="str">
        <f>IFERROR(INDEX(RiskTbl[Risk_Category],MATCH(Loans[[#This Row],[RiskScore]],RiskTbl[Score_Min],1)),"Unknown")</f>
        <v>High Risk</v>
      </c>
      <c r="S533" t="str">
        <f>IF(OR(Loans[[#This Row],[LoanStatus]]="Default",Loans[[#This Row],[LoanStatus]]="Watchlist",Loans[[#This Row],[CollateralRisk]]="Undersecured",Loans[[#This Row],[RiskCategory]]="High Risk"),"High Risk Exposure","Normal")</f>
        <v>High Risk Exposure</v>
      </c>
      <c r="T533" t="str" cm="1">
        <f t="array" ref="T533">_xlfn.IFS(
Loans[[#This Row],[LoanStatus]]="Default","Critical",
OR(Loans[[#This Row],[LoanStatus]]="Watchlist",Loans[[#This Row],[CollateralRisk]]="Undersecured",Loans[[#This Row],[RiskCategory]]="High Risk"),"High",
TRUE,"Normal"
)</f>
        <v>High</v>
      </c>
    </row>
    <row r="534" spans="1:20" x14ac:dyDescent="0.35">
      <c r="A534" t="s">
        <v>1089</v>
      </c>
      <c r="B534" t="s">
        <v>1090</v>
      </c>
      <c r="C534" t="s">
        <v>267</v>
      </c>
      <c r="D534" t="s">
        <v>156</v>
      </c>
      <c r="E534" s="34">
        <v>1000000</v>
      </c>
      <c r="F534" s="29">
        <v>0.21940000000000001</v>
      </c>
      <c r="G534" s="30">
        <v>45115</v>
      </c>
      <c r="H534">
        <v>12</v>
      </c>
      <c r="I534">
        <v>10</v>
      </c>
      <c r="J534" s="34">
        <v>1090000</v>
      </c>
      <c r="K534" t="s">
        <v>171</v>
      </c>
      <c r="L534" s="34">
        <f>PMT(Loans[[#This Row],[InterestRate]]/12,Loans[[#This Row],[LoanTenureMonths]],-Loans[[#This Row],[LoanAmount]])</f>
        <v>93565.505597340991</v>
      </c>
      <c r="M534" s="30">
        <f>EDATE(Loans[[#This Row],[LoanStartDate]],Loans[[#This Row],[LoanTenureMonths]])</f>
        <v>45481</v>
      </c>
      <c r="N534" s="33">
        <f>IF(Loans[[#This Row],[LoanAmount]]=0,0,Loans[[#This Row],[CollateralValue]]/Loans[[#This Row],[LoanAmount]])</f>
        <v>1.0900000000000001</v>
      </c>
      <c r="O534" t="str">
        <f>IF(Loans[[#This Row],[CollateralCoverageRatio]]&lt;1,"Undersecured","Secured")</f>
        <v>Secured</v>
      </c>
      <c r="P534" t="str">
        <f>_xlfn.XLOOKUP(Loans[[#This Row],[BranchCode]],BranchesTbl[BranchCode],BranchesTbl[BranchName])</f>
        <v>Malindi</v>
      </c>
      <c r="Q534">
        <f>_xlfn.XLOOKUP(Loans[[#This Row],[CustomerID]],CustomerTbl[CustomerID],CustomerTbl[RiskScore])</f>
        <v>639</v>
      </c>
      <c r="R534" t="str">
        <f>IFERROR(INDEX(RiskTbl[Risk_Category],MATCH(Loans[[#This Row],[RiskScore]],RiskTbl[Score_Min],1)),"Unknown")</f>
        <v>Medium Risk</v>
      </c>
      <c r="S534" t="str">
        <f>IF(OR(Loans[[#This Row],[LoanStatus]]="Default",Loans[[#This Row],[LoanStatus]]="Watchlist",Loans[[#This Row],[CollateralRisk]]="Undersecured",Loans[[#This Row],[RiskCategory]]="High Risk"),"High Risk Exposure","Normal")</f>
        <v>Normal</v>
      </c>
      <c r="T534" t="str" cm="1">
        <f t="array" ref="T534">_xlfn.IFS(
Loans[[#This Row],[LoanStatus]]="Default","Critical",
OR(Loans[[#This Row],[LoanStatus]]="Watchlist",Loans[[#This Row],[CollateralRisk]]="Undersecured",Loans[[#This Row],[RiskCategory]]="High Risk"),"High",
TRUE,"Normal"
)</f>
        <v>Normal</v>
      </c>
    </row>
    <row r="535" spans="1:20" x14ac:dyDescent="0.35">
      <c r="A535" t="s">
        <v>1091</v>
      </c>
      <c r="B535" t="s">
        <v>300</v>
      </c>
      <c r="C535" t="s">
        <v>184</v>
      </c>
      <c r="D535" t="s">
        <v>155</v>
      </c>
      <c r="E535" s="34">
        <v>1000000</v>
      </c>
      <c r="F535" s="29">
        <v>0.2349</v>
      </c>
      <c r="G535" s="30">
        <v>45787</v>
      </c>
      <c r="H535">
        <v>24</v>
      </c>
      <c r="I535">
        <v>0</v>
      </c>
      <c r="J535" s="34">
        <v>0</v>
      </c>
      <c r="K535" t="s">
        <v>171</v>
      </c>
      <c r="L535" s="34">
        <f>PMT(Loans[[#This Row],[InterestRate]]/12,Loans[[#This Row],[LoanTenureMonths]],-Loans[[#This Row],[LoanAmount]])</f>
        <v>52616.89437506345</v>
      </c>
      <c r="M535" s="30">
        <f>EDATE(Loans[[#This Row],[LoanStartDate]],Loans[[#This Row],[LoanTenureMonths]])</f>
        <v>46517</v>
      </c>
      <c r="N535" s="33">
        <f>IF(Loans[[#This Row],[LoanAmount]]=0,0,Loans[[#This Row],[CollateralValue]]/Loans[[#This Row],[LoanAmount]])</f>
        <v>0</v>
      </c>
      <c r="O535" t="str">
        <f>IF(Loans[[#This Row],[CollateralCoverageRatio]]&lt;1,"Undersecured","Secured")</f>
        <v>Undersecured</v>
      </c>
      <c r="P535" t="str">
        <f>_xlfn.XLOOKUP(Loans[[#This Row],[BranchCode]],BranchesTbl[BranchCode],BranchesTbl[BranchName])</f>
        <v>Kisumu</v>
      </c>
      <c r="Q535">
        <f>_xlfn.XLOOKUP(Loans[[#This Row],[CustomerID]],CustomerTbl[CustomerID],CustomerTbl[RiskScore])</f>
        <v>674</v>
      </c>
      <c r="R535" t="str">
        <f>IFERROR(INDEX(RiskTbl[Risk_Category],MATCH(Loans[[#This Row],[RiskScore]],RiskTbl[Score_Min],1)),"Unknown")</f>
        <v>Low Risk</v>
      </c>
      <c r="S535" t="str">
        <f>IF(OR(Loans[[#This Row],[LoanStatus]]="Default",Loans[[#This Row],[LoanStatus]]="Watchlist",Loans[[#This Row],[CollateralRisk]]="Undersecured",Loans[[#This Row],[RiskCategory]]="High Risk"),"High Risk Exposure","Normal")</f>
        <v>High Risk Exposure</v>
      </c>
      <c r="T535" t="str" cm="1">
        <f t="array" ref="T535">_xlfn.IFS(
Loans[[#This Row],[LoanStatus]]="Default","Critical",
OR(Loans[[#This Row],[LoanStatus]]="Watchlist",Loans[[#This Row],[CollateralRisk]]="Undersecured",Loans[[#This Row],[RiskCategory]]="High Risk"),"High",
TRUE,"Normal"
)</f>
        <v>High</v>
      </c>
    </row>
    <row r="536" spans="1:20" x14ac:dyDescent="0.35">
      <c r="A536" t="s">
        <v>1092</v>
      </c>
      <c r="B536" t="s">
        <v>794</v>
      </c>
      <c r="C536" t="s">
        <v>239</v>
      </c>
      <c r="D536" t="s">
        <v>156</v>
      </c>
      <c r="E536" s="34">
        <v>6000000</v>
      </c>
      <c r="F536" s="29">
        <v>0.14630000000000001</v>
      </c>
      <c r="G536" s="30">
        <v>46013</v>
      </c>
      <c r="H536">
        <v>24</v>
      </c>
      <c r="I536">
        <v>0</v>
      </c>
      <c r="J536" s="34">
        <v>3180000</v>
      </c>
      <c r="K536" t="s">
        <v>171</v>
      </c>
      <c r="L536" s="34">
        <f>PMT(Loans[[#This Row],[InterestRate]]/12,Loans[[#This Row],[LoanTenureMonths]],-Loans[[#This Row],[LoanAmount]])</f>
        <v>289866.24190666986</v>
      </c>
      <c r="M536" s="30">
        <f>EDATE(Loans[[#This Row],[LoanStartDate]],Loans[[#This Row],[LoanTenureMonths]])</f>
        <v>46743</v>
      </c>
      <c r="N536" s="33">
        <f>IF(Loans[[#This Row],[LoanAmount]]=0,0,Loans[[#This Row],[CollateralValue]]/Loans[[#This Row],[LoanAmount]])</f>
        <v>0.53</v>
      </c>
      <c r="O536" t="str">
        <f>IF(Loans[[#This Row],[CollateralCoverageRatio]]&lt;1,"Undersecured","Secured")</f>
        <v>Undersecured</v>
      </c>
      <c r="P536" t="str">
        <f>_xlfn.XLOOKUP(Loans[[#This Row],[BranchCode]],BranchesTbl[BranchCode],BranchesTbl[BranchName])</f>
        <v>Machakos</v>
      </c>
      <c r="Q536">
        <f>_xlfn.XLOOKUP(Loans[[#This Row],[CustomerID]],CustomerTbl[CustomerID],CustomerTbl[RiskScore])</f>
        <v>609</v>
      </c>
      <c r="R536" t="str">
        <f>IFERROR(INDEX(RiskTbl[Risk_Category],MATCH(Loans[[#This Row],[RiskScore]],RiskTbl[Score_Min],1)),"Unknown")</f>
        <v>Medium Risk</v>
      </c>
      <c r="S536" t="str">
        <f>IF(OR(Loans[[#This Row],[LoanStatus]]="Default",Loans[[#This Row],[LoanStatus]]="Watchlist",Loans[[#This Row],[CollateralRisk]]="Undersecured",Loans[[#This Row],[RiskCategory]]="High Risk"),"High Risk Exposure","Normal")</f>
        <v>High Risk Exposure</v>
      </c>
      <c r="T536" t="str" cm="1">
        <f t="array" ref="T536">_xlfn.IFS(
Loans[[#This Row],[LoanStatus]]="Default","Critical",
OR(Loans[[#This Row],[LoanStatus]]="Watchlist",Loans[[#This Row],[CollateralRisk]]="Undersecured",Loans[[#This Row],[RiskCategory]]="High Risk"),"High",
TRUE,"Normal"
)</f>
        <v>High</v>
      </c>
    </row>
    <row r="537" spans="1:20" x14ac:dyDescent="0.35">
      <c r="A537" t="s">
        <v>1093</v>
      </c>
      <c r="B537" t="s">
        <v>243</v>
      </c>
      <c r="C537" t="s">
        <v>187</v>
      </c>
      <c r="D537" t="s">
        <v>157</v>
      </c>
      <c r="E537" s="34">
        <v>6000000</v>
      </c>
      <c r="F537" s="29">
        <v>0.13200000000000001</v>
      </c>
      <c r="G537" s="30">
        <v>45527</v>
      </c>
      <c r="H537">
        <v>24</v>
      </c>
      <c r="I537">
        <v>5</v>
      </c>
      <c r="J537" s="34">
        <v>5340000</v>
      </c>
      <c r="K537" t="s">
        <v>171</v>
      </c>
      <c r="L537" s="34">
        <f>PMT(Loans[[#This Row],[InterestRate]]/12,Loans[[#This Row],[LoanTenureMonths]],-Loans[[#This Row],[LoanAmount]])</f>
        <v>285814.90857249661</v>
      </c>
      <c r="M537" s="30">
        <f>EDATE(Loans[[#This Row],[LoanStartDate]],Loans[[#This Row],[LoanTenureMonths]])</f>
        <v>46257</v>
      </c>
      <c r="N537" s="33">
        <f>IF(Loans[[#This Row],[LoanAmount]]=0,0,Loans[[#This Row],[CollateralValue]]/Loans[[#This Row],[LoanAmount]])</f>
        <v>0.89</v>
      </c>
      <c r="O537" t="str">
        <f>IF(Loans[[#This Row],[CollateralCoverageRatio]]&lt;1,"Undersecured","Secured")</f>
        <v>Undersecured</v>
      </c>
      <c r="P537" t="str">
        <f>_xlfn.XLOOKUP(Loans[[#This Row],[BranchCode]],BranchesTbl[BranchCode],BranchesTbl[BranchName])</f>
        <v>Eldoret</v>
      </c>
      <c r="Q537">
        <f>_xlfn.XLOOKUP(Loans[[#This Row],[CustomerID]],CustomerTbl[CustomerID],CustomerTbl[RiskScore])</f>
        <v>309</v>
      </c>
      <c r="R537" t="str">
        <f>IFERROR(INDEX(RiskTbl[Risk_Category],MATCH(Loans[[#This Row],[RiskScore]],RiskTbl[Score_Min],1)),"Unknown")</f>
        <v>High Risk</v>
      </c>
      <c r="S537" t="str">
        <f>IF(OR(Loans[[#This Row],[LoanStatus]]="Default",Loans[[#This Row],[LoanStatus]]="Watchlist",Loans[[#This Row],[CollateralRisk]]="Undersecured",Loans[[#This Row],[RiskCategory]]="High Risk"),"High Risk Exposure","Normal")</f>
        <v>High Risk Exposure</v>
      </c>
      <c r="T537" t="str" cm="1">
        <f t="array" ref="T537">_xlfn.IFS(
Loans[[#This Row],[LoanStatus]]="Default","Critical",
OR(Loans[[#This Row],[LoanStatus]]="Watchlist",Loans[[#This Row],[CollateralRisk]]="Undersecured",Loans[[#This Row],[RiskCategory]]="High Risk"),"High",
TRUE,"Normal"
)</f>
        <v>High</v>
      </c>
    </row>
    <row r="538" spans="1:20" x14ac:dyDescent="0.35">
      <c r="A538" t="s">
        <v>1094</v>
      </c>
      <c r="B538" t="s">
        <v>363</v>
      </c>
      <c r="C538" t="s">
        <v>170</v>
      </c>
      <c r="D538" t="s">
        <v>158</v>
      </c>
      <c r="E538" s="34">
        <v>1000000</v>
      </c>
      <c r="F538" s="29">
        <v>0.1847</v>
      </c>
      <c r="G538" s="30">
        <v>44329</v>
      </c>
      <c r="H538">
        <v>48</v>
      </c>
      <c r="I538">
        <v>45</v>
      </c>
      <c r="J538" s="34">
        <v>1410000</v>
      </c>
      <c r="K538" t="s">
        <v>199</v>
      </c>
      <c r="L538" s="34">
        <f>PMT(Loans[[#This Row],[InterestRate]]/12,Loans[[#This Row],[LoanTenureMonths]],-Loans[[#This Row],[LoanAmount]])</f>
        <v>29621.164666530429</v>
      </c>
      <c r="M538" s="30">
        <f>EDATE(Loans[[#This Row],[LoanStartDate]],Loans[[#This Row],[LoanTenureMonths]])</f>
        <v>45790</v>
      </c>
      <c r="N538" s="33">
        <f>IF(Loans[[#This Row],[LoanAmount]]=0,0,Loans[[#This Row],[CollateralValue]]/Loans[[#This Row],[LoanAmount]])</f>
        <v>1.41</v>
      </c>
      <c r="O538" t="str">
        <f>IF(Loans[[#This Row],[CollateralCoverageRatio]]&lt;1,"Undersecured","Secured")</f>
        <v>Secured</v>
      </c>
      <c r="P538" t="str">
        <f>_xlfn.XLOOKUP(Loans[[#This Row],[BranchCode]],BranchesTbl[BranchCode],BranchesTbl[BranchName])</f>
        <v>Thika</v>
      </c>
      <c r="Q538">
        <f>_xlfn.XLOOKUP(Loans[[#This Row],[CustomerID]],CustomerTbl[CustomerID],CustomerTbl[RiskScore])</f>
        <v>653</v>
      </c>
      <c r="R538" t="str">
        <f>IFERROR(INDEX(RiskTbl[Risk_Category],MATCH(Loans[[#This Row],[RiskScore]],RiskTbl[Score_Min],1)),"Unknown")</f>
        <v>Medium Risk</v>
      </c>
      <c r="S538" t="str">
        <f>IF(OR(Loans[[#This Row],[LoanStatus]]="Default",Loans[[#This Row],[LoanStatus]]="Watchlist",Loans[[#This Row],[CollateralRisk]]="Undersecured",Loans[[#This Row],[RiskCategory]]="High Risk"),"High Risk Exposure","Normal")</f>
        <v>High Risk Exposure</v>
      </c>
      <c r="T538" t="str" cm="1">
        <f t="array" ref="T538">_xlfn.IFS(
Loans[[#This Row],[LoanStatus]]="Default","Critical",
OR(Loans[[#This Row],[LoanStatus]]="Watchlist",Loans[[#This Row],[CollateralRisk]]="Undersecured",Loans[[#This Row],[RiskCategory]]="High Risk"),"High",
TRUE,"Normal"
)</f>
        <v>High</v>
      </c>
    </row>
    <row r="539" spans="1:20" x14ac:dyDescent="0.35">
      <c r="A539" t="s">
        <v>1095</v>
      </c>
      <c r="B539" t="s">
        <v>1096</v>
      </c>
      <c r="C539" t="s">
        <v>239</v>
      </c>
      <c r="D539" t="s">
        <v>158</v>
      </c>
      <c r="E539" s="34">
        <v>6000000</v>
      </c>
      <c r="F539" s="29">
        <v>0.1812</v>
      </c>
      <c r="G539" s="30">
        <v>45611</v>
      </c>
      <c r="H539">
        <v>12</v>
      </c>
      <c r="I539">
        <v>0</v>
      </c>
      <c r="J539" s="34">
        <v>4860000</v>
      </c>
      <c r="K539" t="s">
        <v>171</v>
      </c>
      <c r="L539" s="34">
        <f>PMT(Loans[[#This Row],[InterestRate]]/12,Loans[[#This Row],[LoanTenureMonths]],-Loans[[#This Row],[LoanAmount]])</f>
        <v>550422.6731840265</v>
      </c>
      <c r="M539" s="30">
        <f>EDATE(Loans[[#This Row],[LoanStartDate]],Loans[[#This Row],[LoanTenureMonths]])</f>
        <v>45976</v>
      </c>
      <c r="N539" s="33">
        <f>IF(Loans[[#This Row],[LoanAmount]]=0,0,Loans[[#This Row],[CollateralValue]]/Loans[[#This Row],[LoanAmount]])</f>
        <v>0.81</v>
      </c>
      <c r="O539" t="str">
        <f>IF(Loans[[#This Row],[CollateralCoverageRatio]]&lt;1,"Undersecured","Secured")</f>
        <v>Undersecured</v>
      </c>
      <c r="P539" t="str">
        <f>_xlfn.XLOOKUP(Loans[[#This Row],[BranchCode]],BranchesTbl[BranchCode],BranchesTbl[BranchName])</f>
        <v>Machakos</v>
      </c>
      <c r="Q539">
        <f>_xlfn.XLOOKUP(Loans[[#This Row],[CustomerID]],CustomerTbl[CustomerID],CustomerTbl[RiskScore])</f>
        <v>419</v>
      </c>
      <c r="R539" t="str">
        <f>IFERROR(INDEX(RiskTbl[Risk_Category],MATCH(Loans[[#This Row],[RiskScore]],RiskTbl[Score_Min],1)),"Unknown")</f>
        <v>High Risk</v>
      </c>
      <c r="S539" t="str">
        <f>IF(OR(Loans[[#This Row],[LoanStatus]]="Default",Loans[[#This Row],[LoanStatus]]="Watchlist",Loans[[#This Row],[CollateralRisk]]="Undersecured",Loans[[#This Row],[RiskCategory]]="High Risk"),"High Risk Exposure","Normal")</f>
        <v>High Risk Exposure</v>
      </c>
      <c r="T539" t="str" cm="1">
        <f t="array" ref="T539">_xlfn.IFS(
Loans[[#This Row],[LoanStatus]]="Default","Critical",
OR(Loans[[#This Row],[LoanStatus]]="Watchlist",Loans[[#This Row],[CollateralRisk]]="Undersecured",Loans[[#This Row],[RiskCategory]]="High Risk"),"High",
TRUE,"Normal"
)</f>
        <v>High</v>
      </c>
    </row>
    <row r="540" spans="1:20" x14ac:dyDescent="0.35">
      <c r="A540" t="s">
        <v>1097</v>
      </c>
      <c r="B540" t="s">
        <v>1098</v>
      </c>
      <c r="C540" t="s">
        <v>174</v>
      </c>
      <c r="D540" t="s">
        <v>155</v>
      </c>
      <c r="E540" s="34">
        <v>1000000</v>
      </c>
      <c r="F540" s="29">
        <v>0.2331</v>
      </c>
      <c r="G540" s="30">
        <v>44489</v>
      </c>
      <c r="H540">
        <v>24</v>
      </c>
      <c r="I540">
        <v>90</v>
      </c>
      <c r="J540" s="34">
        <v>0</v>
      </c>
      <c r="K540" t="s">
        <v>199</v>
      </c>
      <c r="L540" s="34">
        <f>PMT(Loans[[#This Row],[InterestRate]]/12,Loans[[#This Row],[LoanTenureMonths]],-Loans[[#This Row],[LoanAmount]])</f>
        <v>52527.339349415852</v>
      </c>
      <c r="M540" s="30">
        <f>EDATE(Loans[[#This Row],[LoanStartDate]],Loans[[#This Row],[LoanTenureMonths]])</f>
        <v>45219</v>
      </c>
      <c r="N540" s="33">
        <f>IF(Loans[[#This Row],[LoanAmount]]=0,0,Loans[[#This Row],[CollateralValue]]/Loans[[#This Row],[LoanAmount]])</f>
        <v>0</v>
      </c>
      <c r="O540" t="str">
        <f>IF(Loans[[#This Row],[CollateralCoverageRatio]]&lt;1,"Undersecured","Secured")</f>
        <v>Undersecured</v>
      </c>
      <c r="P540" t="str">
        <f>_xlfn.XLOOKUP(Loans[[#This Row],[BranchCode]],BranchesTbl[BranchCode],BranchesTbl[BranchName])</f>
        <v>Westlands</v>
      </c>
      <c r="Q540">
        <f>_xlfn.XLOOKUP(Loans[[#This Row],[CustomerID]],CustomerTbl[CustomerID],CustomerTbl[RiskScore])</f>
        <v>839</v>
      </c>
      <c r="R540" t="str">
        <f>IFERROR(INDEX(RiskTbl[Risk_Category],MATCH(Loans[[#This Row],[RiskScore]],RiskTbl[Score_Min],1)),"Unknown")</f>
        <v>Prime</v>
      </c>
      <c r="S540" t="str">
        <f>IF(OR(Loans[[#This Row],[LoanStatus]]="Default",Loans[[#This Row],[LoanStatus]]="Watchlist",Loans[[#This Row],[CollateralRisk]]="Undersecured",Loans[[#This Row],[RiskCategory]]="High Risk"),"High Risk Exposure","Normal")</f>
        <v>High Risk Exposure</v>
      </c>
      <c r="T540" t="str" cm="1">
        <f t="array" ref="T540">_xlfn.IFS(
Loans[[#This Row],[LoanStatus]]="Default","Critical",
OR(Loans[[#This Row],[LoanStatus]]="Watchlist",Loans[[#This Row],[CollateralRisk]]="Undersecured",Loans[[#This Row],[RiskCategory]]="High Risk"),"High",
TRUE,"Normal"
)</f>
        <v>High</v>
      </c>
    </row>
    <row r="541" spans="1:20" x14ac:dyDescent="0.35">
      <c r="A541" t="s">
        <v>1099</v>
      </c>
      <c r="B541" t="s">
        <v>1100</v>
      </c>
      <c r="C541" t="s">
        <v>270</v>
      </c>
      <c r="D541" t="s">
        <v>158</v>
      </c>
      <c r="E541" s="34">
        <v>3000000</v>
      </c>
      <c r="F541" s="29">
        <v>0.15609999999999999</v>
      </c>
      <c r="G541" s="30">
        <v>44232</v>
      </c>
      <c r="H541">
        <v>72</v>
      </c>
      <c r="I541">
        <v>20</v>
      </c>
      <c r="J541" s="34">
        <v>2220000</v>
      </c>
      <c r="K541" t="s">
        <v>171</v>
      </c>
      <c r="L541" s="34">
        <f>PMT(Loans[[#This Row],[InterestRate]]/12,Loans[[#This Row],[LoanTenureMonths]],-Loans[[#This Row],[LoanAmount]])</f>
        <v>64433.055471431631</v>
      </c>
      <c r="M541" s="30">
        <f>EDATE(Loans[[#This Row],[LoanStartDate]],Loans[[#This Row],[LoanTenureMonths]])</f>
        <v>46423</v>
      </c>
      <c r="N541" s="33">
        <f>IF(Loans[[#This Row],[LoanAmount]]=0,0,Loans[[#This Row],[CollateralValue]]/Loans[[#This Row],[LoanAmount]])</f>
        <v>0.74</v>
      </c>
      <c r="O541" t="str">
        <f>IF(Loans[[#This Row],[CollateralCoverageRatio]]&lt;1,"Undersecured","Secured")</f>
        <v>Undersecured</v>
      </c>
      <c r="P541" t="str">
        <f>_xlfn.XLOOKUP(Loans[[#This Row],[BranchCode]],BranchesTbl[BranchCode],BranchesTbl[BranchName])</f>
        <v>Nakuru</v>
      </c>
      <c r="Q541">
        <f>_xlfn.XLOOKUP(Loans[[#This Row],[CustomerID]],CustomerTbl[CustomerID],CustomerTbl[RiskScore])</f>
        <v>441</v>
      </c>
      <c r="R541" t="str">
        <f>IFERROR(INDEX(RiskTbl[Risk_Category],MATCH(Loans[[#This Row],[RiskScore]],RiskTbl[Score_Min],1)),"Unknown")</f>
        <v>High Risk</v>
      </c>
      <c r="S541" t="str">
        <f>IF(OR(Loans[[#This Row],[LoanStatus]]="Default",Loans[[#This Row],[LoanStatus]]="Watchlist",Loans[[#This Row],[CollateralRisk]]="Undersecured",Loans[[#This Row],[RiskCategory]]="High Risk"),"High Risk Exposure","Normal")</f>
        <v>High Risk Exposure</v>
      </c>
      <c r="T541" t="str" cm="1">
        <f t="array" ref="T541">_xlfn.IFS(
Loans[[#This Row],[LoanStatus]]="Default","Critical",
OR(Loans[[#This Row],[LoanStatus]]="Watchlist",Loans[[#This Row],[CollateralRisk]]="Undersecured",Loans[[#This Row],[RiskCategory]]="High Risk"),"High",
TRUE,"Normal"
)</f>
        <v>High</v>
      </c>
    </row>
    <row r="542" spans="1:20" x14ac:dyDescent="0.35">
      <c r="A542" t="s">
        <v>1101</v>
      </c>
      <c r="B542" t="s">
        <v>733</v>
      </c>
      <c r="C542" t="s">
        <v>193</v>
      </c>
      <c r="D542" t="s">
        <v>155</v>
      </c>
      <c r="E542" s="34">
        <v>100000</v>
      </c>
      <c r="F542" s="29">
        <v>0.2331</v>
      </c>
      <c r="G542" s="30">
        <v>44427</v>
      </c>
      <c r="H542">
        <v>60</v>
      </c>
      <c r="I542">
        <v>0</v>
      </c>
      <c r="J542" s="34">
        <v>0</v>
      </c>
      <c r="K542" t="s">
        <v>171</v>
      </c>
      <c r="L542" s="34">
        <f>PMT(Loans[[#This Row],[InterestRate]]/12,Loans[[#This Row],[LoanTenureMonths]],-Loans[[#This Row],[LoanAmount]])</f>
        <v>2836.8863006858005</v>
      </c>
      <c r="M542" s="30">
        <f>EDATE(Loans[[#This Row],[LoanStartDate]],Loans[[#This Row],[LoanTenureMonths]])</f>
        <v>46253</v>
      </c>
      <c r="N542" s="33">
        <f>IF(Loans[[#This Row],[LoanAmount]]=0,0,Loans[[#This Row],[CollateralValue]]/Loans[[#This Row],[LoanAmount]])</f>
        <v>0</v>
      </c>
      <c r="O542" t="str">
        <f>IF(Loans[[#This Row],[CollateralCoverageRatio]]&lt;1,"Undersecured","Secured")</f>
        <v>Undersecured</v>
      </c>
      <c r="P542" t="str">
        <f>_xlfn.XLOOKUP(Loans[[#This Row],[BranchCode]],BranchesTbl[BranchCode],BranchesTbl[BranchName])</f>
        <v>Mombasa</v>
      </c>
      <c r="Q542">
        <f>_xlfn.XLOOKUP(Loans[[#This Row],[CustomerID]],CustomerTbl[CustomerID],CustomerTbl[RiskScore])</f>
        <v>719</v>
      </c>
      <c r="R542" t="str">
        <f>IFERROR(INDEX(RiskTbl[Risk_Category],MATCH(Loans[[#This Row],[RiskScore]],RiskTbl[Score_Min],1)),"Unknown")</f>
        <v>Low Risk</v>
      </c>
      <c r="S542" t="str">
        <f>IF(OR(Loans[[#This Row],[LoanStatus]]="Default",Loans[[#This Row],[LoanStatus]]="Watchlist",Loans[[#This Row],[CollateralRisk]]="Undersecured",Loans[[#This Row],[RiskCategory]]="High Risk"),"High Risk Exposure","Normal")</f>
        <v>High Risk Exposure</v>
      </c>
      <c r="T542" t="str" cm="1">
        <f t="array" ref="T542">_xlfn.IFS(
Loans[[#This Row],[LoanStatus]]="Default","Critical",
OR(Loans[[#This Row],[LoanStatus]]="Watchlist",Loans[[#This Row],[CollateralRisk]]="Undersecured",Loans[[#This Row],[RiskCategory]]="High Risk"),"High",
TRUE,"Normal"
)</f>
        <v>High</v>
      </c>
    </row>
    <row r="543" spans="1:20" x14ac:dyDescent="0.35">
      <c r="A543" t="s">
        <v>1102</v>
      </c>
      <c r="B543" t="s">
        <v>440</v>
      </c>
      <c r="C543" t="s">
        <v>181</v>
      </c>
      <c r="D543" t="s">
        <v>157</v>
      </c>
      <c r="E543" s="34">
        <v>6000000</v>
      </c>
      <c r="F543" s="29">
        <v>0.1091</v>
      </c>
      <c r="G543" s="30">
        <v>45118</v>
      </c>
      <c r="H543">
        <v>36</v>
      </c>
      <c r="I543">
        <v>5</v>
      </c>
      <c r="J543" s="34">
        <v>5880000</v>
      </c>
      <c r="K543" t="s">
        <v>171</v>
      </c>
      <c r="L543" s="34">
        <f>PMT(Loans[[#This Row],[InterestRate]]/12,Loans[[#This Row],[LoanTenureMonths]],-Loans[[#This Row],[LoanAmount]])</f>
        <v>196176.67716559896</v>
      </c>
      <c r="M543" s="30">
        <f>EDATE(Loans[[#This Row],[LoanStartDate]],Loans[[#This Row],[LoanTenureMonths]])</f>
        <v>46214</v>
      </c>
      <c r="N543" s="33">
        <f>IF(Loans[[#This Row],[LoanAmount]]=0,0,Loans[[#This Row],[CollateralValue]]/Loans[[#This Row],[LoanAmount]])</f>
        <v>0.98</v>
      </c>
      <c r="O543" t="str">
        <f>IF(Loans[[#This Row],[CollateralCoverageRatio]]&lt;1,"Undersecured","Secured")</f>
        <v>Undersecured</v>
      </c>
      <c r="P543" t="str">
        <f>_xlfn.XLOOKUP(Loans[[#This Row],[BranchCode]],BranchesTbl[BranchCode],BranchesTbl[BranchName])</f>
        <v>Kitale</v>
      </c>
      <c r="Q543">
        <f>_xlfn.XLOOKUP(Loans[[#This Row],[CustomerID]],CustomerTbl[CustomerID],CustomerTbl[RiskScore])</f>
        <v>611</v>
      </c>
      <c r="R543" t="str">
        <f>IFERROR(INDEX(RiskTbl[Risk_Category],MATCH(Loans[[#This Row],[RiskScore]],RiskTbl[Score_Min],1)),"Unknown")</f>
        <v>Medium Risk</v>
      </c>
      <c r="S543" t="str">
        <f>IF(OR(Loans[[#This Row],[LoanStatus]]="Default",Loans[[#This Row],[LoanStatus]]="Watchlist",Loans[[#This Row],[CollateralRisk]]="Undersecured",Loans[[#This Row],[RiskCategory]]="High Risk"),"High Risk Exposure","Normal")</f>
        <v>High Risk Exposure</v>
      </c>
      <c r="T543" t="str" cm="1">
        <f t="array" ref="T543">_xlfn.IFS(
Loans[[#This Row],[LoanStatus]]="Default","Critical",
OR(Loans[[#This Row],[LoanStatus]]="Watchlist",Loans[[#This Row],[CollateralRisk]]="Undersecured",Loans[[#This Row],[RiskCategory]]="High Risk"),"High",
TRUE,"Normal"
)</f>
        <v>High</v>
      </c>
    </row>
    <row r="544" spans="1:20" x14ac:dyDescent="0.35">
      <c r="A544" t="s">
        <v>1103</v>
      </c>
      <c r="B544" t="s">
        <v>740</v>
      </c>
      <c r="C544" t="s">
        <v>187</v>
      </c>
      <c r="D544" t="s">
        <v>156</v>
      </c>
      <c r="E544" s="34">
        <v>6000000</v>
      </c>
      <c r="F544" s="29">
        <v>0.17960000000000001</v>
      </c>
      <c r="G544" s="30">
        <v>44533</v>
      </c>
      <c r="H544">
        <v>48</v>
      </c>
      <c r="I544">
        <v>10</v>
      </c>
      <c r="J544" s="34">
        <v>4440000</v>
      </c>
      <c r="K544" t="s">
        <v>171</v>
      </c>
      <c r="L544" s="34">
        <f>PMT(Loans[[#This Row],[InterestRate]]/12,Loans[[#This Row],[LoanTenureMonths]],-Loans[[#This Row],[LoanAmount]])</f>
        <v>176124.61191138683</v>
      </c>
      <c r="M544" s="30">
        <f>EDATE(Loans[[#This Row],[LoanStartDate]],Loans[[#This Row],[LoanTenureMonths]])</f>
        <v>45994</v>
      </c>
      <c r="N544" s="33">
        <f>IF(Loans[[#This Row],[LoanAmount]]=0,0,Loans[[#This Row],[CollateralValue]]/Loans[[#This Row],[LoanAmount]])</f>
        <v>0.74</v>
      </c>
      <c r="O544" t="str">
        <f>IF(Loans[[#This Row],[CollateralCoverageRatio]]&lt;1,"Undersecured","Secured")</f>
        <v>Undersecured</v>
      </c>
      <c r="P544" t="str">
        <f>_xlfn.XLOOKUP(Loans[[#This Row],[BranchCode]],BranchesTbl[BranchCode],BranchesTbl[BranchName])</f>
        <v>Eldoret</v>
      </c>
      <c r="Q544">
        <f>_xlfn.XLOOKUP(Loans[[#This Row],[CustomerID]],CustomerTbl[CustomerID],CustomerTbl[RiskScore])</f>
        <v>614</v>
      </c>
      <c r="R544" t="str">
        <f>IFERROR(INDEX(RiskTbl[Risk_Category],MATCH(Loans[[#This Row],[RiskScore]],RiskTbl[Score_Min],1)),"Unknown")</f>
        <v>Medium Risk</v>
      </c>
      <c r="S544" t="str">
        <f>IF(OR(Loans[[#This Row],[LoanStatus]]="Default",Loans[[#This Row],[LoanStatus]]="Watchlist",Loans[[#This Row],[CollateralRisk]]="Undersecured",Loans[[#This Row],[RiskCategory]]="High Risk"),"High Risk Exposure","Normal")</f>
        <v>High Risk Exposure</v>
      </c>
      <c r="T544" t="str" cm="1">
        <f t="array" ref="T544">_xlfn.IFS(
Loans[[#This Row],[LoanStatus]]="Default","Critical",
OR(Loans[[#This Row],[LoanStatus]]="Watchlist",Loans[[#This Row],[CollateralRisk]]="Undersecured",Loans[[#This Row],[RiskCategory]]="High Risk"),"High",
TRUE,"Normal"
)</f>
        <v>High</v>
      </c>
    </row>
    <row r="545" spans="1:20" x14ac:dyDescent="0.35">
      <c r="A545" t="s">
        <v>1104</v>
      </c>
      <c r="B545" t="s">
        <v>796</v>
      </c>
      <c r="C545" t="s">
        <v>170</v>
      </c>
      <c r="D545" t="s">
        <v>157</v>
      </c>
      <c r="E545" s="34">
        <v>25000000</v>
      </c>
      <c r="F545" s="29">
        <v>0.1273</v>
      </c>
      <c r="G545" s="30">
        <v>44463</v>
      </c>
      <c r="H545">
        <v>24</v>
      </c>
      <c r="I545">
        <v>0</v>
      </c>
      <c r="J545" s="34">
        <v>20000000</v>
      </c>
      <c r="K545" t="s">
        <v>171</v>
      </c>
      <c r="L545" s="34">
        <f>PMT(Loans[[#This Row],[InterestRate]]/12,Loans[[#This Row],[LoanTenureMonths]],-Loans[[#This Row],[LoanAmount]])</f>
        <v>1185377.5158384477</v>
      </c>
      <c r="M545" s="30">
        <f>EDATE(Loans[[#This Row],[LoanStartDate]],Loans[[#This Row],[LoanTenureMonths]])</f>
        <v>45193</v>
      </c>
      <c r="N545" s="33">
        <f>IF(Loans[[#This Row],[LoanAmount]]=0,0,Loans[[#This Row],[CollateralValue]]/Loans[[#This Row],[LoanAmount]])</f>
        <v>0.8</v>
      </c>
      <c r="O545" t="str">
        <f>IF(Loans[[#This Row],[CollateralCoverageRatio]]&lt;1,"Undersecured","Secured")</f>
        <v>Undersecured</v>
      </c>
      <c r="P545" t="str">
        <f>_xlfn.XLOOKUP(Loans[[#This Row],[BranchCode]],BranchesTbl[BranchCode],BranchesTbl[BranchName])</f>
        <v>Thika</v>
      </c>
      <c r="Q545">
        <f>_xlfn.XLOOKUP(Loans[[#This Row],[CustomerID]],CustomerTbl[CustomerID],CustomerTbl[RiskScore])</f>
        <v>549</v>
      </c>
      <c r="R545" t="str">
        <f>IFERROR(INDEX(RiskTbl[Risk_Category],MATCH(Loans[[#This Row],[RiskScore]],RiskTbl[Score_Min],1)),"Unknown")</f>
        <v>High Risk</v>
      </c>
      <c r="S545" t="str">
        <f>IF(OR(Loans[[#This Row],[LoanStatus]]="Default",Loans[[#This Row],[LoanStatus]]="Watchlist",Loans[[#This Row],[CollateralRisk]]="Undersecured",Loans[[#This Row],[RiskCategory]]="High Risk"),"High Risk Exposure","Normal")</f>
        <v>High Risk Exposure</v>
      </c>
      <c r="T545" t="str" cm="1">
        <f t="array" ref="T545">_xlfn.IFS(
Loans[[#This Row],[LoanStatus]]="Default","Critical",
OR(Loans[[#This Row],[LoanStatus]]="Watchlist",Loans[[#This Row],[CollateralRisk]]="Undersecured",Loans[[#This Row],[RiskCategory]]="High Risk"),"High",
TRUE,"Normal"
)</f>
        <v>High</v>
      </c>
    </row>
    <row r="546" spans="1:20" x14ac:dyDescent="0.35">
      <c r="A546" t="s">
        <v>1105</v>
      </c>
      <c r="B546" t="s">
        <v>978</v>
      </c>
      <c r="C546" t="s">
        <v>267</v>
      </c>
      <c r="D546" t="s">
        <v>157</v>
      </c>
      <c r="E546" s="34">
        <v>6000000</v>
      </c>
      <c r="F546" s="29">
        <v>0.13100000000000001</v>
      </c>
      <c r="G546" s="30">
        <v>45355</v>
      </c>
      <c r="H546">
        <v>36</v>
      </c>
      <c r="I546">
        <v>10</v>
      </c>
      <c r="J546" s="34">
        <v>5280000</v>
      </c>
      <c r="K546" t="s">
        <v>171</v>
      </c>
      <c r="L546" s="34">
        <f>PMT(Loans[[#This Row],[InterestRate]]/12,Loans[[#This Row],[LoanTenureMonths]],-Loans[[#This Row],[LoanAmount]])</f>
        <v>202452.8304829222</v>
      </c>
      <c r="M546" s="30">
        <f>EDATE(Loans[[#This Row],[LoanStartDate]],Loans[[#This Row],[LoanTenureMonths]])</f>
        <v>46450</v>
      </c>
      <c r="N546" s="33">
        <f>IF(Loans[[#This Row],[LoanAmount]]=0,0,Loans[[#This Row],[CollateralValue]]/Loans[[#This Row],[LoanAmount]])</f>
        <v>0.88</v>
      </c>
      <c r="O546" t="str">
        <f>IF(Loans[[#This Row],[CollateralCoverageRatio]]&lt;1,"Undersecured","Secured")</f>
        <v>Undersecured</v>
      </c>
      <c r="P546" t="str">
        <f>_xlfn.XLOOKUP(Loans[[#This Row],[BranchCode]],BranchesTbl[BranchCode],BranchesTbl[BranchName])</f>
        <v>Malindi</v>
      </c>
      <c r="Q546">
        <f>_xlfn.XLOOKUP(Loans[[#This Row],[CustomerID]],CustomerTbl[CustomerID],CustomerTbl[RiskScore])</f>
        <v>775</v>
      </c>
      <c r="R546" t="str">
        <f>IFERROR(INDEX(RiskTbl[Risk_Category],MATCH(Loans[[#This Row],[RiskScore]],RiskTbl[Score_Min],1)),"Unknown")</f>
        <v>Very Low Risk</v>
      </c>
      <c r="S546" t="str">
        <f>IF(OR(Loans[[#This Row],[LoanStatus]]="Default",Loans[[#This Row],[LoanStatus]]="Watchlist",Loans[[#This Row],[CollateralRisk]]="Undersecured",Loans[[#This Row],[RiskCategory]]="High Risk"),"High Risk Exposure","Normal")</f>
        <v>High Risk Exposure</v>
      </c>
      <c r="T546" t="str" cm="1">
        <f t="array" ref="T546">_xlfn.IFS(
Loans[[#This Row],[LoanStatus]]="Default","Critical",
OR(Loans[[#This Row],[LoanStatus]]="Watchlist",Loans[[#This Row],[CollateralRisk]]="Undersecured",Loans[[#This Row],[RiskCategory]]="High Risk"),"High",
TRUE,"Normal"
)</f>
        <v>High</v>
      </c>
    </row>
    <row r="547" spans="1:20" x14ac:dyDescent="0.35">
      <c r="A547" t="s">
        <v>1106</v>
      </c>
      <c r="B547" t="s">
        <v>1107</v>
      </c>
      <c r="C547" t="s">
        <v>232</v>
      </c>
      <c r="D547" t="s">
        <v>157</v>
      </c>
      <c r="E547" s="34">
        <v>6000000</v>
      </c>
      <c r="F547" s="29">
        <v>0.1368</v>
      </c>
      <c r="G547" s="30">
        <v>43935</v>
      </c>
      <c r="H547">
        <v>48</v>
      </c>
      <c r="I547">
        <v>10</v>
      </c>
      <c r="J547" s="34">
        <v>6420000</v>
      </c>
      <c r="K547" t="s">
        <v>171</v>
      </c>
      <c r="L547" s="34">
        <f>PMT(Loans[[#This Row],[InterestRate]]/12,Loans[[#This Row],[LoanTenureMonths]],-Loans[[#This Row],[LoanAmount]])</f>
        <v>162997.35364414705</v>
      </c>
      <c r="M547" s="30">
        <f>EDATE(Loans[[#This Row],[LoanStartDate]],Loans[[#This Row],[LoanTenureMonths]])</f>
        <v>45396</v>
      </c>
      <c r="N547" s="33">
        <f>IF(Loans[[#This Row],[LoanAmount]]=0,0,Loans[[#This Row],[CollateralValue]]/Loans[[#This Row],[LoanAmount]])</f>
        <v>1.07</v>
      </c>
      <c r="O547" t="str">
        <f>IF(Loans[[#This Row],[CollateralCoverageRatio]]&lt;1,"Undersecured","Secured")</f>
        <v>Secured</v>
      </c>
      <c r="P547" t="str">
        <f>_xlfn.XLOOKUP(Loans[[#This Row],[BranchCode]],BranchesTbl[BranchCode],BranchesTbl[BranchName])</f>
        <v>Upper Hill</v>
      </c>
      <c r="Q547">
        <f>_xlfn.XLOOKUP(Loans[[#This Row],[CustomerID]],CustomerTbl[CustomerID],CustomerTbl[RiskScore])</f>
        <v>604</v>
      </c>
      <c r="R547" t="str">
        <f>IFERROR(INDEX(RiskTbl[Risk_Category],MATCH(Loans[[#This Row],[RiskScore]],RiskTbl[Score_Min],1)),"Unknown")</f>
        <v>Medium Risk</v>
      </c>
      <c r="S547" t="str">
        <f>IF(OR(Loans[[#This Row],[LoanStatus]]="Default",Loans[[#This Row],[LoanStatus]]="Watchlist",Loans[[#This Row],[CollateralRisk]]="Undersecured",Loans[[#This Row],[RiskCategory]]="High Risk"),"High Risk Exposure","Normal")</f>
        <v>Normal</v>
      </c>
      <c r="T547" t="str" cm="1">
        <f t="array" ref="T547">_xlfn.IFS(
Loans[[#This Row],[LoanStatus]]="Default","Critical",
OR(Loans[[#This Row],[LoanStatus]]="Watchlist",Loans[[#This Row],[CollateralRisk]]="Undersecured",Loans[[#This Row],[RiskCategory]]="High Risk"),"High",
TRUE,"Normal"
)</f>
        <v>Normal</v>
      </c>
    </row>
    <row r="548" spans="1:20" x14ac:dyDescent="0.35">
      <c r="A548" t="s">
        <v>1108</v>
      </c>
      <c r="B548" t="s">
        <v>784</v>
      </c>
      <c r="C548" t="s">
        <v>170</v>
      </c>
      <c r="D548" t="s">
        <v>158</v>
      </c>
      <c r="E548" s="34">
        <v>1000000</v>
      </c>
      <c r="F548" s="29">
        <v>0.17299999999999999</v>
      </c>
      <c r="G548" s="30">
        <v>44528</v>
      </c>
      <c r="H548">
        <v>48</v>
      </c>
      <c r="I548">
        <v>0</v>
      </c>
      <c r="J548" s="34">
        <v>810000</v>
      </c>
      <c r="K548" t="s">
        <v>171</v>
      </c>
      <c r="L548" s="34">
        <f>PMT(Loans[[#This Row],[InterestRate]]/12,Loans[[#This Row],[LoanTenureMonths]],-Loans[[#This Row],[LoanAmount]])</f>
        <v>29010.485482926892</v>
      </c>
      <c r="M548" s="30">
        <f>EDATE(Loans[[#This Row],[LoanStartDate]],Loans[[#This Row],[LoanTenureMonths]])</f>
        <v>45989</v>
      </c>
      <c r="N548" s="33">
        <f>IF(Loans[[#This Row],[LoanAmount]]=0,0,Loans[[#This Row],[CollateralValue]]/Loans[[#This Row],[LoanAmount]])</f>
        <v>0.81</v>
      </c>
      <c r="O548" t="str">
        <f>IF(Loans[[#This Row],[CollateralCoverageRatio]]&lt;1,"Undersecured","Secured")</f>
        <v>Undersecured</v>
      </c>
      <c r="P548" t="str">
        <f>_xlfn.XLOOKUP(Loans[[#This Row],[BranchCode]],BranchesTbl[BranchCode],BranchesTbl[BranchName])</f>
        <v>Thika</v>
      </c>
      <c r="Q548">
        <f>_xlfn.XLOOKUP(Loans[[#This Row],[CustomerID]],CustomerTbl[CustomerID],CustomerTbl[RiskScore])</f>
        <v>649</v>
      </c>
      <c r="R548" t="str">
        <f>IFERROR(INDEX(RiskTbl[Risk_Category],MATCH(Loans[[#This Row],[RiskScore]],RiskTbl[Score_Min],1)),"Unknown")</f>
        <v>Medium Risk</v>
      </c>
      <c r="S548" t="str">
        <f>IF(OR(Loans[[#This Row],[LoanStatus]]="Default",Loans[[#This Row],[LoanStatus]]="Watchlist",Loans[[#This Row],[CollateralRisk]]="Undersecured",Loans[[#This Row],[RiskCategory]]="High Risk"),"High Risk Exposure","Normal")</f>
        <v>High Risk Exposure</v>
      </c>
      <c r="T548" t="str" cm="1">
        <f t="array" ref="T548">_xlfn.IFS(
Loans[[#This Row],[LoanStatus]]="Default","Critical",
OR(Loans[[#This Row],[LoanStatus]]="Watchlist",Loans[[#This Row],[CollateralRisk]]="Undersecured",Loans[[#This Row],[RiskCategory]]="High Risk"),"High",
TRUE,"Normal"
)</f>
        <v>High</v>
      </c>
    </row>
    <row r="549" spans="1:20" x14ac:dyDescent="0.35">
      <c r="A549" t="s">
        <v>1109</v>
      </c>
      <c r="B549" t="s">
        <v>1110</v>
      </c>
      <c r="C549" t="s">
        <v>232</v>
      </c>
      <c r="D549" t="s">
        <v>157</v>
      </c>
      <c r="E549" s="34">
        <v>80000000</v>
      </c>
      <c r="F549" s="29">
        <v>0.1227</v>
      </c>
      <c r="G549" s="30">
        <v>45601</v>
      </c>
      <c r="H549">
        <v>12</v>
      </c>
      <c r="I549">
        <v>10</v>
      </c>
      <c r="J549" s="34">
        <v>91200000</v>
      </c>
      <c r="K549" t="s">
        <v>171</v>
      </c>
      <c r="L549" s="34">
        <f>PMT(Loans[[#This Row],[InterestRate]]/12,Loans[[#This Row],[LoanTenureMonths]],-Loans[[#This Row],[LoanAmount]])</f>
        <v>7118011.7232515868</v>
      </c>
      <c r="M549" s="30">
        <f>EDATE(Loans[[#This Row],[LoanStartDate]],Loans[[#This Row],[LoanTenureMonths]])</f>
        <v>45966</v>
      </c>
      <c r="N549" s="33">
        <f>IF(Loans[[#This Row],[LoanAmount]]=0,0,Loans[[#This Row],[CollateralValue]]/Loans[[#This Row],[LoanAmount]])</f>
        <v>1.1399999999999999</v>
      </c>
      <c r="O549" t="str">
        <f>IF(Loans[[#This Row],[CollateralCoverageRatio]]&lt;1,"Undersecured","Secured")</f>
        <v>Secured</v>
      </c>
      <c r="P549" t="str">
        <f>_xlfn.XLOOKUP(Loans[[#This Row],[BranchCode]],BranchesTbl[BranchCode],BranchesTbl[BranchName])</f>
        <v>Upper Hill</v>
      </c>
      <c r="Q549">
        <f>_xlfn.XLOOKUP(Loans[[#This Row],[CustomerID]],CustomerTbl[CustomerID],CustomerTbl[RiskScore])</f>
        <v>604</v>
      </c>
      <c r="R549" t="str">
        <f>IFERROR(INDEX(RiskTbl[Risk_Category],MATCH(Loans[[#This Row],[RiskScore]],RiskTbl[Score_Min],1)),"Unknown")</f>
        <v>Medium Risk</v>
      </c>
      <c r="S549" t="str">
        <f>IF(OR(Loans[[#This Row],[LoanStatus]]="Default",Loans[[#This Row],[LoanStatus]]="Watchlist",Loans[[#This Row],[CollateralRisk]]="Undersecured",Loans[[#This Row],[RiskCategory]]="High Risk"),"High Risk Exposure","Normal")</f>
        <v>Normal</v>
      </c>
      <c r="T549" t="str" cm="1">
        <f t="array" ref="T549">_xlfn.IFS(
Loans[[#This Row],[LoanStatus]]="Default","Critical",
OR(Loans[[#This Row],[LoanStatus]]="Watchlist",Loans[[#This Row],[CollateralRisk]]="Undersecured",Loans[[#This Row],[RiskCategory]]="High Risk"),"High",
TRUE,"Normal"
)</f>
        <v>Normal</v>
      </c>
    </row>
    <row r="550" spans="1:20" x14ac:dyDescent="0.35">
      <c r="A550" t="s">
        <v>1111</v>
      </c>
      <c r="B550" t="s">
        <v>1112</v>
      </c>
      <c r="C550" t="s">
        <v>232</v>
      </c>
      <c r="D550" t="s">
        <v>158</v>
      </c>
      <c r="E550" s="34">
        <v>500000</v>
      </c>
      <c r="F550" s="29">
        <v>0.1217</v>
      </c>
      <c r="G550" s="30">
        <v>44503</v>
      </c>
      <c r="H550">
        <v>72</v>
      </c>
      <c r="I550">
        <v>45</v>
      </c>
      <c r="J550" s="34">
        <v>495000</v>
      </c>
      <c r="K550" t="s">
        <v>199</v>
      </c>
      <c r="L550" s="34">
        <f>PMT(Loans[[#This Row],[InterestRate]]/12,Loans[[#This Row],[LoanTenureMonths]],-Loans[[#This Row],[LoanAmount]])</f>
        <v>9819.3547541369171</v>
      </c>
      <c r="M550" s="30">
        <f>EDATE(Loans[[#This Row],[LoanStartDate]],Loans[[#This Row],[LoanTenureMonths]])</f>
        <v>46694</v>
      </c>
      <c r="N550" s="33">
        <f>IF(Loans[[#This Row],[LoanAmount]]=0,0,Loans[[#This Row],[CollateralValue]]/Loans[[#This Row],[LoanAmount]])</f>
        <v>0.99</v>
      </c>
      <c r="O550" t="str">
        <f>IF(Loans[[#This Row],[CollateralCoverageRatio]]&lt;1,"Undersecured","Secured")</f>
        <v>Undersecured</v>
      </c>
      <c r="P550" t="str">
        <f>_xlfn.XLOOKUP(Loans[[#This Row],[BranchCode]],BranchesTbl[BranchCode],BranchesTbl[BranchName])</f>
        <v>Upper Hill</v>
      </c>
      <c r="Q550">
        <f>_xlfn.XLOOKUP(Loans[[#This Row],[CustomerID]],CustomerTbl[CustomerID],CustomerTbl[RiskScore])</f>
        <v>440</v>
      </c>
      <c r="R550" t="str">
        <f>IFERROR(INDEX(RiskTbl[Risk_Category],MATCH(Loans[[#This Row],[RiskScore]],RiskTbl[Score_Min],1)),"Unknown")</f>
        <v>High Risk</v>
      </c>
      <c r="S550" t="str">
        <f>IF(OR(Loans[[#This Row],[LoanStatus]]="Default",Loans[[#This Row],[LoanStatus]]="Watchlist",Loans[[#This Row],[CollateralRisk]]="Undersecured",Loans[[#This Row],[RiskCategory]]="High Risk"),"High Risk Exposure","Normal")</f>
        <v>High Risk Exposure</v>
      </c>
      <c r="T550" t="str" cm="1">
        <f t="array" ref="T550">_xlfn.IFS(
Loans[[#This Row],[LoanStatus]]="Default","Critical",
OR(Loans[[#This Row],[LoanStatus]]="Watchlist",Loans[[#This Row],[CollateralRisk]]="Undersecured",Loans[[#This Row],[RiskCategory]]="High Risk"),"High",
TRUE,"Normal"
)</f>
        <v>High</v>
      </c>
    </row>
    <row r="551" spans="1:20" x14ac:dyDescent="0.35">
      <c r="A551" t="s">
        <v>1113</v>
      </c>
      <c r="B551" t="s">
        <v>730</v>
      </c>
      <c r="C551" t="s">
        <v>181</v>
      </c>
      <c r="D551" t="s">
        <v>157</v>
      </c>
      <c r="E551" s="34">
        <v>25000000</v>
      </c>
      <c r="F551" s="29">
        <v>0.1172</v>
      </c>
      <c r="G551" s="30">
        <v>45006</v>
      </c>
      <c r="H551">
        <v>48</v>
      </c>
      <c r="I551">
        <v>90</v>
      </c>
      <c r="J551" s="34">
        <v>20250000</v>
      </c>
      <c r="K551" t="s">
        <v>199</v>
      </c>
      <c r="L551" s="34">
        <f>PMT(Loans[[#This Row],[InterestRate]]/12,Loans[[#This Row],[LoanTenureMonths]],-Loans[[#This Row],[LoanAmount]])</f>
        <v>654914.19134095067</v>
      </c>
      <c r="M551" s="30">
        <f>EDATE(Loans[[#This Row],[LoanStartDate]],Loans[[#This Row],[LoanTenureMonths]])</f>
        <v>46467</v>
      </c>
      <c r="N551" s="33">
        <f>IF(Loans[[#This Row],[LoanAmount]]=0,0,Loans[[#This Row],[CollateralValue]]/Loans[[#This Row],[LoanAmount]])</f>
        <v>0.81</v>
      </c>
      <c r="O551" t="str">
        <f>IF(Loans[[#This Row],[CollateralCoverageRatio]]&lt;1,"Undersecured","Secured")</f>
        <v>Undersecured</v>
      </c>
      <c r="P551" t="str">
        <f>_xlfn.XLOOKUP(Loans[[#This Row],[BranchCode]],BranchesTbl[BranchCode],BranchesTbl[BranchName])</f>
        <v>Kitale</v>
      </c>
      <c r="Q551">
        <f>_xlfn.XLOOKUP(Loans[[#This Row],[CustomerID]],CustomerTbl[CustomerID],CustomerTbl[RiskScore])</f>
        <v>537</v>
      </c>
      <c r="R551" t="str">
        <f>IFERROR(INDEX(RiskTbl[Risk_Category],MATCH(Loans[[#This Row],[RiskScore]],RiskTbl[Score_Min],1)),"Unknown")</f>
        <v>High Risk</v>
      </c>
      <c r="S551" t="str">
        <f>IF(OR(Loans[[#This Row],[LoanStatus]]="Default",Loans[[#This Row],[LoanStatus]]="Watchlist",Loans[[#This Row],[CollateralRisk]]="Undersecured",Loans[[#This Row],[RiskCategory]]="High Risk"),"High Risk Exposure","Normal")</f>
        <v>High Risk Exposure</v>
      </c>
      <c r="T551" t="str" cm="1">
        <f t="array" ref="T551">_xlfn.IFS(
Loans[[#This Row],[LoanStatus]]="Default","Critical",
OR(Loans[[#This Row],[LoanStatus]]="Watchlist",Loans[[#This Row],[CollateralRisk]]="Undersecured",Loans[[#This Row],[RiskCategory]]="High Risk"),"High",
TRUE,"Normal"
)</f>
        <v>High</v>
      </c>
    </row>
    <row r="552" spans="1:20" x14ac:dyDescent="0.35">
      <c r="A552" t="s">
        <v>1114</v>
      </c>
      <c r="B552" t="s">
        <v>353</v>
      </c>
      <c r="C552" t="s">
        <v>219</v>
      </c>
      <c r="D552" t="s">
        <v>156</v>
      </c>
      <c r="E552" s="34">
        <v>3000000</v>
      </c>
      <c r="F552" s="29">
        <v>0.1706</v>
      </c>
      <c r="G552" s="30">
        <v>45651</v>
      </c>
      <c r="H552">
        <v>60</v>
      </c>
      <c r="I552">
        <v>0</v>
      </c>
      <c r="J552" s="34">
        <v>2280000</v>
      </c>
      <c r="K552" t="s">
        <v>171</v>
      </c>
      <c r="L552" s="34">
        <f>PMT(Loans[[#This Row],[InterestRate]]/12,Loans[[#This Row],[LoanTenureMonths]],-Loans[[#This Row],[LoanAmount]])</f>
        <v>74654.546616273554</v>
      </c>
      <c r="M552" s="30">
        <f>EDATE(Loans[[#This Row],[LoanStartDate]],Loans[[#This Row],[LoanTenureMonths]])</f>
        <v>47477</v>
      </c>
      <c r="N552" s="33">
        <f>IF(Loans[[#This Row],[LoanAmount]]=0,0,Loans[[#This Row],[CollateralValue]]/Loans[[#This Row],[LoanAmount]])</f>
        <v>0.76</v>
      </c>
      <c r="O552" t="str">
        <f>IF(Loans[[#This Row],[CollateralCoverageRatio]]&lt;1,"Undersecured","Secured")</f>
        <v>Undersecured</v>
      </c>
      <c r="P552" t="str">
        <f>_xlfn.XLOOKUP(Loans[[#This Row],[BranchCode]],BranchesTbl[BranchCode],BranchesTbl[BranchName])</f>
        <v>Meru</v>
      </c>
      <c r="Q552">
        <f>_xlfn.XLOOKUP(Loans[[#This Row],[CustomerID]],CustomerTbl[CustomerID],CustomerTbl[RiskScore])</f>
        <v>402</v>
      </c>
      <c r="R552" t="str">
        <f>IFERROR(INDEX(RiskTbl[Risk_Category],MATCH(Loans[[#This Row],[RiskScore]],RiskTbl[Score_Min],1)),"Unknown")</f>
        <v>High Risk</v>
      </c>
      <c r="S552" t="str">
        <f>IF(OR(Loans[[#This Row],[LoanStatus]]="Default",Loans[[#This Row],[LoanStatus]]="Watchlist",Loans[[#This Row],[CollateralRisk]]="Undersecured",Loans[[#This Row],[RiskCategory]]="High Risk"),"High Risk Exposure","Normal")</f>
        <v>High Risk Exposure</v>
      </c>
      <c r="T552" t="str" cm="1">
        <f t="array" ref="T552">_xlfn.IFS(
Loans[[#This Row],[LoanStatus]]="Default","Critical",
OR(Loans[[#This Row],[LoanStatus]]="Watchlist",Loans[[#This Row],[CollateralRisk]]="Undersecured",Loans[[#This Row],[RiskCategory]]="High Risk"),"High",
TRUE,"Normal"
)</f>
        <v>High</v>
      </c>
    </row>
    <row r="553" spans="1:20" x14ac:dyDescent="0.35">
      <c r="A553" t="s">
        <v>1115</v>
      </c>
      <c r="B553" t="s">
        <v>183</v>
      </c>
      <c r="C553" t="s">
        <v>193</v>
      </c>
      <c r="D553" t="s">
        <v>156</v>
      </c>
      <c r="E553" s="34">
        <v>3000000</v>
      </c>
      <c r="F553" s="29">
        <v>0.20569999999999999</v>
      </c>
      <c r="G553" s="30">
        <v>44720</v>
      </c>
      <c r="H553">
        <v>72</v>
      </c>
      <c r="I553">
        <v>120</v>
      </c>
      <c r="J553" s="34">
        <v>2220000</v>
      </c>
      <c r="K553" t="s">
        <v>178</v>
      </c>
      <c r="L553" s="34">
        <f>PMT(Loans[[#This Row],[InterestRate]]/12,Loans[[#This Row],[LoanTenureMonths]],-Loans[[#This Row],[LoanAmount]])</f>
        <v>72853.121592982978</v>
      </c>
      <c r="M553" s="30">
        <f>EDATE(Loans[[#This Row],[LoanStartDate]],Loans[[#This Row],[LoanTenureMonths]])</f>
        <v>46912</v>
      </c>
      <c r="N553" s="33">
        <f>IF(Loans[[#This Row],[LoanAmount]]=0,0,Loans[[#This Row],[CollateralValue]]/Loans[[#This Row],[LoanAmount]])</f>
        <v>0.74</v>
      </c>
      <c r="O553" t="str">
        <f>IF(Loans[[#This Row],[CollateralCoverageRatio]]&lt;1,"Undersecured","Secured")</f>
        <v>Undersecured</v>
      </c>
      <c r="P553" t="str">
        <f>_xlfn.XLOOKUP(Loans[[#This Row],[BranchCode]],BranchesTbl[BranchCode],BranchesTbl[BranchName])</f>
        <v>Mombasa</v>
      </c>
      <c r="Q553">
        <f>_xlfn.XLOOKUP(Loans[[#This Row],[CustomerID]],CustomerTbl[CustomerID],CustomerTbl[RiskScore])</f>
        <v>446</v>
      </c>
      <c r="R553" t="str">
        <f>IFERROR(INDEX(RiskTbl[Risk_Category],MATCH(Loans[[#This Row],[RiskScore]],RiskTbl[Score_Min],1)),"Unknown")</f>
        <v>High Risk</v>
      </c>
      <c r="S553" t="str">
        <f>IF(OR(Loans[[#This Row],[LoanStatus]]="Default",Loans[[#This Row],[LoanStatus]]="Watchlist",Loans[[#This Row],[CollateralRisk]]="Undersecured",Loans[[#This Row],[RiskCategory]]="High Risk"),"High Risk Exposure","Normal")</f>
        <v>High Risk Exposure</v>
      </c>
      <c r="T553" t="str" cm="1">
        <f t="array" ref="T553">_xlfn.IFS(
Loans[[#This Row],[LoanStatus]]="Default","Critical",
OR(Loans[[#This Row],[LoanStatus]]="Watchlist",Loans[[#This Row],[CollateralRisk]]="Undersecured",Loans[[#This Row],[RiskCategory]]="High Risk"),"High",
TRUE,"Normal"
)</f>
        <v>Critical</v>
      </c>
    </row>
    <row r="554" spans="1:20" x14ac:dyDescent="0.35">
      <c r="A554" t="s">
        <v>1116</v>
      </c>
      <c r="B554" t="s">
        <v>777</v>
      </c>
      <c r="C554" t="s">
        <v>193</v>
      </c>
      <c r="D554" t="s">
        <v>157</v>
      </c>
      <c r="E554" s="34">
        <v>25000000</v>
      </c>
      <c r="F554" s="29">
        <v>9.9900000000000003E-2</v>
      </c>
      <c r="G554" s="30">
        <v>44866</v>
      </c>
      <c r="H554">
        <v>12</v>
      </c>
      <c r="I554">
        <v>0</v>
      </c>
      <c r="J554" s="34">
        <v>20000000</v>
      </c>
      <c r="K554" t="s">
        <v>171</v>
      </c>
      <c r="L554" s="34">
        <f>PMT(Loans[[#This Row],[InterestRate]]/12,Loans[[#This Row],[LoanTenureMonths]],-Loans[[#This Row],[LoanAmount]])</f>
        <v>2197780.9096508604</v>
      </c>
      <c r="M554" s="30">
        <f>EDATE(Loans[[#This Row],[LoanStartDate]],Loans[[#This Row],[LoanTenureMonths]])</f>
        <v>45231</v>
      </c>
      <c r="N554" s="33">
        <f>IF(Loans[[#This Row],[LoanAmount]]=0,0,Loans[[#This Row],[CollateralValue]]/Loans[[#This Row],[LoanAmount]])</f>
        <v>0.8</v>
      </c>
      <c r="O554" t="str">
        <f>IF(Loans[[#This Row],[CollateralCoverageRatio]]&lt;1,"Undersecured","Secured")</f>
        <v>Undersecured</v>
      </c>
      <c r="P554" t="str">
        <f>_xlfn.XLOOKUP(Loans[[#This Row],[BranchCode]],BranchesTbl[BranchCode],BranchesTbl[BranchName])</f>
        <v>Mombasa</v>
      </c>
      <c r="Q554">
        <f>_xlfn.XLOOKUP(Loans[[#This Row],[CustomerID]],CustomerTbl[CustomerID],CustomerTbl[RiskScore])</f>
        <v>555</v>
      </c>
      <c r="R554" t="str">
        <f>IFERROR(INDEX(RiskTbl[Risk_Category],MATCH(Loans[[#This Row],[RiskScore]],RiskTbl[Score_Min],1)),"Unknown")</f>
        <v>High Risk</v>
      </c>
      <c r="S554" t="str">
        <f>IF(OR(Loans[[#This Row],[LoanStatus]]="Default",Loans[[#This Row],[LoanStatus]]="Watchlist",Loans[[#This Row],[CollateralRisk]]="Undersecured",Loans[[#This Row],[RiskCategory]]="High Risk"),"High Risk Exposure","Normal")</f>
        <v>High Risk Exposure</v>
      </c>
      <c r="T554" t="str" cm="1">
        <f t="array" ref="T554">_xlfn.IFS(
Loans[[#This Row],[LoanStatus]]="Default","Critical",
OR(Loans[[#This Row],[LoanStatus]]="Watchlist",Loans[[#This Row],[CollateralRisk]]="Undersecured",Loans[[#This Row],[RiskCategory]]="High Risk"),"High",
TRUE,"Normal"
)</f>
        <v>High</v>
      </c>
    </row>
    <row r="555" spans="1:20" x14ac:dyDescent="0.35">
      <c r="A555" t="s">
        <v>1117</v>
      </c>
      <c r="B555" t="s">
        <v>483</v>
      </c>
      <c r="C555" t="s">
        <v>170</v>
      </c>
      <c r="D555" t="s">
        <v>155</v>
      </c>
      <c r="E555" s="34">
        <v>250000</v>
      </c>
      <c r="F555" s="29">
        <v>0.23089999999999999</v>
      </c>
      <c r="G555" s="30">
        <v>44056</v>
      </c>
      <c r="H555">
        <v>36</v>
      </c>
      <c r="I555">
        <v>120</v>
      </c>
      <c r="J555" s="34">
        <v>0</v>
      </c>
      <c r="K555" t="s">
        <v>178</v>
      </c>
      <c r="L555" s="34">
        <f>PMT(Loans[[#This Row],[InterestRate]]/12,Loans[[#This Row],[LoanTenureMonths]],-Loans[[#This Row],[LoanAmount]])</f>
        <v>9689.1613683737742</v>
      </c>
      <c r="M555" s="30">
        <f>EDATE(Loans[[#This Row],[LoanStartDate]],Loans[[#This Row],[LoanTenureMonths]])</f>
        <v>45151</v>
      </c>
      <c r="N555" s="33">
        <f>IF(Loans[[#This Row],[LoanAmount]]=0,0,Loans[[#This Row],[CollateralValue]]/Loans[[#This Row],[LoanAmount]])</f>
        <v>0</v>
      </c>
      <c r="O555" t="str">
        <f>IF(Loans[[#This Row],[CollateralCoverageRatio]]&lt;1,"Undersecured","Secured")</f>
        <v>Undersecured</v>
      </c>
      <c r="P555" t="str">
        <f>_xlfn.XLOOKUP(Loans[[#This Row],[BranchCode]],BranchesTbl[BranchCode],BranchesTbl[BranchName])</f>
        <v>Thika</v>
      </c>
      <c r="Q555">
        <f>_xlfn.XLOOKUP(Loans[[#This Row],[CustomerID]],CustomerTbl[CustomerID],CustomerTbl[RiskScore])</f>
        <v>787</v>
      </c>
      <c r="R555" t="str">
        <f>IFERROR(INDEX(RiskTbl[Risk_Category],MATCH(Loans[[#This Row],[RiskScore]],RiskTbl[Score_Min],1)),"Unknown")</f>
        <v>Very Low Risk</v>
      </c>
      <c r="S555" t="str">
        <f>IF(OR(Loans[[#This Row],[LoanStatus]]="Default",Loans[[#This Row],[LoanStatus]]="Watchlist",Loans[[#This Row],[CollateralRisk]]="Undersecured",Loans[[#This Row],[RiskCategory]]="High Risk"),"High Risk Exposure","Normal")</f>
        <v>High Risk Exposure</v>
      </c>
      <c r="T555" t="str" cm="1">
        <f t="array" ref="T555">_xlfn.IFS(
Loans[[#This Row],[LoanStatus]]="Default","Critical",
OR(Loans[[#This Row],[LoanStatus]]="Watchlist",Loans[[#This Row],[CollateralRisk]]="Undersecured",Loans[[#This Row],[RiskCategory]]="High Risk"),"High",
TRUE,"Normal"
)</f>
        <v>Critical</v>
      </c>
    </row>
    <row r="556" spans="1:20" x14ac:dyDescent="0.35">
      <c r="A556" t="s">
        <v>1118</v>
      </c>
      <c r="B556" t="s">
        <v>1119</v>
      </c>
      <c r="C556" t="s">
        <v>174</v>
      </c>
      <c r="D556" t="s">
        <v>157</v>
      </c>
      <c r="E556" s="34">
        <v>80000000</v>
      </c>
      <c r="F556" s="29">
        <v>9.4E-2</v>
      </c>
      <c r="G556" s="30">
        <v>45251</v>
      </c>
      <c r="H556">
        <v>60</v>
      </c>
      <c r="I556">
        <v>0</v>
      </c>
      <c r="J556" s="34">
        <v>114400000</v>
      </c>
      <c r="K556" t="s">
        <v>171</v>
      </c>
      <c r="L556" s="34">
        <f>PMT(Loans[[#This Row],[InterestRate]]/12,Loans[[#This Row],[LoanTenureMonths]],-Loans[[#This Row],[LoanAmount]])</f>
        <v>1676242.0599338077</v>
      </c>
      <c r="M556" s="30">
        <f>EDATE(Loans[[#This Row],[LoanStartDate]],Loans[[#This Row],[LoanTenureMonths]])</f>
        <v>47078</v>
      </c>
      <c r="N556" s="33">
        <f>IF(Loans[[#This Row],[LoanAmount]]=0,0,Loans[[#This Row],[CollateralValue]]/Loans[[#This Row],[LoanAmount]])</f>
        <v>1.43</v>
      </c>
      <c r="O556" t="str">
        <f>IF(Loans[[#This Row],[CollateralCoverageRatio]]&lt;1,"Undersecured","Secured")</f>
        <v>Secured</v>
      </c>
      <c r="P556" t="str">
        <f>_xlfn.XLOOKUP(Loans[[#This Row],[BranchCode]],BranchesTbl[BranchCode],BranchesTbl[BranchName])</f>
        <v>Westlands</v>
      </c>
      <c r="Q556">
        <f>_xlfn.XLOOKUP(Loans[[#This Row],[CustomerID]],CustomerTbl[CustomerID],CustomerTbl[RiskScore])</f>
        <v>441</v>
      </c>
      <c r="R556" t="str">
        <f>IFERROR(INDEX(RiskTbl[Risk_Category],MATCH(Loans[[#This Row],[RiskScore]],RiskTbl[Score_Min],1)),"Unknown")</f>
        <v>High Risk</v>
      </c>
      <c r="S556" t="str">
        <f>IF(OR(Loans[[#This Row],[LoanStatus]]="Default",Loans[[#This Row],[LoanStatus]]="Watchlist",Loans[[#This Row],[CollateralRisk]]="Undersecured",Loans[[#This Row],[RiskCategory]]="High Risk"),"High Risk Exposure","Normal")</f>
        <v>High Risk Exposure</v>
      </c>
      <c r="T556" t="str" cm="1">
        <f t="array" ref="T556">_xlfn.IFS(
Loans[[#This Row],[LoanStatus]]="Default","Critical",
OR(Loans[[#This Row],[LoanStatus]]="Watchlist",Loans[[#This Row],[CollateralRisk]]="Undersecured",Loans[[#This Row],[RiskCategory]]="High Risk"),"High",
TRUE,"Normal"
)</f>
        <v>High</v>
      </c>
    </row>
    <row r="557" spans="1:20" x14ac:dyDescent="0.35">
      <c r="A557" t="s">
        <v>1120</v>
      </c>
      <c r="B557" t="s">
        <v>1121</v>
      </c>
      <c r="C557" t="s">
        <v>232</v>
      </c>
      <c r="D557" t="s">
        <v>157</v>
      </c>
      <c r="E557" s="34">
        <v>6000000</v>
      </c>
      <c r="F557" s="29">
        <v>0.1095</v>
      </c>
      <c r="G557" s="30">
        <v>45780</v>
      </c>
      <c r="H557">
        <v>72</v>
      </c>
      <c r="I557">
        <v>0</v>
      </c>
      <c r="J557" s="34">
        <v>5400000</v>
      </c>
      <c r="K557" t="s">
        <v>171</v>
      </c>
      <c r="L557" s="34">
        <f>PMT(Loans[[#This Row],[InterestRate]]/12,Loans[[#This Row],[LoanTenureMonths]],-Loans[[#This Row],[LoanAmount]])</f>
        <v>114050.8763119144</v>
      </c>
      <c r="M557" s="30">
        <f>EDATE(Loans[[#This Row],[LoanStartDate]],Loans[[#This Row],[LoanTenureMonths]])</f>
        <v>47971</v>
      </c>
      <c r="N557" s="33">
        <f>IF(Loans[[#This Row],[LoanAmount]]=0,0,Loans[[#This Row],[CollateralValue]]/Loans[[#This Row],[LoanAmount]])</f>
        <v>0.9</v>
      </c>
      <c r="O557" t="str">
        <f>IF(Loans[[#This Row],[CollateralCoverageRatio]]&lt;1,"Undersecured","Secured")</f>
        <v>Undersecured</v>
      </c>
      <c r="P557" t="str">
        <f>_xlfn.XLOOKUP(Loans[[#This Row],[BranchCode]],BranchesTbl[BranchCode],BranchesTbl[BranchName])</f>
        <v>Upper Hill</v>
      </c>
      <c r="Q557">
        <f>_xlfn.XLOOKUP(Loans[[#This Row],[CustomerID]],CustomerTbl[CustomerID],CustomerTbl[RiskScore])</f>
        <v>313</v>
      </c>
      <c r="R557" t="str">
        <f>IFERROR(INDEX(RiskTbl[Risk_Category],MATCH(Loans[[#This Row],[RiskScore]],RiskTbl[Score_Min],1)),"Unknown")</f>
        <v>High Risk</v>
      </c>
      <c r="S557" t="str">
        <f>IF(OR(Loans[[#This Row],[LoanStatus]]="Default",Loans[[#This Row],[LoanStatus]]="Watchlist",Loans[[#This Row],[CollateralRisk]]="Undersecured",Loans[[#This Row],[RiskCategory]]="High Risk"),"High Risk Exposure","Normal")</f>
        <v>High Risk Exposure</v>
      </c>
      <c r="T557" t="str" cm="1">
        <f t="array" ref="T557">_xlfn.IFS(
Loans[[#This Row],[LoanStatus]]="Default","Critical",
OR(Loans[[#This Row],[LoanStatus]]="Watchlist",Loans[[#This Row],[CollateralRisk]]="Undersecured",Loans[[#This Row],[RiskCategory]]="High Risk"),"High",
TRUE,"Normal"
)</f>
        <v>High</v>
      </c>
    </row>
    <row r="558" spans="1:20" x14ac:dyDescent="0.35">
      <c r="A558" t="s">
        <v>1122</v>
      </c>
      <c r="B558" t="s">
        <v>1123</v>
      </c>
      <c r="C558" t="s">
        <v>232</v>
      </c>
      <c r="D558" t="s">
        <v>156</v>
      </c>
      <c r="E558" s="34">
        <v>3000000</v>
      </c>
      <c r="F558" s="29">
        <v>0.2019</v>
      </c>
      <c r="G558" s="30">
        <v>43952</v>
      </c>
      <c r="H558">
        <v>60</v>
      </c>
      <c r="I558">
        <v>0</v>
      </c>
      <c r="J558" s="34">
        <v>4410000</v>
      </c>
      <c r="K558" t="s">
        <v>171</v>
      </c>
      <c r="L558" s="34">
        <f>PMT(Loans[[#This Row],[InterestRate]]/12,Loans[[#This Row],[LoanTenureMonths]],-Loans[[#This Row],[LoanAmount]])</f>
        <v>79799.140372866008</v>
      </c>
      <c r="M558" s="30">
        <f>EDATE(Loans[[#This Row],[LoanStartDate]],Loans[[#This Row],[LoanTenureMonths]])</f>
        <v>45778</v>
      </c>
      <c r="N558" s="33">
        <f>IF(Loans[[#This Row],[LoanAmount]]=0,0,Loans[[#This Row],[CollateralValue]]/Loans[[#This Row],[LoanAmount]])</f>
        <v>1.47</v>
      </c>
      <c r="O558" t="str">
        <f>IF(Loans[[#This Row],[CollateralCoverageRatio]]&lt;1,"Undersecured","Secured")</f>
        <v>Secured</v>
      </c>
      <c r="P558" t="str">
        <f>_xlfn.XLOOKUP(Loans[[#This Row],[BranchCode]],BranchesTbl[BranchCode],BranchesTbl[BranchName])</f>
        <v>Upper Hill</v>
      </c>
      <c r="Q558">
        <f>_xlfn.XLOOKUP(Loans[[#This Row],[CustomerID]],CustomerTbl[CustomerID],CustomerTbl[RiskScore])</f>
        <v>545</v>
      </c>
      <c r="R558" t="str">
        <f>IFERROR(INDEX(RiskTbl[Risk_Category],MATCH(Loans[[#This Row],[RiskScore]],RiskTbl[Score_Min],1)),"Unknown")</f>
        <v>High Risk</v>
      </c>
      <c r="S558" t="str">
        <f>IF(OR(Loans[[#This Row],[LoanStatus]]="Default",Loans[[#This Row],[LoanStatus]]="Watchlist",Loans[[#This Row],[CollateralRisk]]="Undersecured",Loans[[#This Row],[RiskCategory]]="High Risk"),"High Risk Exposure","Normal")</f>
        <v>High Risk Exposure</v>
      </c>
      <c r="T558" t="str" cm="1">
        <f t="array" ref="T558">_xlfn.IFS(
Loans[[#This Row],[LoanStatus]]="Default","Critical",
OR(Loans[[#This Row],[LoanStatus]]="Watchlist",Loans[[#This Row],[CollateralRisk]]="Undersecured",Loans[[#This Row],[RiskCategory]]="High Risk"),"High",
TRUE,"Normal"
)</f>
        <v>High</v>
      </c>
    </row>
    <row r="559" spans="1:20" x14ac:dyDescent="0.35">
      <c r="A559" t="s">
        <v>1124</v>
      </c>
      <c r="B559" t="s">
        <v>1125</v>
      </c>
      <c r="C559" t="s">
        <v>239</v>
      </c>
      <c r="D559" t="s">
        <v>157</v>
      </c>
      <c r="E559" s="34">
        <v>25000000</v>
      </c>
      <c r="F559" s="29">
        <v>0.13550000000000001</v>
      </c>
      <c r="G559" s="30">
        <v>44118</v>
      </c>
      <c r="H559">
        <v>12</v>
      </c>
      <c r="I559">
        <v>20</v>
      </c>
      <c r="J559" s="34">
        <v>26000000</v>
      </c>
      <c r="K559" t="s">
        <v>171</v>
      </c>
      <c r="L559" s="34">
        <f>PMT(Loans[[#This Row],[InterestRate]]/12,Loans[[#This Row],[LoanTenureMonths]],-Loans[[#This Row],[LoanAmount]])</f>
        <v>2239388.0305323782</v>
      </c>
      <c r="M559" s="30">
        <f>EDATE(Loans[[#This Row],[LoanStartDate]],Loans[[#This Row],[LoanTenureMonths]])</f>
        <v>44483</v>
      </c>
      <c r="N559" s="33">
        <f>IF(Loans[[#This Row],[LoanAmount]]=0,0,Loans[[#This Row],[CollateralValue]]/Loans[[#This Row],[LoanAmount]])</f>
        <v>1.04</v>
      </c>
      <c r="O559" t="str">
        <f>IF(Loans[[#This Row],[CollateralCoverageRatio]]&lt;1,"Undersecured","Secured")</f>
        <v>Secured</v>
      </c>
      <c r="P559" t="str">
        <f>_xlfn.XLOOKUP(Loans[[#This Row],[BranchCode]],BranchesTbl[BranchCode],BranchesTbl[BranchName])</f>
        <v>Machakos</v>
      </c>
      <c r="Q559">
        <f>_xlfn.XLOOKUP(Loans[[#This Row],[CustomerID]],CustomerTbl[CustomerID],CustomerTbl[RiskScore])</f>
        <v>829</v>
      </c>
      <c r="R559" t="str">
        <f>IFERROR(INDEX(RiskTbl[Risk_Category],MATCH(Loans[[#This Row],[RiskScore]],RiskTbl[Score_Min],1)),"Unknown")</f>
        <v>Prime</v>
      </c>
      <c r="S559" t="str">
        <f>IF(OR(Loans[[#This Row],[LoanStatus]]="Default",Loans[[#This Row],[LoanStatus]]="Watchlist",Loans[[#This Row],[CollateralRisk]]="Undersecured",Loans[[#This Row],[RiskCategory]]="High Risk"),"High Risk Exposure","Normal")</f>
        <v>Normal</v>
      </c>
      <c r="T559" t="str" cm="1">
        <f t="array" ref="T559">_xlfn.IFS(
Loans[[#This Row],[LoanStatus]]="Default","Critical",
OR(Loans[[#This Row],[LoanStatus]]="Watchlist",Loans[[#This Row],[CollateralRisk]]="Undersecured",Loans[[#This Row],[RiskCategory]]="High Risk"),"High",
TRUE,"Normal"
)</f>
        <v>Normal</v>
      </c>
    </row>
    <row r="560" spans="1:20" x14ac:dyDescent="0.35">
      <c r="A560" t="s">
        <v>1126</v>
      </c>
      <c r="B560" t="s">
        <v>1127</v>
      </c>
      <c r="C560" t="s">
        <v>190</v>
      </c>
      <c r="D560" t="s">
        <v>158</v>
      </c>
      <c r="E560" s="34">
        <v>500000</v>
      </c>
      <c r="F560" s="29">
        <v>0.17660000000000001</v>
      </c>
      <c r="G560" s="30">
        <v>44298</v>
      </c>
      <c r="H560">
        <v>24</v>
      </c>
      <c r="I560">
        <v>90</v>
      </c>
      <c r="J560" s="34">
        <v>585000</v>
      </c>
      <c r="K560" t="s">
        <v>199</v>
      </c>
      <c r="L560" s="34">
        <f>PMT(Loans[[#This Row],[InterestRate]]/12,Loans[[#This Row],[LoanTenureMonths]],-Loans[[#This Row],[LoanAmount]])</f>
        <v>24879.988168648757</v>
      </c>
      <c r="M560" s="30">
        <f>EDATE(Loans[[#This Row],[LoanStartDate]],Loans[[#This Row],[LoanTenureMonths]])</f>
        <v>45028</v>
      </c>
      <c r="N560" s="33">
        <f>IF(Loans[[#This Row],[LoanAmount]]=0,0,Loans[[#This Row],[CollateralValue]]/Loans[[#This Row],[LoanAmount]])</f>
        <v>1.17</v>
      </c>
      <c r="O560" t="str">
        <f>IF(Loans[[#This Row],[CollateralCoverageRatio]]&lt;1,"Undersecured","Secured")</f>
        <v>Secured</v>
      </c>
      <c r="P560" t="str">
        <f>_xlfn.XLOOKUP(Loans[[#This Row],[BranchCode]],BranchesTbl[BranchCode],BranchesTbl[BranchName])</f>
        <v>Nyeri</v>
      </c>
      <c r="Q560">
        <f>_xlfn.XLOOKUP(Loans[[#This Row],[CustomerID]],CustomerTbl[CustomerID],CustomerTbl[RiskScore])</f>
        <v>466</v>
      </c>
      <c r="R560" t="str">
        <f>IFERROR(INDEX(RiskTbl[Risk_Category],MATCH(Loans[[#This Row],[RiskScore]],RiskTbl[Score_Min],1)),"Unknown")</f>
        <v>High Risk</v>
      </c>
      <c r="S560" t="str">
        <f>IF(OR(Loans[[#This Row],[LoanStatus]]="Default",Loans[[#This Row],[LoanStatus]]="Watchlist",Loans[[#This Row],[CollateralRisk]]="Undersecured",Loans[[#This Row],[RiskCategory]]="High Risk"),"High Risk Exposure","Normal")</f>
        <v>High Risk Exposure</v>
      </c>
      <c r="T560" t="str" cm="1">
        <f t="array" ref="T560">_xlfn.IFS(
Loans[[#This Row],[LoanStatus]]="Default","Critical",
OR(Loans[[#This Row],[LoanStatus]]="Watchlist",Loans[[#This Row],[CollateralRisk]]="Undersecured",Loans[[#This Row],[RiskCategory]]="High Risk"),"High",
TRUE,"Normal"
)</f>
        <v>High</v>
      </c>
    </row>
    <row r="561" spans="1:20" x14ac:dyDescent="0.35">
      <c r="A561" t="s">
        <v>1128</v>
      </c>
      <c r="B561" t="s">
        <v>1129</v>
      </c>
      <c r="C561" t="s">
        <v>187</v>
      </c>
      <c r="D561" t="s">
        <v>158</v>
      </c>
      <c r="E561" s="34">
        <v>500000</v>
      </c>
      <c r="F561" s="29">
        <v>0.18079999999999999</v>
      </c>
      <c r="G561" s="30">
        <v>43996</v>
      </c>
      <c r="H561">
        <v>36</v>
      </c>
      <c r="I561">
        <v>0</v>
      </c>
      <c r="J561" s="34">
        <v>630000</v>
      </c>
      <c r="K561" t="s">
        <v>171</v>
      </c>
      <c r="L561" s="34">
        <f>PMT(Loans[[#This Row],[InterestRate]]/12,Loans[[#This Row],[LoanTenureMonths]],-Loans[[#This Row],[LoanAmount]])</f>
        <v>18096.270063181528</v>
      </c>
      <c r="M561" s="30">
        <f>EDATE(Loans[[#This Row],[LoanStartDate]],Loans[[#This Row],[LoanTenureMonths]])</f>
        <v>45091</v>
      </c>
      <c r="N561" s="33">
        <f>IF(Loans[[#This Row],[LoanAmount]]=0,0,Loans[[#This Row],[CollateralValue]]/Loans[[#This Row],[LoanAmount]])</f>
        <v>1.26</v>
      </c>
      <c r="O561" t="str">
        <f>IF(Loans[[#This Row],[CollateralCoverageRatio]]&lt;1,"Undersecured","Secured")</f>
        <v>Secured</v>
      </c>
      <c r="P561" t="str">
        <f>_xlfn.XLOOKUP(Loans[[#This Row],[BranchCode]],BranchesTbl[BranchCode],BranchesTbl[BranchName])</f>
        <v>Eldoret</v>
      </c>
      <c r="Q561">
        <f>_xlfn.XLOOKUP(Loans[[#This Row],[CustomerID]],CustomerTbl[CustomerID],CustomerTbl[RiskScore])</f>
        <v>348</v>
      </c>
      <c r="R561" t="str">
        <f>IFERROR(INDEX(RiskTbl[Risk_Category],MATCH(Loans[[#This Row],[RiskScore]],RiskTbl[Score_Min],1)),"Unknown")</f>
        <v>High Risk</v>
      </c>
      <c r="S561" t="str">
        <f>IF(OR(Loans[[#This Row],[LoanStatus]]="Default",Loans[[#This Row],[LoanStatus]]="Watchlist",Loans[[#This Row],[CollateralRisk]]="Undersecured",Loans[[#This Row],[RiskCategory]]="High Risk"),"High Risk Exposure","Normal")</f>
        <v>High Risk Exposure</v>
      </c>
      <c r="T561" t="str" cm="1">
        <f t="array" ref="T561">_xlfn.IFS(
Loans[[#This Row],[LoanStatus]]="Default","Critical",
OR(Loans[[#This Row],[LoanStatus]]="Watchlist",Loans[[#This Row],[CollateralRisk]]="Undersecured",Loans[[#This Row],[RiskCategory]]="High Risk"),"High",
TRUE,"Normal"
)</f>
        <v>High</v>
      </c>
    </row>
    <row r="562" spans="1:20" x14ac:dyDescent="0.35">
      <c r="A562" t="s">
        <v>1130</v>
      </c>
      <c r="B562" t="s">
        <v>1131</v>
      </c>
      <c r="C562" t="s">
        <v>190</v>
      </c>
      <c r="D562" t="s">
        <v>158</v>
      </c>
      <c r="E562" s="34">
        <v>500000</v>
      </c>
      <c r="F562" s="29">
        <v>0.19689999999999999</v>
      </c>
      <c r="G562" s="30">
        <v>45256</v>
      </c>
      <c r="H562">
        <v>12</v>
      </c>
      <c r="I562">
        <v>20</v>
      </c>
      <c r="J562" s="34">
        <v>255000</v>
      </c>
      <c r="K562" t="s">
        <v>171</v>
      </c>
      <c r="L562" s="34">
        <f>PMT(Loans[[#This Row],[InterestRate]]/12,Loans[[#This Row],[LoanTenureMonths]],-Loans[[#This Row],[LoanAmount]])</f>
        <v>46243.102441931194</v>
      </c>
      <c r="M562" s="30">
        <f>EDATE(Loans[[#This Row],[LoanStartDate]],Loans[[#This Row],[LoanTenureMonths]])</f>
        <v>45622</v>
      </c>
      <c r="N562" s="33">
        <f>IF(Loans[[#This Row],[LoanAmount]]=0,0,Loans[[#This Row],[CollateralValue]]/Loans[[#This Row],[LoanAmount]])</f>
        <v>0.51</v>
      </c>
      <c r="O562" t="str">
        <f>IF(Loans[[#This Row],[CollateralCoverageRatio]]&lt;1,"Undersecured","Secured")</f>
        <v>Undersecured</v>
      </c>
      <c r="P562" t="str">
        <f>_xlfn.XLOOKUP(Loans[[#This Row],[BranchCode]],BranchesTbl[BranchCode],BranchesTbl[BranchName])</f>
        <v>Nyeri</v>
      </c>
      <c r="Q562">
        <f>_xlfn.XLOOKUP(Loans[[#This Row],[CustomerID]],CustomerTbl[CustomerID],CustomerTbl[RiskScore])</f>
        <v>797</v>
      </c>
      <c r="R562" t="str">
        <f>IFERROR(INDEX(RiskTbl[Risk_Category],MATCH(Loans[[#This Row],[RiskScore]],RiskTbl[Score_Min],1)),"Unknown")</f>
        <v>Very Low Risk</v>
      </c>
      <c r="S562" t="str">
        <f>IF(OR(Loans[[#This Row],[LoanStatus]]="Default",Loans[[#This Row],[LoanStatus]]="Watchlist",Loans[[#This Row],[CollateralRisk]]="Undersecured",Loans[[#This Row],[RiskCategory]]="High Risk"),"High Risk Exposure","Normal")</f>
        <v>High Risk Exposure</v>
      </c>
      <c r="T562" t="str" cm="1">
        <f t="array" ref="T562">_xlfn.IFS(
Loans[[#This Row],[LoanStatus]]="Default","Critical",
OR(Loans[[#This Row],[LoanStatus]]="Watchlist",Loans[[#This Row],[CollateralRisk]]="Undersecured",Loans[[#This Row],[RiskCategory]]="High Risk"),"High",
TRUE,"Normal"
)</f>
        <v>High</v>
      </c>
    </row>
    <row r="563" spans="1:20" x14ac:dyDescent="0.35">
      <c r="A563" t="s">
        <v>1132</v>
      </c>
      <c r="B563" t="s">
        <v>1133</v>
      </c>
      <c r="C563" t="s">
        <v>174</v>
      </c>
      <c r="D563" t="s">
        <v>157</v>
      </c>
      <c r="E563" s="34">
        <v>25000000</v>
      </c>
      <c r="F563" s="29">
        <v>0.1045</v>
      </c>
      <c r="G563" s="30">
        <v>45948</v>
      </c>
      <c r="H563">
        <v>36</v>
      </c>
      <c r="I563">
        <v>10</v>
      </c>
      <c r="J563" s="34">
        <v>29750000</v>
      </c>
      <c r="K563" t="s">
        <v>171</v>
      </c>
      <c r="L563" s="34">
        <f>PMT(Loans[[#This Row],[InterestRate]]/12,Loans[[#This Row],[LoanTenureMonths]],-Loans[[#This Row],[LoanAmount]])</f>
        <v>811971.80172573554</v>
      </c>
      <c r="M563" s="30">
        <f>EDATE(Loans[[#This Row],[LoanStartDate]],Loans[[#This Row],[LoanTenureMonths]])</f>
        <v>47044</v>
      </c>
      <c r="N563" s="33">
        <f>IF(Loans[[#This Row],[LoanAmount]]=0,0,Loans[[#This Row],[CollateralValue]]/Loans[[#This Row],[LoanAmount]])</f>
        <v>1.19</v>
      </c>
      <c r="O563" t="str">
        <f>IF(Loans[[#This Row],[CollateralCoverageRatio]]&lt;1,"Undersecured","Secured")</f>
        <v>Secured</v>
      </c>
      <c r="P563" t="str">
        <f>_xlfn.XLOOKUP(Loans[[#This Row],[BranchCode]],BranchesTbl[BranchCode],BranchesTbl[BranchName])</f>
        <v>Westlands</v>
      </c>
      <c r="Q563">
        <f>_xlfn.XLOOKUP(Loans[[#This Row],[CustomerID]],CustomerTbl[CustomerID],CustomerTbl[RiskScore])</f>
        <v>450</v>
      </c>
      <c r="R563" t="str">
        <f>IFERROR(INDEX(RiskTbl[Risk_Category],MATCH(Loans[[#This Row],[RiskScore]],RiskTbl[Score_Min],1)),"Unknown")</f>
        <v>High Risk</v>
      </c>
      <c r="S563" t="str">
        <f>IF(OR(Loans[[#This Row],[LoanStatus]]="Default",Loans[[#This Row],[LoanStatus]]="Watchlist",Loans[[#This Row],[CollateralRisk]]="Undersecured",Loans[[#This Row],[RiskCategory]]="High Risk"),"High Risk Exposure","Normal")</f>
        <v>High Risk Exposure</v>
      </c>
      <c r="T563" t="str" cm="1">
        <f t="array" ref="T563">_xlfn.IFS(
Loans[[#This Row],[LoanStatus]]="Default","Critical",
OR(Loans[[#This Row],[LoanStatus]]="Watchlist",Loans[[#This Row],[CollateralRisk]]="Undersecured",Loans[[#This Row],[RiskCategory]]="High Risk"),"High",
TRUE,"Normal"
)</f>
        <v>High</v>
      </c>
    </row>
    <row r="564" spans="1:20" x14ac:dyDescent="0.35">
      <c r="A564" t="s">
        <v>1134</v>
      </c>
      <c r="B564" t="s">
        <v>1135</v>
      </c>
      <c r="C564" t="s">
        <v>187</v>
      </c>
      <c r="D564" t="s">
        <v>157</v>
      </c>
      <c r="E564" s="34">
        <v>6000000</v>
      </c>
      <c r="F564" s="29">
        <v>9.2999999999999999E-2</v>
      </c>
      <c r="G564" s="30">
        <v>45556</v>
      </c>
      <c r="H564">
        <v>12</v>
      </c>
      <c r="I564">
        <v>0</v>
      </c>
      <c r="J564" s="34">
        <v>5940000</v>
      </c>
      <c r="K564" t="s">
        <v>171</v>
      </c>
      <c r="L564" s="34">
        <f>PMT(Loans[[#This Row],[InterestRate]]/12,Loans[[#This Row],[LoanTenureMonths]],-Loans[[#This Row],[LoanAmount]])</f>
        <v>525543.94142720546</v>
      </c>
      <c r="M564" s="30">
        <f>EDATE(Loans[[#This Row],[LoanStartDate]],Loans[[#This Row],[LoanTenureMonths]])</f>
        <v>45921</v>
      </c>
      <c r="N564" s="33">
        <f>IF(Loans[[#This Row],[LoanAmount]]=0,0,Loans[[#This Row],[CollateralValue]]/Loans[[#This Row],[LoanAmount]])</f>
        <v>0.99</v>
      </c>
      <c r="O564" t="str">
        <f>IF(Loans[[#This Row],[CollateralCoverageRatio]]&lt;1,"Undersecured","Secured")</f>
        <v>Undersecured</v>
      </c>
      <c r="P564" t="str">
        <f>_xlfn.XLOOKUP(Loans[[#This Row],[BranchCode]],BranchesTbl[BranchCode],BranchesTbl[BranchName])</f>
        <v>Eldoret</v>
      </c>
      <c r="Q564">
        <f>_xlfn.XLOOKUP(Loans[[#This Row],[CustomerID]],CustomerTbl[CustomerID],CustomerTbl[RiskScore])</f>
        <v>339</v>
      </c>
      <c r="R564" t="str">
        <f>IFERROR(INDEX(RiskTbl[Risk_Category],MATCH(Loans[[#This Row],[RiskScore]],RiskTbl[Score_Min],1)),"Unknown")</f>
        <v>High Risk</v>
      </c>
      <c r="S564" t="str">
        <f>IF(OR(Loans[[#This Row],[LoanStatus]]="Default",Loans[[#This Row],[LoanStatus]]="Watchlist",Loans[[#This Row],[CollateralRisk]]="Undersecured",Loans[[#This Row],[RiskCategory]]="High Risk"),"High Risk Exposure","Normal")</f>
        <v>High Risk Exposure</v>
      </c>
      <c r="T564" t="str" cm="1">
        <f t="array" ref="T564">_xlfn.IFS(
Loans[[#This Row],[LoanStatus]]="Default","Critical",
OR(Loans[[#This Row],[LoanStatus]]="Watchlist",Loans[[#This Row],[CollateralRisk]]="Undersecured",Loans[[#This Row],[RiskCategory]]="High Risk"),"High",
TRUE,"Normal"
)</f>
        <v>High</v>
      </c>
    </row>
    <row r="565" spans="1:20" x14ac:dyDescent="0.35">
      <c r="A565" t="s">
        <v>1136</v>
      </c>
      <c r="B565" t="s">
        <v>1137</v>
      </c>
      <c r="C565" t="s">
        <v>232</v>
      </c>
      <c r="D565" t="s">
        <v>155</v>
      </c>
      <c r="E565" s="34">
        <v>100000</v>
      </c>
      <c r="F565" s="29">
        <v>0.19239999999999999</v>
      </c>
      <c r="G565" s="30">
        <v>43873</v>
      </c>
      <c r="H565">
        <v>60</v>
      </c>
      <c r="I565">
        <v>45</v>
      </c>
      <c r="J565" s="34">
        <v>0</v>
      </c>
      <c r="K565" t="s">
        <v>199</v>
      </c>
      <c r="L565" s="34">
        <f>PMT(Loans[[#This Row],[InterestRate]]/12,Loans[[#This Row],[LoanTenureMonths]],-Loans[[#This Row],[LoanAmount]])</f>
        <v>2607.2787140135715</v>
      </c>
      <c r="M565" s="30">
        <f>EDATE(Loans[[#This Row],[LoanStartDate]],Loans[[#This Row],[LoanTenureMonths]])</f>
        <v>45700</v>
      </c>
      <c r="N565" s="33">
        <f>IF(Loans[[#This Row],[LoanAmount]]=0,0,Loans[[#This Row],[CollateralValue]]/Loans[[#This Row],[LoanAmount]])</f>
        <v>0</v>
      </c>
      <c r="O565" t="str">
        <f>IF(Loans[[#This Row],[CollateralCoverageRatio]]&lt;1,"Undersecured","Secured")</f>
        <v>Undersecured</v>
      </c>
      <c r="P565" t="str">
        <f>_xlfn.XLOOKUP(Loans[[#This Row],[BranchCode]],BranchesTbl[BranchCode],BranchesTbl[BranchName])</f>
        <v>Upper Hill</v>
      </c>
      <c r="Q565">
        <f>_xlfn.XLOOKUP(Loans[[#This Row],[CustomerID]],CustomerTbl[CustomerID],CustomerTbl[RiskScore])</f>
        <v>725</v>
      </c>
      <c r="R565" t="str">
        <f>IFERROR(INDEX(RiskTbl[Risk_Category],MATCH(Loans[[#This Row],[RiskScore]],RiskTbl[Score_Min],1)),"Unknown")</f>
        <v>Low Risk</v>
      </c>
      <c r="S565" t="str">
        <f>IF(OR(Loans[[#This Row],[LoanStatus]]="Default",Loans[[#This Row],[LoanStatus]]="Watchlist",Loans[[#This Row],[CollateralRisk]]="Undersecured",Loans[[#This Row],[RiskCategory]]="High Risk"),"High Risk Exposure","Normal")</f>
        <v>High Risk Exposure</v>
      </c>
      <c r="T565" t="str" cm="1">
        <f t="array" ref="T565">_xlfn.IFS(
Loans[[#This Row],[LoanStatus]]="Default","Critical",
OR(Loans[[#This Row],[LoanStatus]]="Watchlist",Loans[[#This Row],[CollateralRisk]]="Undersecured",Loans[[#This Row],[RiskCategory]]="High Risk"),"High",
TRUE,"Normal"
)</f>
        <v>High</v>
      </c>
    </row>
    <row r="566" spans="1:20" x14ac:dyDescent="0.35">
      <c r="A566" t="s">
        <v>1138</v>
      </c>
      <c r="B566" t="s">
        <v>1139</v>
      </c>
      <c r="C566" t="s">
        <v>184</v>
      </c>
      <c r="D566" t="s">
        <v>157</v>
      </c>
      <c r="E566" s="34">
        <v>80000000</v>
      </c>
      <c r="F566" s="29">
        <v>0.1048</v>
      </c>
      <c r="G566" s="30">
        <v>45969</v>
      </c>
      <c r="H566">
        <v>24</v>
      </c>
      <c r="I566">
        <v>0</v>
      </c>
      <c r="J566" s="34">
        <v>91200000</v>
      </c>
      <c r="K566" t="s">
        <v>171</v>
      </c>
      <c r="L566" s="34">
        <f>PMT(Loans[[#This Row],[InterestRate]]/12,Loans[[#This Row],[LoanTenureMonths]],-Loans[[#This Row],[LoanAmount]])</f>
        <v>3709342.7154007796</v>
      </c>
      <c r="M566" s="30">
        <f>EDATE(Loans[[#This Row],[LoanStartDate]],Loans[[#This Row],[LoanTenureMonths]])</f>
        <v>46699</v>
      </c>
      <c r="N566" s="33">
        <f>IF(Loans[[#This Row],[LoanAmount]]=0,0,Loans[[#This Row],[CollateralValue]]/Loans[[#This Row],[LoanAmount]])</f>
        <v>1.1399999999999999</v>
      </c>
      <c r="O566" t="str">
        <f>IF(Loans[[#This Row],[CollateralCoverageRatio]]&lt;1,"Undersecured","Secured")</f>
        <v>Secured</v>
      </c>
      <c r="P566" t="str">
        <f>_xlfn.XLOOKUP(Loans[[#This Row],[BranchCode]],BranchesTbl[BranchCode],BranchesTbl[BranchName])</f>
        <v>Kisumu</v>
      </c>
      <c r="Q566">
        <f>_xlfn.XLOOKUP(Loans[[#This Row],[CustomerID]],CustomerTbl[CustomerID],CustomerTbl[RiskScore])</f>
        <v>696</v>
      </c>
      <c r="R566" t="str">
        <f>IFERROR(INDEX(RiskTbl[Risk_Category],MATCH(Loans[[#This Row],[RiskScore]],RiskTbl[Score_Min],1)),"Unknown")</f>
        <v>Low Risk</v>
      </c>
      <c r="S566" t="str">
        <f>IF(OR(Loans[[#This Row],[LoanStatus]]="Default",Loans[[#This Row],[LoanStatus]]="Watchlist",Loans[[#This Row],[CollateralRisk]]="Undersecured",Loans[[#This Row],[RiskCategory]]="High Risk"),"High Risk Exposure","Normal")</f>
        <v>Normal</v>
      </c>
      <c r="T566" t="str" cm="1">
        <f t="array" ref="T566">_xlfn.IFS(
Loans[[#This Row],[LoanStatus]]="Default","Critical",
OR(Loans[[#This Row],[LoanStatus]]="Watchlist",Loans[[#This Row],[CollateralRisk]]="Undersecured",Loans[[#This Row],[RiskCategory]]="High Risk"),"High",
TRUE,"Normal"
)</f>
        <v>Normal</v>
      </c>
    </row>
    <row r="567" spans="1:20" x14ac:dyDescent="0.35">
      <c r="A567" t="s">
        <v>1140</v>
      </c>
      <c r="B567" t="s">
        <v>306</v>
      </c>
      <c r="C567" t="s">
        <v>219</v>
      </c>
      <c r="D567" t="s">
        <v>157</v>
      </c>
      <c r="E567" s="34">
        <v>25000000</v>
      </c>
      <c r="F567" s="29">
        <v>0.13500000000000001</v>
      </c>
      <c r="G567" s="30">
        <v>45801</v>
      </c>
      <c r="H567">
        <v>60</v>
      </c>
      <c r="I567">
        <v>0</v>
      </c>
      <c r="J567" s="34">
        <v>28750000</v>
      </c>
      <c r="K567" t="s">
        <v>171</v>
      </c>
      <c r="L567" s="34">
        <f>PMT(Loans[[#This Row],[InterestRate]]/12,Loans[[#This Row],[LoanTenureMonths]],-Loans[[#This Row],[LoanAmount]])</f>
        <v>575246.15042217576</v>
      </c>
      <c r="M567" s="30">
        <f>EDATE(Loans[[#This Row],[LoanStartDate]],Loans[[#This Row],[LoanTenureMonths]])</f>
        <v>47627</v>
      </c>
      <c r="N567" s="33">
        <f>IF(Loans[[#This Row],[LoanAmount]]=0,0,Loans[[#This Row],[CollateralValue]]/Loans[[#This Row],[LoanAmount]])</f>
        <v>1.1499999999999999</v>
      </c>
      <c r="O567" t="str">
        <f>IF(Loans[[#This Row],[CollateralCoverageRatio]]&lt;1,"Undersecured","Secured")</f>
        <v>Secured</v>
      </c>
      <c r="P567" t="str">
        <f>_xlfn.XLOOKUP(Loans[[#This Row],[BranchCode]],BranchesTbl[BranchCode],BranchesTbl[BranchName])</f>
        <v>Meru</v>
      </c>
      <c r="Q567">
        <f>_xlfn.XLOOKUP(Loans[[#This Row],[CustomerID]],CustomerTbl[CustomerID],CustomerTbl[RiskScore])</f>
        <v>400</v>
      </c>
      <c r="R567" t="str">
        <f>IFERROR(INDEX(RiskTbl[Risk_Category],MATCH(Loans[[#This Row],[RiskScore]],RiskTbl[Score_Min],1)),"Unknown")</f>
        <v>High Risk</v>
      </c>
      <c r="S567" t="str">
        <f>IF(OR(Loans[[#This Row],[LoanStatus]]="Default",Loans[[#This Row],[LoanStatus]]="Watchlist",Loans[[#This Row],[CollateralRisk]]="Undersecured",Loans[[#This Row],[RiskCategory]]="High Risk"),"High Risk Exposure","Normal")</f>
        <v>High Risk Exposure</v>
      </c>
      <c r="T567" t="str" cm="1">
        <f t="array" ref="T567">_xlfn.IFS(
Loans[[#This Row],[LoanStatus]]="Default","Critical",
OR(Loans[[#This Row],[LoanStatus]]="Watchlist",Loans[[#This Row],[CollateralRisk]]="Undersecured",Loans[[#This Row],[RiskCategory]]="High Risk"),"High",
TRUE,"Normal"
)</f>
        <v>High</v>
      </c>
    </row>
    <row r="568" spans="1:20" x14ac:dyDescent="0.35">
      <c r="A568" t="s">
        <v>1141</v>
      </c>
      <c r="B568" t="s">
        <v>432</v>
      </c>
      <c r="C568" t="s">
        <v>196</v>
      </c>
      <c r="D568" t="s">
        <v>156</v>
      </c>
      <c r="E568" s="34">
        <v>3000000</v>
      </c>
      <c r="F568" s="29">
        <v>0.156</v>
      </c>
      <c r="G568" s="30">
        <v>45536</v>
      </c>
      <c r="H568">
        <v>36</v>
      </c>
      <c r="I568">
        <v>20</v>
      </c>
      <c r="J568" s="34">
        <v>4500000</v>
      </c>
      <c r="K568" t="s">
        <v>171</v>
      </c>
      <c r="L568" s="34">
        <f>PMT(Loans[[#This Row],[InterestRate]]/12,Loans[[#This Row],[LoanTenureMonths]],-Loans[[#This Row],[LoanAmount]])</f>
        <v>104879.61458498264</v>
      </c>
      <c r="M568" s="30">
        <f>EDATE(Loans[[#This Row],[LoanStartDate]],Loans[[#This Row],[LoanTenureMonths]])</f>
        <v>46631</v>
      </c>
      <c r="N568" s="33">
        <f>IF(Loans[[#This Row],[LoanAmount]]=0,0,Loans[[#This Row],[CollateralValue]]/Loans[[#This Row],[LoanAmount]])</f>
        <v>1.5</v>
      </c>
      <c r="O568" t="str">
        <f>IF(Loans[[#This Row],[CollateralCoverageRatio]]&lt;1,"Undersecured","Secured")</f>
        <v>Secured</v>
      </c>
      <c r="P568" t="str">
        <f>_xlfn.XLOOKUP(Loans[[#This Row],[BranchCode]],BranchesTbl[BranchCode],BranchesTbl[BranchName])</f>
        <v>Karen</v>
      </c>
      <c r="Q568">
        <f>_xlfn.XLOOKUP(Loans[[#This Row],[CustomerID]],CustomerTbl[CustomerID],CustomerTbl[RiskScore])</f>
        <v>517</v>
      </c>
      <c r="R568" t="str">
        <f>IFERROR(INDEX(RiskTbl[Risk_Category],MATCH(Loans[[#This Row],[RiskScore]],RiskTbl[Score_Min],1)),"Unknown")</f>
        <v>High Risk</v>
      </c>
      <c r="S568" t="str">
        <f>IF(OR(Loans[[#This Row],[LoanStatus]]="Default",Loans[[#This Row],[LoanStatus]]="Watchlist",Loans[[#This Row],[CollateralRisk]]="Undersecured",Loans[[#This Row],[RiskCategory]]="High Risk"),"High Risk Exposure","Normal")</f>
        <v>High Risk Exposure</v>
      </c>
      <c r="T568" t="str" cm="1">
        <f t="array" ref="T568">_xlfn.IFS(
Loans[[#This Row],[LoanStatus]]="Default","Critical",
OR(Loans[[#This Row],[LoanStatus]]="Watchlist",Loans[[#This Row],[CollateralRisk]]="Undersecured",Loans[[#This Row],[RiskCategory]]="High Risk"),"High",
TRUE,"Normal"
)</f>
        <v>High</v>
      </c>
    </row>
    <row r="569" spans="1:20" x14ac:dyDescent="0.35">
      <c r="A569" t="s">
        <v>1142</v>
      </c>
      <c r="B569" t="s">
        <v>852</v>
      </c>
      <c r="C569" t="s">
        <v>196</v>
      </c>
      <c r="D569" t="s">
        <v>155</v>
      </c>
      <c r="E569" s="34">
        <v>1000000</v>
      </c>
      <c r="F569" s="29">
        <v>0.22189999999999999</v>
      </c>
      <c r="G569" s="30">
        <v>45343</v>
      </c>
      <c r="H569">
        <v>48</v>
      </c>
      <c r="I569">
        <v>20</v>
      </c>
      <c r="J569" s="34">
        <v>0</v>
      </c>
      <c r="K569" t="s">
        <v>171</v>
      </c>
      <c r="L569" s="34">
        <f>PMT(Loans[[#This Row],[InterestRate]]/12,Loans[[#This Row],[LoanTenureMonths]],-Loans[[#This Row],[LoanAmount]])</f>
        <v>31609.318278806953</v>
      </c>
      <c r="M569" s="30">
        <f>EDATE(Loans[[#This Row],[LoanStartDate]],Loans[[#This Row],[LoanTenureMonths]])</f>
        <v>46804</v>
      </c>
      <c r="N569" s="33">
        <f>IF(Loans[[#This Row],[LoanAmount]]=0,0,Loans[[#This Row],[CollateralValue]]/Loans[[#This Row],[LoanAmount]])</f>
        <v>0</v>
      </c>
      <c r="O569" t="str">
        <f>IF(Loans[[#This Row],[CollateralCoverageRatio]]&lt;1,"Undersecured","Secured")</f>
        <v>Undersecured</v>
      </c>
      <c r="P569" t="str">
        <f>_xlfn.XLOOKUP(Loans[[#This Row],[BranchCode]],BranchesTbl[BranchCode],BranchesTbl[BranchName])</f>
        <v>Karen</v>
      </c>
      <c r="Q569">
        <f>_xlfn.XLOOKUP(Loans[[#This Row],[CustomerID]],CustomerTbl[CustomerID],CustomerTbl[RiskScore])</f>
        <v>640</v>
      </c>
      <c r="R569" t="str">
        <f>IFERROR(INDEX(RiskTbl[Risk_Category],MATCH(Loans[[#This Row],[RiskScore]],RiskTbl[Score_Min],1)),"Unknown")</f>
        <v>Medium Risk</v>
      </c>
      <c r="S569" t="str">
        <f>IF(OR(Loans[[#This Row],[LoanStatus]]="Default",Loans[[#This Row],[LoanStatus]]="Watchlist",Loans[[#This Row],[CollateralRisk]]="Undersecured",Loans[[#This Row],[RiskCategory]]="High Risk"),"High Risk Exposure","Normal")</f>
        <v>High Risk Exposure</v>
      </c>
      <c r="T569" t="str" cm="1">
        <f t="array" ref="T569">_xlfn.IFS(
Loans[[#This Row],[LoanStatus]]="Default","Critical",
OR(Loans[[#This Row],[LoanStatus]]="Watchlist",Loans[[#This Row],[CollateralRisk]]="Undersecured",Loans[[#This Row],[RiskCategory]]="High Risk"),"High",
TRUE,"Normal"
)</f>
        <v>High</v>
      </c>
    </row>
    <row r="570" spans="1:20" x14ac:dyDescent="0.35">
      <c r="A570" t="s">
        <v>1143</v>
      </c>
      <c r="B570" t="s">
        <v>383</v>
      </c>
      <c r="C570" t="s">
        <v>239</v>
      </c>
      <c r="D570" t="s">
        <v>158</v>
      </c>
      <c r="E570" s="34">
        <v>500000</v>
      </c>
      <c r="F570" s="29">
        <v>0.1726</v>
      </c>
      <c r="G570" s="30">
        <v>45620</v>
      </c>
      <c r="H570">
        <v>12</v>
      </c>
      <c r="I570">
        <v>0</v>
      </c>
      <c r="J570" s="34">
        <v>695000</v>
      </c>
      <c r="K570" t="s">
        <v>171</v>
      </c>
      <c r="L570" s="34">
        <f>PMT(Loans[[#This Row],[InterestRate]]/12,Loans[[#This Row],[LoanTenureMonths]],-Loans[[#This Row],[LoanAmount]])</f>
        <v>45664.092617524802</v>
      </c>
      <c r="M570" s="30">
        <f>EDATE(Loans[[#This Row],[LoanStartDate]],Loans[[#This Row],[LoanTenureMonths]])</f>
        <v>45985</v>
      </c>
      <c r="N570" s="33">
        <f>IF(Loans[[#This Row],[LoanAmount]]=0,0,Loans[[#This Row],[CollateralValue]]/Loans[[#This Row],[LoanAmount]])</f>
        <v>1.39</v>
      </c>
      <c r="O570" t="str">
        <f>IF(Loans[[#This Row],[CollateralCoverageRatio]]&lt;1,"Undersecured","Secured")</f>
        <v>Secured</v>
      </c>
      <c r="P570" t="str">
        <f>_xlfn.XLOOKUP(Loans[[#This Row],[BranchCode]],BranchesTbl[BranchCode],BranchesTbl[BranchName])</f>
        <v>Machakos</v>
      </c>
      <c r="Q570">
        <f>_xlfn.XLOOKUP(Loans[[#This Row],[CustomerID]],CustomerTbl[CustomerID],CustomerTbl[RiskScore])</f>
        <v>762</v>
      </c>
      <c r="R570" t="str">
        <f>IFERROR(INDEX(RiskTbl[Risk_Category],MATCH(Loans[[#This Row],[RiskScore]],RiskTbl[Score_Min],1)),"Unknown")</f>
        <v>Very Low Risk</v>
      </c>
      <c r="S570" t="str">
        <f>IF(OR(Loans[[#This Row],[LoanStatus]]="Default",Loans[[#This Row],[LoanStatus]]="Watchlist",Loans[[#This Row],[CollateralRisk]]="Undersecured",Loans[[#This Row],[RiskCategory]]="High Risk"),"High Risk Exposure","Normal")</f>
        <v>Normal</v>
      </c>
      <c r="T570" t="str" cm="1">
        <f t="array" ref="T570">_xlfn.IFS(
Loans[[#This Row],[LoanStatus]]="Default","Critical",
OR(Loans[[#This Row],[LoanStatus]]="Watchlist",Loans[[#This Row],[CollateralRisk]]="Undersecured",Loans[[#This Row],[RiskCategory]]="High Risk"),"High",
TRUE,"Normal"
)</f>
        <v>Normal</v>
      </c>
    </row>
    <row r="571" spans="1:20" x14ac:dyDescent="0.35">
      <c r="A571" t="s">
        <v>1144</v>
      </c>
      <c r="B571" t="s">
        <v>1037</v>
      </c>
      <c r="C571" t="s">
        <v>193</v>
      </c>
      <c r="D571" t="s">
        <v>158</v>
      </c>
      <c r="E571" s="34">
        <v>3000000</v>
      </c>
      <c r="F571" s="29">
        <v>0.16289999999999999</v>
      </c>
      <c r="G571" s="30">
        <v>44601</v>
      </c>
      <c r="H571">
        <v>72</v>
      </c>
      <c r="I571">
        <v>45</v>
      </c>
      <c r="J571" s="34">
        <v>4170000</v>
      </c>
      <c r="K571" t="s">
        <v>199</v>
      </c>
      <c r="L571" s="34">
        <f>PMT(Loans[[#This Row],[InterestRate]]/12,Loans[[#This Row],[LoanTenureMonths]],-Loans[[#This Row],[LoanAmount]])</f>
        <v>65555.46180610836</v>
      </c>
      <c r="M571" s="30">
        <f>EDATE(Loans[[#This Row],[LoanStartDate]],Loans[[#This Row],[LoanTenureMonths]])</f>
        <v>46792</v>
      </c>
      <c r="N571" s="33">
        <f>IF(Loans[[#This Row],[LoanAmount]]=0,0,Loans[[#This Row],[CollateralValue]]/Loans[[#This Row],[LoanAmount]])</f>
        <v>1.39</v>
      </c>
      <c r="O571" t="str">
        <f>IF(Loans[[#This Row],[CollateralCoverageRatio]]&lt;1,"Undersecured","Secured")</f>
        <v>Secured</v>
      </c>
      <c r="P571" t="str">
        <f>_xlfn.XLOOKUP(Loans[[#This Row],[BranchCode]],BranchesTbl[BranchCode],BranchesTbl[BranchName])</f>
        <v>Mombasa</v>
      </c>
      <c r="Q571">
        <f>_xlfn.XLOOKUP(Loans[[#This Row],[CustomerID]],CustomerTbl[CustomerID],CustomerTbl[RiskScore])</f>
        <v>444</v>
      </c>
      <c r="R571" t="str">
        <f>IFERROR(INDEX(RiskTbl[Risk_Category],MATCH(Loans[[#This Row],[RiskScore]],RiskTbl[Score_Min],1)),"Unknown")</f>
        <v>High Risk</v>
      </c>
      <c r="S571" t="str">
        <f>IF(OR(Loans[[#This Row],[LoanStatus]]="Default",Loans[[#This Row],[LoanStatus]]="Watchlist",Loans[[#This Row],[CollateralRisk]]="Undersecured",Loans[[#This Row],[RiskCategory]]="High Risk"),"High Risk Exposure","Normal")</f>
        <v>High Risk Exposure</v>
      </c>
      <c r="T571" t="str" cm="1">
        <f t="array" ref="T571">_xlfn.IFS(
Loans[[#This Row],[LoanStatus]]="Default","Critical",
OR(Loans[[#This Row],[LoanStatus]]="Watchlist",Loans[[#This Row],[CollateralRisk]]="Undersecured",Loans[[#This Row],[RiskCategory]]="High Risk"),"High",
TRUE,"Normal"
)</f>
        <v>High</v>
      </c>
    </row>
    <row r="572" spans="1:20" x14ac:dyDescent="0.35">
      <c r="A572" t="s">
        <v>1145</v>
      </c>
      <c r="B572" t="s">
        <v>1146</v>
      </c>
      <c r="C572" t="s">
        <v>239</v>
      </c>
      <c r="D572" t="s">
        <v>158</v>
      </c>
      <c r="E572" s="34">
        <v>6000000</v>
      </c>
      <c r="F572" s="29">
        <v>0.1246</v>
      </c>
      <c r="G572" s="30">
        <v>44898</v>
      </c>
      <c r="H572">
        <v>72</v>
      </c>
      <c r="I572">
        <v>120</v>
      </c>
      <c r="J572" s="34">
        <v>8340000</v>
      </c>
      <c r="K572" t="s">
        <v>178</v>
      </c>
      <c r="L572" s="34">
        <f>PMT(Loans[[#This Row],[InterestRate]]/12,Loans[[#This Row],[LoanTenureMonths]],-Loans[[#This Row],[LoanAmount]])</f>
        <v>118741.36964368913</v>
      </c>
      <c r="M572" s="30">
        <f>EDATE(Loans[[#This Row],[LoanStartDate]],Loans[[#This Row],[LoanTenureMonths]])</f>
        <v>47090</v>
      </c>
      <c r="N572" s="33">
        <f>IF(Loans[[#This Row],[LoanAmount]]=0,0,Loans[[#This Row],[CollateralValue]]/Loans[[#This Row],[LoanAmount]])</f>
        <v>1.39</v>
      </c>
      <c r="O572" t="str">
        <f>IF(Loans[[#This Row],[CollateralCoverageRatio]]&lt;1,"Undersecured","Secured")</f>
        <v>Secured</v>
      </c>
      <c r="P572" t="str">
        <f>_xlfn.XLOOKUP(Loans[[#This Row],[BranchCode]],BranchesTbl[BranchCode],BranchesTbl[BranchName])</f>
        <v>Machakos</v>
      </c>
      <c r="Q572">
        <f>_xlfn.XLOOKUP(Loans[[#This Row],[CustomerID]],CustomerTbl[CustomerID],CustomerTbl[RiskScore])</f>
        <v>514</v>
      </c>
      <c r="R572" t="str">
        <f>IFERROR(INDEX(RiskTbl[Risk_Category],MATCH(Loans[[#This Row],[RiskScore]],RiskTbl[Score_Min],1)),"Unknown")</f>
        <v>High Risk</v>
      </c>
      <c r="S572" t="str">
        <f>IF(OR(Loans[[#This Row],[LoanStatus]]="Default",Loans[[#This Row],[LoanStatus]]="Watchlist",Loans[[#This Row],[CollateralRisk]]="Undersecured",Loans[[#This Row],[RiskCategory]]="High Risk"),"High Risk Exposure","Normal")</f>
        <v>High Risk Exposure</v>
      </c>
      <c r="T572" t="str" cm="1">
        <f t="array" ref="T572">_xlfn.IFS(
Loans[[#This Row],[LoanStatus]]="Default","Critical",
OR(Loans[[#This Row],[LoanStatus]]="Watchlist",Loans[[#This Row],[CollateralRisk]]="Undersecured",Loans[[#This Row],[RiskCategory]]="High Risk"),"High",
TRUE,"Normal"
)</f>
        <v>Critical</v>
      </c>
    </row>
    <row r="573" spans="1:20" x14ac:dyDescent="0.35">
      <c r="A573" t="s">
        <v>1147</v>
      </c>
      <c r="B573" t="s">
        <v>876</v>
      </c>
      <c r="C573" t="s">
        <v>267</v>
      </c>
      <c r="D573" t="s">
        <v>155</v>
      </c>
      <c r="E573" s="34">
        <v>1000000</v>
      </c>
      <c r="F573" s="29">
        <v>0.1704</v>
      </c>
      <c r="G573" s="30">
        <v>44138</v>
      </c>
      <c r="H573">
        <v>12</v>
      </c>
      <c r="I573">
        <v>0</v>
      </c>
      <c r="J573" s="34">
        <v>0</v>
      </c>
      <c r="K573" t="s">
        <v>171</v>
      </c>
      <c r="L573" s="34">
        <f>PMT(Loans[[#This Row],[InterestRate]]/12,Loans[[#This Row],[LoanTenureMonths]],-Loans[[#This Row],[LoanAmount]])</f>
        <v>91223.73587062968</v>
      </c>
      <c r="M573" s="30">
        <f>EDATE(Loans[[#This Row],[LoanStartDate]],Loans[[#This Row],[LoanTenureMonths]])</f>
        <v>44503</v>
      </c>
      <c r="N573" s="33">
        <f>IF(Loans[[#This Row],[LoanAmount]]=0,0,Loans[[#This Row],[CollateralValue]]/Loans[[#This Row],[LoanAmount]])</f>
        <v>0</v>
      </c>
      <c r="O573" t="str">
        <f>IF(Loans[[#This Row],[CollateralCoverageRatio]]&lt;1,"Undersecured","Secured")</f>
        <v>Undersecured</v>
      </c>
      <c r="P573" t="str">
        <f>_xlfn.XLOOKUP(Loans[[#This Row],[BranchCode]],BranchesTbl[BranchCode],BranchesTbl[BranchName])</f>
        <v>Malindi</v>
      </c>
      <c r="Q573">
        <f>_xlfn.XLOOKUP(Loans[[#This Row],[CustomerID]],CustomerTbl[CustomerID],CustomerTbl[RiskScore])</f>
        <v>313</v>
      </c>
      <c r="R573" t="str">
        <f>IFERROR(INDEX(RiskTbl[Risk_Category],MATCH(Loans[[#This Row],[RiskScore]],RiskTbl[Score_Min],1)),"Unknown")</f>
        <v>High Risk</v>
      </c>
      <c r="S573" t="str">
        <f>IF(OR(Loans[[#This Row],[LoanStatus]]="Default",Loans[[#This Row],[LoanStatus]]="Watchlist",Loans[[#This Row],[CollateralRisk]]="Undersecured",Loans[[#This Row],[RiskCategory]]="High Risk"),"High Risk Exposure","Normal")</f>
        <v>High Risk Exposure</v>
      </c>
      <c r="T573" t="str" cm="1">
        <f t="array" ref="T573">_xlfn.IFS(
Loans[[#This Row],[LoanStatus]]="Default","Critical",
OR(Loans[[#This Row],[LoanStatus]]="Watchlist",Loans[[#This Row],[CollateralRisk]]="Undersecured",Loans[[#This Row],[RiskCategory]]="High Risk"),"High",
TRUE,"Normal"
)</f>
        <v>High</v>
      </c>
    </row>
    <row r="574" spans="1:20" x14ac:dyDescent="0.35">
      <c r="A574" t="s">
        <v>1148</v>
      </c>
      <c r="B574" t="s">
        <v>1149</v>
      </c>
      <c r="C574" t="s">
        <v>184</v>
      </c>
      <c r="D574" t="s">
        <v>157</v>
      </c>
      <c r="E574" s="34">
        <v>6000000</v>
      </c>
      <c r="F574" s="29">
        <v>0.12970000000000001</v>
      </c>
      <c r="G574" s="30">
        <v>44401</v>
      </c>
      <c r="H574">
        <v>48</v>
      </c>
      <c r="I574">
        <v>20</v>
      </c>
      <c r="J574" s="34">
        <v>7500000</v>
      </c>
      <c r="K574" t="s">
        <v>171</v>
      </c>
      <c r="L574" s="34">
        <f>PMT(Loans[[#This Row],[InterestRate]]/12,Loans[[#This Row],[LoanTenureMonths]],-Loans[[#This Row],[LoanAmount]])</f>
        <v>160875.65118511269</v>
      </c>
      <c r="M574" s="30">
        <f>EDATE(Loans[[#This Row],[LoanStartDate]],Loans[[#This Row],[LoanTenureMonths]])</f>
        <v>45862</v>
      </c>
      <c r="N574" s="33">
        <f>IF(Loans[[#This Row],[LoanAmount]]=0,0,Loans[[#This Row],[CollateralValue]]/Loans[[#This Row],[LoanAmount]])</f>
        <v>1.25</v>
      </c>
      <c r="O574" t="str">
        <f>IF(Loans[[#This Row],[CollateralCoverageRatio]]&lt;1,"Undersecured","Secured")</f>
        <v>Secured</v>
      </c>
      <c r="P574" t="str">
        <f>_xlfn.XLOOKUP(Loans[[#This Row],[BranchCode]],BranchesTbl[BranchCode],BranchesTbl[BranchName])</f>
        <v>Kisumu</v>
      </c>
      <c r="Q574">
        <f>_xlfn.XLOOKUP(Loans[[#This Row],[CustomerID]],CustomerTbl[CustomerID],CustomerTbl[RiskScore])</f>
        <v>437</v>
      </c>
      <c r="R574" t="str">
        <f>IFERROR(INDEX(RiskTbl[Risk_Category],MATCH(Loans[[#This Row],[RiskScore]],RiskTbl[Score_Min],1)),"Unknown")</f>
        <v>High Risk</v>
      </c>
      <c r="S574" t="str">
        <f>IF(OR(Loans[[#This Row],[LoanStatus]]="Default",Loans[[#This Row],[LoanStatus]]="Watchlist",Loans[[#This Row],[CollateralRisk]]="Undersecured",Loans[[#This Row],[RiskCategory]]="High Risk"),"High Risk Exposure","Normal")</f>
        <v>High Risk Exposure</v>
      </c>
      <c r="T574" t="str" cm="1">
        <f t="array" ref="T574">_xlfn.IFS(
Loans[[#This Row],[LoanStatus]]="Default","Critical",
OR(Loans[[#This Row],[LoanStatus]]="Watchlist",Loans[[#This Row],[CollateralRisk]]="Undersecured",Loans[[#This Row],[RiskCategory]]="High Risk"),"High",
TRUE,"Normal"
)</f>
        <v>High</v>
      </c>
    </row>
    <row r="575" spans="1:20" x14ac:dyDescent="0.35">
      <c r="A575" t="s">
        <v>1150</v>
      </c>
      <c r="B575" t="s">
        <v>1151</v>
      </c>
      <c r="C575" t="s">
        <v>219</v>
      </c>
      <c r="D575" t="s">
        <v>157</v>
      </c>
      <c r="E575" s="34">
        <v>25000000</v>
      </c>
      <c r="F575" s="29">
        <v>0.10730000000000001</v>
      </c>
      <c r="G575" s="30">
        <v>44318</v>
      </c>
      <c r="H575">
        <v>60</v>
      </c>
      <c r="I575">
        <v>10</v>
      </c>
      <c r="J575" s="34">
        <v>21250000</v>
      </c>
      <c r="K575" t="s">
        <v>171</v>
      </c>
      <c r="L575" s="34">
        <f>PMT(Loans[[#This Row],[InterestRate]]/12,Loans[[#This Row],[LoanTenureMonths]],-Loans[[#This Row],[LoanAmount]])</f>
        <v>540200.35240377195</v>
      </c>
      <c r="M575" s="30">
        <f>EDATE(Loans[[#This Row],[LoanStartDate]],Loans[[#This Row],[LoanTenureMonths]])</f>
        <v>46144</v>
      </c>
      <c r="N575" s="33">
        <f>IF(Loans[[#This Row],[LoanAmount]]=0,0,Loans[[#This Row],[CollateralValue]]/Loans[[#This Row],[LoanAmount]])</f>
        <v>0.85</v>
      </c>
      <c r="O575" t="str">
        <f>IF(Loans[[#This Row],[CollateralCoverageRatio]]&lt;1,"Undersecured","Secured")</f>
        <v>Undersecured</v>
      </c>
      <c r="P575" t="str">
        <f>_xlfn.XLOOKUP(Loans[[#This Row],[BranchCode]],BranchesTbl[BranchCode],BranchesTbl[BranchName])</f>
        <v>Meru</v>
      </c>
      <c r="Q575">
        <f>_xlfn.XLOOKUP(Loans[[#This Row],[CustomerID]],CustomerTbl[CustomerID],CustomerTbl[RiskScore])</f>
        <v>848</v>
      </c>
      <c r="R575" t="str">
        <f>IFERROR(INDEX(RiskTbl[Risk_Category],MATCH(Loans[[#This Row],[RiskScore]],RiskTbl[Score_Min],1)),"Unknown")</f>
        <v>Prime</v>
      </c>
      <c r="S575" t="str">
        <f>IF(OR(Loans[[#This Row],[LoanStatus]]="Default",Loans[[#This Row],[LoanStatus]]="Watchlist",Loans[[#This Row],[CollateralRisk]]="Undersecured",Loans[[#This Row],[RiskCategory]]="High Risk"),"High Risk Exposure","Normal")</f>
        <v>High Risk Exposure</v>
      </c>
      <c r="T575" t="str" cm="1">
        <f t="array" ref="T575">_xlfn.IFS(
Loans[[#This Row],[LoanStatus]]="Default","Critical",
OR(Loans[[#This Row],[LoanStatus]]="Watchlist",Loans[[#This Row],[CollateralRisk]]="Undersecured",Loans[[#This Row],[RiskCategory]]="High Risk"),"High",
TRUE,"Normal"
)</f>
        <v>High</v>
      </c>
    </row>
    <row r="576" spans="1:20" x14ac:dyDescent="0.35">
      <c r="A576" t="s">
        <v>1152</v>
      </c>
      <c r="B576" t="s">
        <v>1153</v>
      </c>
      <c r="C576" t="s">
        <v>193</v>
      </c>
      <c r="D576" t="s">
        <v>155</v>
      </c>
      <c r="E576" s="34">
        <v>250000</v>
      </c>
      <c r="F576" s="29">
        <v>0.21240000000000001</v>
      </c>
      <c r="G576" s="30">
        <v>45162</v>
      </c>
      <c r="H576">
        <v>24</v>
      </c>
      <c r="I576">
        <v>90</v>
      </c>
      <c r="J576" s="34">
        <v>0</v>
      </c>
      <c r="K576" t="s">
        <v>199</v>
      </c>
      <c r="L576" s="34">
        <f>PMT(Loans[[#This Row],[InterestRate]]/12,Loans[[#This Row],[LoanTenureMonths]],-Loans[[#This Row],[LoanAmount]])</f>
        <v>12875.902490235852</v>
      </c>
      <c r="M576" s="30">
        <f>EDATE(Loans[[#This Row],[LoanStartDate]],Loans[[#This Row],[LoanTenureMonths]])</f>
        <v>45893</v>
      </c>
      <c r="N576" s="33">
        <f>IF(Loans[[#This Row],[LoanAmount]]=0,0,Loans[[#This Row],[CollateralValue]]/Loans[[#This Row],[LoanAmount]])</f>
        <v>0</v>
      </c>
      <c r="O576" t="str">
        <f>IF(Loans[[#This Row],[CollateralCoverageRatio]]&lt;1,"Undersecured","Secured")</f>
        <v>Undersecured</v>
      </c>
      <c r="P576" t="str">
        <f>_xlfn.XLOOKUP(Loans[[#This Row],[BranchCode]],BranchesTbl[BranchCode],BranchesTbl[BranchName])</f>
        <v>Mombasa</v>
      </c>
      <c r="Q576">
        <f>_xlfn.XLOOKUP(Loans[[#This Row],[CustomerID]],CustomerTbl[CustomerID],CustomerTbl[RiskScore])</f>
        <v>468</v>
      </c>
      <c r="R576" t="str">
        <f>IFERROR(INDEX(RiskTbl[Risk_Category],MATCH(Loans[[#This Row],[RiskScore]],RiskTbl[Score_Min],1)),"Unknown")</f>
        <v>High Risk</v>
      </c>
      <c r="S576" t="str">
        <f>IF(OR(Loans[[#This Row],[LoanStatus]]="Default",Loans[[#This Row],[LoanStatus]]="Watchlist",Loans[[#This Row],[CollateralRisk]]="Undersecured",Loans[[#This Row],[RiskCategory]]="High Risk"),"High Risk Exposure","Normal")</f>
        <v>High Risk Exposure</v>
      </c>
      <c r="T576" t="str" cm="1">
        <f t="array" ref="T576">_xlfn.IFS(
Loans[[#This Row],[LoanStatus]]="Default","Critical",
OR(Loans[[#This Row],[LoanStatus]]="Watchlist",Loans[[#This Row],[CollateralRisk]]="Undersecured",Loans[[#This Row],[RiskCategory]]="High Risk"),"High",
TRUE,"Normal"
)</f>
        <v>High</v>
      </c>
    </row>
    <row r="577" spans="1:20" x14ac:dyDescent="0.35">
      <c r="A577" t="s">
        <v>1154</v>
      </c>
      <c r="B577" t="s">
        <v>1155</v>
      </c>
      <c r="C577" t="s">
        <v>232</v>
      </c>
      <c r="D577" t="s">
        <v>157</v>
      </c>
      <c r="E577" s="34">
        <v>25000000</v>
      </c>
      <c r="F577" s="29">
        <v>9.4600000000000004E-2</v>
      </c>
      <c r="G577" s="30">
        <v>44876</v>
      </c>
      <c r="H577">
        <v>72</v>
      </c>
      <c r="I577">
        <v>90</v>
      </c>
      <c r="J577" s="34">
        <v>15500000</v>
      </c>
      <c r="K577" t="s">
        <v>199</v>
      </c>
      <c r="L577" s="34">
        <f>PMT(Loans[[#This Row],[InterestRate]]/12,Loans[[#This Row],[LoanTenureMonths]],-Loans[[#This Row],[LoanAmount]])</f>
        <v>456367.12656520202</v>
      </c>
      <c r="M577" s="30">
        <f>EDATE(Loans[[#This Row],[LoanStartDate]],Loans[[#This Row],[LoanTenureMonths]])</f>
        <v>47068</v>
      </c>
      <c r="N577" s="33">
        <f>IF(Loans[[#This Row],[LoanAmount]]=0,0,Loans[[#This Row],[CollateralValue]]/Loans[[#This Row],[LoanAmount]])</f>
        <v>0.62</v>
      </c>
      <c r="O577" t="str">
        <f>IF(Loans[[#This Row],[CollateralCoverageRatio]]&lt;1,"Undersecured","Secured")</f>
        <v>Undersecured</v>
      </c>
      <c r="P577" t="str">
        <f>_xlfn.XLOOKUP(Loans[[#This Row],[BranchCode]],BranchesTbl[BranchCode],BranchesTbl[BranchName])</f>
        <v>Upper Hill</v>
      </c>
      <c r="Q577">
        <f>_xlfn.XLOOKUP(Loans[[#This Row],[CustomerID]],CustomerTbl[CustomerID],CustomerTbl[RiskScore])</f>
        <v>820</v>
      </c>
      <c r="R577" t="str">
        <f>IFERROR(INDEX(RiskTbl[Risk_Category],MATCH(Loans[[#This Row],[RiskScore]],RiskTbl[Score_Min],1)),"Unknown")</f>
        <v>Prime</v>
      </c>
      <c r="S577" t="str">
        <f>IF(OR(Loans[[#This Row],[LoanStatus]]="Default",Loans[[#This Row],[LoanStatus]]="Watchlist",Loans[[#This Row],[CollateralRisk]]="Undersecured",Loans[[#This Row],[RiskCategory]]="High Risk"),"High Risk Exposure","Normal")</f>
        <v>High Risk Exposure</v>
      </c>
      <c r="T577" t="str" cm="1">
        <f t="array" ref="T577">_xlfn.IFS(
Loans[[#This Row],[LoanStatus]]="Default","Critical",
OR(Loans[[#This Row],[LoanStatus]]="Watchlist",Loans[[#This Row],[CollateralRisk]]="Undersecured",Loans[[#This Row],[RiskCategory]]="High Risk"),"High",
TRUE,"Normal"
)</f>
        <v>High</v>
      </c>
    </row>
    <row r="578" spans="1:20" x14ac:dyDescent="0.35">
      <c r="A578" t="s">
        <v>1156</v>
      </c>
      <c r="B578" t="s">
        <v>1157</v>
      </c>
      <c r="C578" t="s">
        <v>206</v>
      </c>
      <c r="D578" t="s">
        <v>157</v>
      </c>
      <c r="E578" s="34">
        <v>25000000</v>
      </c>
      <c r="F578" s="29">
        <v>0.12839999999999999</v>
      </c>
      <c r="G578" s="30">
        <v>45789</v>
      </c>
      <c r="H578">
        <v>12</v>
      </c>
      <c r="I578">
        <v>45</v>
      </c>
      <c r="J578" s="34">
        <v>37000000</v>
      </c>
      <c r="K578" t="s">
        <v>199</v>
      </c>
      <c r="L578" s="34">
        <f>PMT(Loans[[#This Row],[InterestRate]]/12,Loans[[#This Row],[LoanTenureMonths]],-Loans[[#This Row],[LoanAmount]])</f>
        <v>2231055.6671722932</v>
      </c>
      <c r="M578" s="30">
        <f>EDATE(Loans[[#This Row],[LoanStartDate]],Loans[[#This Row],[LoanTenureMonths]])</f>
        <v>46154</v>
      </c>
      <c r="N578" s="33">
        <f>IF(Loans[[#This Row],[LoanAmount]]=0,0,Loans[[#This Row],[CollateralValue]]/Loans[[#This Row],[LoanAmount]])</f>
        <v>1.48</v>
      </c>
      <c r="O578" t="str">
        <f>IF(Loans[[#This Row],[CollateralCoverageRatio]]&lt;1,"Undersecured","Secured")</f>
        <v>Secured</v>
      </c>
      <c r="P578" t="str">
        <f>_xlfn.XLOOKUP(Loans[[#This Row],[BranchCode]],BranchesTbl[BranchCode],BranchesTbl[BranchName])</f>
        <v>Nyahururu</v>
      </c>
      <c r="Q578">
        <f>_xlfn.XLOOKUP(Loans[[#This Row],[CustomerID]],CustomerTbl[CustomerID],CustomerTbl[RiskScore])</f>
        <v>769</v>
      </c>
      <c r="R578" t="str">
        <f>IFERROR(INDEX(RiskTbl[Risk_Category],MATCH(Loans[[#This Row],[RiskScore]],RiskTbl[Score_Min],1)),"Unknown")</f>
        <v>Very Low Risk</v>
      </c>
      <c r="S578" t="str">
        <f>IF(OR(Loans[[#This Row],[LoanStatus]]="Default",Loans[[#This Row],[LoanStatus]]="Watchlist",Loans[[#This Row],[CollateralRisk]]="Undersecured",Loans[[#This Row],[RiskCategory]]="High Risk"),"High Risk Exposure","Normal")</f>
        <v>High Risk Exposure</v>
      </c>
      <c r="T578" t="str" cm="1">
        <f t="array" ref="T578">_xlfn.IFS(
Loans[[#This Row],[LoanStatus]]="Default","Critical",
OR(Loans[[#This Row],[LoanStatus]]="Watchlist",Loans[[#This Row],[CollateralRisk]]="Undersecured",Loans[[#This Row],[RiskCategory]]="High Risk"),"High",
TRUE,"Normal"
)</f>
        <v>High</v>
      </c>
    </row>
    <row r="579" spans="1:20" x14ac:dyDescent="0.35">
      <c r="A579" t="s">
        <v>1158</v>
      </c>
      <c r="B579" t="s">
        <v>567</v>
      </c>
      <c r="C579" t="s">
        <v>184</v>
      </c>
      <c r="D579" t="s">
        <v>155</v>
      </c>
      <c r="E579" s="34">
        <v>100000</v>
      </c>
      <c r="F579" s="29">
        <v>0.222</v>
      </c>
      <c r="G579" s="30">
        <v>44461</v>
      </c>
      <c r="H579">
        <v>48</v>
      </c>
      <c r="I579">
        <v>0</v>
      </c>
      <c r="J579" s="34">
        <v>0</v>
      </c>
      <c r="K579" t="s">
        <v>171</v>
      </c>
      <c r="L579" s="34">
        <f>PMT(Loans[[#This Row],[InterestRate]]/12,Loans[[#This Row],[LoanTenureMonths]],-Loans[[#This Row],[LoanAmount]])</f>
        <v>3161.4756992039893</v>
      </c>
      <c r="M579" s="30">
        <f>EDATE(Loans[[#This Row],[LoanStartDate]],Loans[[#This Row],[LoanTenureMonths]])</f>
        <v>45922</v>
      </c>
      <c r="N579" s="33">
        <f>IF(Loans[[#This Row],[LoanAmount]]=0,0,Loans[[#This Row],[CollateralValue]]/Loans[[#This Row],[LoanAmount]])</f>
        <v>0</v>
      </c>
      <c r="O579" t="str">
        <f>IF(Loans[[#This Row],[CollateralCoverageRatio]]&lt;1,"Undersecured","Secured")</f>
        <v>Undersecured</v>
      </c>
      <c r="P579" t="str">
        <f>_xlfn.XLOOKUP(Loans[[#This Row],[BranchCode]],BranchesTbl[BranchCode],BranchesTbl[BranchName])</f>
        <v>Kisumu</v>
      </c>
      <c r="Q579">
        <f>_xlfn.XLOOKUP(Loans[[#This Row],[CustomerID]],CustomerTbl[CustomerID],CustomerTbl[RiskScore])</f>
        <v>597</v>
      </c>
      <c r="R579" t="str">
        <f>IFERROR(INDEX(RiskTbl[Risk_Category],MATCH(Loans[[#This Row],[RiskScore]],RiskTbl[Score_Min],1)),"Unknown")</f>
        <v>Medium Risk</v>
      </c>
      <c r="S579" t="str">
        <f>IF(OR(Loans[[#This Row],[LoanStatus]]="Default",Loans[[#This Row],[LoanStatus]]="Watchlist",Loans[[#This Row],[CollateralRisk]]="Undersecured",Loans[[#This Row],[RiskCategory]]="High Risk"),"High Risk Exposure","Normal")</f>
        <v>High Risk Exposure</v>
      </c>
      <c r="T579" t="str" cm="1">
        <f t="array" ref="T579">_xlfn.IFS(
Loans[[#This Row],[LoanStatus]]="Default","Critical",
OR(Loans[[#This Row],[LoanStatus]]="Watchlist",Loans[[#This Row],[CollateralRisk]]="Undersecured",Loans[[#This Row],[RiskCategory]]="High Risk"),"High",
TRUE,"Normal"
)</f>
        <v>High</v>
      </c>
    </row>
    <row r="580" spans="1:20" x14ac:dyDescent="0.35">
      <c r="A580" t="s">
        <v>1159</v>
      </c>
      <c r="B580" t="s">
        <v>885</v>
      </c>
      <c r="C580" t="s">
        <v>193</v>
      </c>
      <c r="D580" t="s">
        <v>155</v>
      </c>
      <c r="E580" s="34">
        <v>1000000</v>
      </c>
      <c r="F580" s="29">
        <v>0.21740000000000001</v>
      </c>
      <c r="G580" s="30">
        <v>45140</v>
      </c>
      <c r="H580">
        <v>36</v>
      </c>
      <c r="I580">
        <v>90</v>
      </c>
      <c r="J580" s="34">
        <v>0</v>
      </c>
      <c r="K580" t="s">
        <v>199</v>
      </c>
      <c r="L580" s="34">
        <f>PMT(Loans[[#This Row],[InterestRate]]/12,Loans[[#This Row],[LoanTenureMonths]],-Loans[[#This Row],[LoanAmount]])</f>
        <v>38056.078568628822</v>
      </c>
      <c r="M580" s="30">
        <f>EDATE(Loans[[#This Row],[LoanStartDate]],Loans[[#This Row],[LoanTenureMonths]])</f>
        <v>46236</v>
      </c>
      <c r="N580" s="33">
        <f>IF(Loans[[#This Row],[LoanAmount]]=0,0,Loans[[#This Row],[CollateralValue]]/Loans[[#This Row],[LoanAmount]])</f>
        <v>0</v>
      </c>
      <c r="O580" t="str">
        <f>IF(Loans[[#This Row],[CollateralCoverageRatio]]&lt;1,"Undersecured","Secured")</f>
        <v>Undersecured</v>
      </c>
      <c r="P580" t="str">
        <f>_xlfn.XLOOKUP(Loans[[#This Row],[BranchCode]],BranchesTbl[BranchCode],BranchesTbl[BranchName])</f>
        <v>Mombasa</v>
      </c>
      <c r="Q580">
        <f>_xlfn.XLOOKUP(Loans[[#This Row],[CustomerID]],CustomerTbl[CustomerID],CustomerTbl[RiskScore])</f>
        <v>610</v>
      </c>
      <c r="R580" t="str">
        <f>IFERROR(INDEX(RiskTbl[Risk_Category],MATCH(Loans[[#This Row],[RiskScore]],RiskTbl[Score_Min],1)),"Unknown")</f>
        <v>Medium Risk</v>
      </c>
      <c r="S580" t="str">
        <f>IF(OR(Loans[[#This Row],[LoanStatus]]="Default",Loans[[#This Row],[LoanStatus]]="Watchlist",Loans[[#This Row],[CollateralRisk]]="Undersecured",Loans[[#This Row],[RiskCategory]]="High Risk"),"High Risk Exposure","Normal")</f>
        <v>High Risk Exposure</v>
      </c>
      <c r="T580" t="str" cm="1">
        <f t="array" ref="T580">_xlfn.IFS(
Loans[[#This Row],[LoanStatus]]="Default","Critical",
OR(Loans[[#This Row],[LoanStatus]]="Watchlist",Loans[[#This Row],[CollateralRisk]]="Undersecured",Loans[[#This Row],[RiskCategory]]="High Risk"),"High",
TRUE,"Normal"
)</f>
        <v>High</v>
      </c>
    </row>
    <row r="581" spans="1:20" x14ac:dyDescent="0.35">
      <c r="A581" t="s">
        <v>1160</v>
      </c>
      <c r="B581" t="s">
        <v>1161</v>
      </c>
      <c r="C581" t="s">
        <v>170</v>
      </c>
      <c r="D581" t="s">
        <v>157</v>
      </c>
      <c r="E581" s="34">
        <v>25000000</v>
      </c>
      <c r="F581" s="29">
        <v>0.13170000000000001</v>
      </c>
      <c r="G581" s="30">
        <v>44581</v>
      </c>
      <c r="H581">
        <v>24</v>
      </c>
      <c r="I581">
        <v>90</v>
      </c>
      <c r="J581" s="34">
        <v>20250000</v>
      </c>
      <c r="K581" t="s">
        <v>199</v>
      </c>
      <c r="L581" s="34">
        <f>PMT(Loans[[#This Row],[InterestRate]]/12,Loans[[#This Row],[LoanTenureMonths]],-Loans[[#This Row],[LoanAmount]])</f>
        <v>1190542.7964989226</v>
      </c>
      <c r="M581" s="30">
        <f>EDATE(Loans[[#This Row],[LoanStartDate]],Loans[[#This Row],[LoanTenureMonths]])</f>
        <v>45311</v>
      </c>
      <c r="N581" s="33">
        <f>IF(Loans[[#This Row],[LoanAmount]]=0,0,Loans[[#This Row],[CollateralValue]]/Loans[[#This Row],[LoanAmount]])</f>
        <v>0.81</v>
      </c>
      <c r="O581" t="str">
        <f>IF(Loans[[#This Row],[CollateralCoverageRatio]]&lt;1,"Undersecured","Secured")</f>
        <v>Undersecured</v>
      </c>
      <c r="P581" t="str">
        <f>_xlfn.XLOOKUP(Loans[[#This Row],[BranchCode]],BranchesTbl[BranchCode],BranchesTbl[BranchName])</f>
        <v>Thika</v>
      </c>
      <c r="Q581">
        <f>_xlfn.XLOOKUP(Loans[[#This Row],[CustomerID]],CustomerTbl[CustomerID],CustomerTbl[RiskScore])</f>
        <v>389</v>
      </c>
      <c r="R581" t="str">
        <f>IFERROR(INDEX(RiskTbl[Risk_Category],MATCH(Loans[[#This Row],[RiskScore]],RiskTbl[Score_Min],1)),"Unknown")</f>
        <v>High Risk</v>
      </c>
      <c r="S581" t="str">
        <f>IF(OR(Loans[[#This Row],[LoanStatus]]="Default",Loans[[#This Row],[LoanStatus]]="Watchlist",Loans[[#This Row],[CollateralRisk]]="Undersecured",Loans[[#This Row],[RiskCategory]]="High Risk"),"High Risk Exposure","Normal")</f>
        <v>High Risk Exposure</v>
      </c>
      <c r="T581" t="str" cm="1">
        <f t="array" ref="T581">_xlfn.IFS(
Loans[[#This Row],[LoanStatus]]="Default","Critical",
OR(Loans[[#This Row],[LoanStatus]]="Watchlist",Loans[[#This Row],[CollateralRisk]]="Undersecured",Loans[[#This Row],[RiskCategory]]="High Risk"),"High",
TRUE,"Normal"
)</f>
        <v>High</v>
      </c>
    </row>
    <row r="582" spans="1:20" x14ac:dyDescent="0.35">
      <c r="A582" t="s">
        <v>1162</v>
      </c>
      <c r="B582" t="s">
        <v>359</v>
      </c>
      <c r="C582" t="s">
        <v>196</v>
      </c>
      <c r="D582" t="s">
        <v>156</v>
      </c>
      <c r="E582" s="34">
        <v>1000000</v>
      </c>
      <c r="F582" s="29">
        <v>0.22450000000000001</v>
      </c>
      <c r="G582" s="30">
        <v>44380</v>
      </c>
      <c r="H582">
        <v>48</v>
      </c>
      <c r="I582">
        <v>5</v>
      </c>
      <c r="J582" s="34">
        <v>1120000</v>
      </c>
      <c r="K582" t="s">
        <v>171</v>
      </c>
      <c r="L582" s="34">
        <f>PMT(Loans[[#This Row],[InterestRate]]/12,Loans[[#This Row],[LoanTenureMonths]],-Loans[[#This Row],[LoanAmount]])</f>
        <v>31750.887312740026</v>
      </c>
      <c r="M582" s="30">
        <f>EDATE(Loans[[#This Row],[LoanStartDate]],Loans[[#This Row],[LoanTenureMonths]])</f>
        <v>45841</v>
      </c>
      <c r="N582" s="33">
        <f>IF(Loans[[#This Row],[LoanAmount]]=0,0,Loans[[#This Row],[CollateralValue]]/Loans[[#This Row],[LoanAmount]])</f>
        <v>1.1200000000000001</v>
      </c>
      <c r="O582" t="str">
        <f>IF(Loans[[#This Row],[CollateralCoverageRatio]]&lt;1,"Undersecured","Secured")</f>
        <v>Secured</v>
      </c>
      <c r="P582" t="str">
        <f>_xlfn.XLOOKUP(Loans[[#This Row],[BranchCode]],BranchesTbl[BranchCode],BranchesTbl[BranchName])</f>
        <v>Karen</v>
      </c>
      <c r="Q582">
        <f>_xlfn.XLOOKUP(Loans[[#This Row],[CustomerID]],CustomerTbl[CustomerID],CustomerTbl[RiskScore])</f>
        <v>820</v>
      </c>
      <c r="R582" t="str">
        <f>IFERROR(INDEX(RiskTbl[Risk_Category],MATCH(Loans[[#This Row],[RiskScore]],RiskTbl[Score_Min],1)),"Unknown")</f>
        <v>Prime</v>
      </c>
      <c r="S582" t="str">
        <f>IF(OR(Loans[[#This Row],[LoanStatus]]="Default",Loans[[#This Row],[LoanStatus]]="Watchlist",Loans[[#This Row],[CollateralRisk]]="Undersecured",Loans[[#This Row],[RiskCategory]]="High Risk"),"High Risk Exposure","Normal")</f>
        <v>Normal</v>
      </c>
      <c r="T582" t="str" cm="1">
        <f t="array" ref="T582">_xlfn.IFS(
Loans[[#This Row],[LoanStatus]]="Default","Critical",
OR(Loans[[#This Row],[LoanStatus]]="Watchlist",Loans[[#This Row],[CollateralRisk]]="Undersecured",Loans[[#This Row],[RiskCategory]]="High Risk"),"High",
TRUE,"Normal"
)</f>
        <v>Normal</v>
      </c>
    </row>
    <row r="583" spans="1:20" x14ac:dyDescent="0.35">
      <c r="A583" t="s">
        <v>1163</v>
      </c>
      <c r="B583" t="s">
        <v>1164</v>
      </c>
      <c r="C583" t="s">
        <v>270</v>
      </c>
      <c r="D583" t="s">
        <v>158</v>
      </c>
      <c r="E583" s="34">
        <v>6000000</v>
      </c>
      <c r="F583" s="29">
        <v>0.19739999999999999</v>
      </c>
      <c r="G583" s="30">
        <v>44668</v>
      </c>
      <c r="H583">
        <v>12</v>
      </c>
      <c r="I583">
        <v>0</v>
      </c>
      <c r="J583" s="34">
        <v>3480000</v>
      </c>
      <c r="K583" t="s">
        <v>171</v>
      </c>
      <c r="L583" s="34">
        <f>PMT(Loans[[#This Row],[InterestRate]]/12,Loans[[#This Row],[LoanTenureMonths]],-Loans[[#This Row],[LoanAmount]])</f>
        <v>555060.6941290606</v>
      </c>
      <c r="M583" s="30">
        <f>EDATE(Loans[[#This Row],[LoanStartDate]],Loans[[#This Row],[LoanTenureMonths]])</f>
        <v>45033</v>
      </c>
      <c r="N583" s="33">
        <f>IF(Loans[[#This Row],[LoanAmount]]=0,0,Loans[[#This Row],[CollateralValue]]/Loans[[#This Row],[LoanAmount]])</f>
        <v>0.57999999999999996</v>
      </c>
      <c r="O583" t="str">
        <f>IF(Loans[[#This Row],[CollateralCoverageRatio]]&lt;1,"Undersecured","Secured")</f>
        <v>Undersecured</v>
      </c>
      <c r="P583" t="str">
        <f>_xlfn.XLOOKUP(Loans[[#This Row],[BranchCode]],BranchesTbl[BranchCode],BranchesTbl[BranchName])</f>
        <v>Nakuru</v>
      </c>
      <c r="Q583">
        <f>_xlfn.XLOOKUP(Loans[[#This Row],[CustomerID]],CustomerTbl[CustomerID],CustomerTbl[RiskScore])</f>
        <v>332</v>
      </c>
      <c r="R583" t="str">
        <f>IFERROR(INDEX(RiskTbl[Risk_Category],MATCH(Loans[[#This Row],[RiskScore]],RiskTbl[Score_Min],1)),"Unknown")</f>
        <v>High Risk</v>
      </c>
      <c r="S583" t="str">
        <f>IF(OR(Loans[[#This Row],[LoanStatus]]="Default",Loans[[#This Row],[LoanStatus]]="Watchlist",Loans[[#This Row],[CollateralRisk]]="Undersecured",Loans[[#This Row],[RiskCategory]]="High Risk"),"High Risk Exposure","Normal")</f>
        <v>High Risk Exposure</v>
      </c>
      <c r="T583" t="str" cm="1">
        <f t="array" ref="T583">_xlfn.IFS(
Loans[[#This Row],[LoanStatus]]="Default","Critical",
OR(Loans[[#This Row],[LoanStatus]]="Watchlist",Loans[[#This Row],[CollateralRisk]]="Undersecured",Loans[[#This Row],[RiskCategory]]="High Risk"),"High",
TRUE,"Normal"
)</f>
        <v>High</v>
      </c>
    </row>
    <row r="584" spans="1:20" x14ac:dyDescent="0.35">
      <c r="A584" t="s">
        <v>1165</v>
      </c>
      <c r="B584" t="s">
        <v>1166</v>
      </c>
      <c r="C584" t="s">
        <v>232</v>
      </c>
      <c r="D584" t="s">
        <v>158</v>
      </c>
      <c r="E584" s="34">
        <v>3000000</v>
      </c>
      <c r="F584" s="29">
        <v>0.16400000000000001</v>
      </c>
      <c r="G584" s="30">
        <v>44762</v>
      </c>
      <c r="H584">
        <v>48</v>
      </c>
      <c r="I584">
        <v>20</v>
      </c>
      <c r="J584" s="34">
        <v>2610000</v>
      </c>
      <c r="K584" t="s">
        <v>171</v>
      </c>
      <c r="L584" s="34">
        <f>PMT(Loans[[#This Row],[InterestRate]]/12,Loans[[#This Row],[LoanTenureMonths]],-Loans[[#This Row],[LoanAmount]])</f>
        <v>85636.679271817615</v>
      </c>
      <c r="M584" s="30">
        <f>EDATE(Loans[[#This Row],[LoanStartDate]],Loans[[#This Row],[LoanTenureMonths]])</f>
        <v>46223</v>
      </c>
      <c r="N584" s="33">
        <f>IF(Loans[[#This Row],[LoanAmount]]=0,0,Loans[[#This Row],[CollateralValue]]/Loans[[#This Row],[LoanAmount]])</f>
        <v>0.87</v>
      </c>
      <c r="O584" t="str">
        <f>IF(Loans[[#This Row],[CollateralCoverageRatio]]&lt;1,"Undersecured","Secured")</f>
        <v>Undersecured</v>
      </c>
      <c r="P584" t="str">
        <f>_xlfn.XLOOKUP(Loans[[#This Row],[BranchCode]],BranchesTbl[BranchCode],BranchesTbl[BranchName])</f>
        <v>Upper Hill</v>
      </c>
      <c r="Q584">
        <f>_xlfn.XLOOKUP(Loans[[#This Row],[CustomerID]],CustomerTbl[CustomerID],CustomerTbl[RiskScore])</f>
        <v>618</v>
      </c>
      <c r="R584" t="str">
        <f>IFERROR(INDEX(RiskTbl[Risk_Category],MATCH(Loans[[#This Row],[RiskScore]],RiskTbl[Score_Min],1)),"Unknown")</f>
        <v>Medium Risk</v>
      </c>
      <c r="S584" t="str">
        <f>IF(OR(Loans[[#This Row],[LoanStatus]]="Default",Loans[[#This Row],[LoanStatus]]="Watchlist",Loans[[#This Row],[CollateralRisk]]="Undersecured",Loans[[#This Row],[RiskCategory]]="High Risk"),"High Risk Exposure","Normal")</f>
        <v>High Risk Exposure</v>
      </c>
      <c r="T584" t="str" cm="1">
        <f t="array" ref="T584">_xlfn.IFS(
Loans[[#This Row],[LoanStatus]]="Default","Critical",
OR(Loans[[#This Row],[LoanStatus]]="Watchlist",Loans[[#This Row],[CollateralRisk]]="Undersecured",Loans[[#This Row],[RiskCategory]]="High Risk"),"High",
TRUE,"Normal"
)</f>
        <v>High</v>
      </c>
    </row>
    <row r="585" spans="1:20" x14ac:dyDescent="0.35">
      <c r="A585" t="s">
        <v>1167</v>
      </c>
      <c r="B585" t="s">
        <v>498</v>
      </c>
      <c r="C585" t="s">
        <v>232</v>
      </c>
      <c r="D585" t="s">
        <v>158</v>
      </c>
      <c r="E585" s="34">
        <v>6000000</v>
      </c>
      <c r="F585" s="29">
        <v>0.15260000000000001</v>
      </c>
      <c r="G585" s="30">
        <v>44455</v>
      </c>
      <c r="H585">
        <v>60</v>
      </c>
      <c r="I585">
        <v>20</v>
      </c>
      <c r="J585" s="34">
        <v>3780000</v>
      </c>
      <c r="K585" t="s">
        <v>171</v>
      </c>
      <c r="L585" s="34">
        <f>PMT(Loans[[#This Row],[InterestRate]]/12,Loans[[#This Row],[LoanTenureMonths]],-Loans[[#This Row],[LoanAmount]])</f>
        <v>143559.75037358166</v>
      </c>
      <c r="M585" s="30">
        <f>EDATE(Loans[[#This Row],[LoanStartDate]],Loans[[#This Row],[LoanTenureMonths]])</f>
        <v>46281</v>
      </c>
      <c r="N585" s="33">
        <f>IF(Loans[[#This Row],[LoanAmount]]=0,0,Loans[[#This Row],[CollateralValue]]/Loans[[#This Row],[LoanAmount]])</f>
        <v>0.63</v>
      </c>
      <c r="O585" t="str">
        <f>IF(Loans[[#This Row],[CollateralCoverageRatio]]&lt;1,"Undersecured","Secured")</f>
        <v>Undersecured</v>
      </c>
      <c r="P585" t="str">
        <f>_xlfn.XLOOKUP(Loans[[#This Row],[BranchCode]],BranchesTbl[BranchCode],BranchesTbl[BranchName])</f>
        <v>Upper Hill</v>
      </c>
      <c r="Q585">
        <f>_xlfn.XLOOKUP(Loans[[#This Row],[CustomerID]],CustomerTbl[CustomerID],CustomerTbl[RiskScore])</f>
        <v>709</v>
      </c>
      <c r="R585" t="str">
        <f>IFERROR(INDEX(RiskTbl[Risk_Category],MATCH(Loans[[#This Row],[RiskScore]],RiskTbl[Score_Min],1)),"Unknown")</f>
        <v>Low Risk</v>
      </c>
      <c r="S585" t="str">
        <f>IF(OR(Loans[[#This Row],[LoanStatus]]="Default",Loans[[#This Row],[LoanStatus]]="Watchlist",Loans[[#This Row],[CollateralRisk]]="Undersecured",Loans[[#This Row],[RiskCategory]]="High Risk"),"High Risk Exposure","Normal")</f>
        <v>High Risk Exposure</v>
      </c>
      <c r="T585" t="str" cm="1">
        <f t="array" ref="T585">_xlfn.IFS(
Loans[[#This Row],[LoanStatus]]="Default","Critical",
OR(Loans[[#This Row],[LoanStatus]]="Watchlist",Loans[[#This Row],[CollateralRisk]]="Undersecured",Loans[[#This Row],[RiskCategory]]="High Risk"),"High",
TRUE,"Normal"
)</f>
        <v>High</v>
      </c>
    </row>
    <row r="586" spans="1:20" x14ac:dyDescent="0.35">
      <c r="A586" t="s">
        <v>1168</v>
      </c>
      <c r="B586" t="s">
        <v>542</v>
      </c>
      <c r="C586" t="s">
        <v>181</v>
      </c>
      <c r="D586" t="s">
        <v>155</v>
      </c>
      <c r="E586" s="34">
        <v>100000</v>
      </c>
      <c r="F586" s="29">
        <v>0.25679999999999997</v>
      </c>
      <c r="G586" s="30">
        <v>45301</v>
      </c>
      <c r="H586">
        <v>12</v>
      </c>
      <c r="I586">
        <v>0</v>
      </c>
      <c r="J586" s="34">
        <v>0</v>
      </c>
      <c r="K586" t="s">
        <v>171</v>
      </c>
      <c r="L586" s="34">
        <f>PMT(Loans[[#This Row],[InterestRate]]/12,Loans[[#This Row],[LoanTenureMonths]],-Loans[[#This Row],[LoanAmount]])</f>
        <v>9537.4495096523606</v>
      </c>
      <c r="M586" s="30">
        <f>EDATE(Loans[[#This Row],[LoanStartDate]],Loans[[#This Row],[LoanTenureMonths]])</f>
        <v>45667</v>
      </c>
      <c r="N586" s="33">
        <f>IF(Loans[[#This Row],[LoanAmount]]=0,0,Loans[[#This Row],[CollateralValue]]/Loans[[#This Row],[LoanAmount]])</f>
        <v>0</v>
      </c>
      <c r="O586" t="str">
        <f>IF(Loans[[#This Row],[CollateralCoverageRatio]]&lt;1,"Undersecured","Secured")</f>
        <v>Undersecured</v>
      </c>
      <c r="P586" t="str">
        <f>_xlfn.XLOOKUP(Loans[[#This Row],[BranchCode]],BranchesTbl[BranchCode],BranchesTbl[BranchName])</f>
        <v>Kitale</v>
      </c>
      <c r="Q586">
        <f>_xlfn.XLOOKUP(Loans[[#This Row],[CustomerID]],CustomerTbl[CustomerID],CustomerTbl[RiskScore])</f>
        <v>466</v>
      </c>
      <c r="R586" t="str">
        <f>IFERROR(INDEX(RiskTbl[Risk_Category],MATCH(Loans[[#This Row],[RiskScore]],RiskTbl[Score_Min],1)),"Unknown")</f>
        <v>High Risk</v>
      </c>
      <c r="S586" t="str">
        <f>IF(OR(Loans[[#This Row],[LoanStatus]]="Default",Loans[[#This Row],[LoanStatus]]="Watchlist",Loans[[#This Row],[CollateralRisk]]="Undersecured",Loans[[#This Row],[RiskCategory]]="High Risk"),"High Risk Exposure","Normal")</f>
        <v>High Risk Exposure</v>
      </c>
      <c r="T586" t="str" cm="1">
        <f t="array" ref="T586">_xlfn.IFS(
Loans[[#This Row],[LoanStatus]]="Default","Critical",
OR(Loans[[#This Row],[LoanStatus]]="Watchlist",Loans[[#This Row],[CollateralRisk]]="Undersecured",Loans[[#This Row],[RiskCategory]]="High Risk"),"High",
TRUE,"Normal"
)</f>
        <v>High</v>
      </c>
    </row>
    <row r="587" spans="1:20" x14ac:dyDescent="0.35">
      <c r="A587" t="s">
        <v>1169</v>
      </c>
      <c r="B587" t="s">
        <v>619</v>
      </c>
      <c r="C587" t="s">
        <v>239</v>
      </c>
      <c r="D587" t="s">
        <v>158</v>
      </c>
      <c r="E587" s="34">
        <v>3000000</v>
      </c>
      <c r="F587" s="29">
        <v>0.1532</v>
      </c>
      <c r="G587" s="30">
        <v>44456</v>
      </c>
      <c r="H587">
        <v>36</v>
      </c>
      <c r="I587">
        <v>90</v>
      </c>
      <c r="J587" s="34">
        <v>4080000</v>
      </c>
      <c r="K587" t="s">
        <v>199</v>
      </c>
      <c r="L587" s="34">
        <f>PMT(Loans[[#This Row],[InterestRate]]/12,Loans[[#This Row],[LoanTenureMonths]],-Loans[[#This Row],[LoanAmount]])</f>
        <v>104466.71661078003</v>
      </c>
      <c r="M587" s="30">
        <f>EDATE(Loans[[#This Row],[LoanStartDate]],Loans[[#This Row],[LoanTenureMonths]])</f>
        <v>45552</v>
      </c>
      <c r="N587" s="33">
        <f>IF(Loans[[#This Row],[LoanAmount]]=0,0,Loans[[#This Row],[CollateralValue]]/Loans[[#This Row],[LoanAmount]])</f>
        <v>1.36</v>
      </c>
      <c r="O587" t="str">
        <f>IF(Loans[[#This Row],[CollateralCoverageRatio]]&lt;1,"Undersecured","Secured")</f>
        <v>Secured</v>
      </c>
      <c r="P587" t="str">
        <f>_xlfn.XLOOKUP(Loans[[#This Row],[BranchCode]],BranchesTbl[BranchCode],BranchesTbl[BranchName])</f>
        <v>Machakos</v>
      </c>
      <c r="Q587">
        <f>_xlfn.XLOOKUP(Loans[[#This Row],[CustomerID]],CustomerTbl[CustomerID],CustomerTbl[RiskScore])</f>
        <v>850</v>
      </c>
      <c r="R587" t="str">
        <f>IFERROR(INDEX(RiskTbl[Risk_Category],MATCH(Loans[[#This Row],[RiskScore]],RiskTbl[Score_Min],1)),"Unknown")</f>
        <v>Prime</v>
      </c>
      <c r="S587" t="str">
        <f>IF(OR(Loans[[#This Row],[LoanStatus]]="Default",Loans[[#This Row],[LoanStatus]]="Watchlist",Loans[[#This Row],[CollateralRisk]]="Undersecured",Loans[[#This Row],[RiskCategory]]="High Risk"),"High Risk Exposure","Normal")</f>
        <v>High Risk Exposure</v>
      </c>
      <c r="T587" t="str" cm="1">
        <f t="array" ref="T587">_xlfn.IFS(
Loans[[#This Row],[LoanStatus]]="Default","Critical",
OR(Loans[[#This Row],[LoanStatus]]="Watchlist",Loans[[#This Row],[CollateralRisk]]="Undersecured",Loans[[#This Row],[RiskCategory]]="High Risk"),"High",
TRUE,"Normal"
)</f>
        <v>High</v>
      </c>
    </row>
    <row r="588" spans="1:20" x14ac:dyDescent="0.35">
      <c r="A588" t="s">
        <v>1170</v>
      </c>
      <c r="B588" t="s">
        <v>256</v>
      </c>
      <c r="C588" t="s">
        <v>196</v>
      </c>
      <c r="D588" t="s">
        <v>157</v>
      </c>
      <c r="E588" s="34">
        <v>80000000</v>
      </c>
      <c r="F588" s="29">
        <v>0.1181</v>
      </c>
      <c r="G588" s="30">
        <v>45206</v>
      </c>
      <c r="H588">
        <v>72</v>
      </c>
      <c r="I588">
        <v>20</v>
      </c>
      <c r="J588" s="34">
        <v>100800000</v>
      </c>
      <c r="K588" t="s">
        <v>171</v>
      </c>
      <c r="L588" s="34">
        <f>PMT(Loans[[#This Row],[InterestRate]]/12,Loans[[#This Row],[LoanTenureMonths]],-Loans[[#This Row],[LoanAmount]])</f>
        <v>1556122.2795369111</v>
      </c>
      <c r="M588" s="30">
        <f>EDATE(Loans[[#This Row],[LoanStartDate]],Loans[[#This Row],[LoanTenureMonths]])</f>
        <v>47398</v>
      </c>
      <c r="N588" s="33">
        <f>IF(Loans[[#This Row],[LoanAmount]]=0,0,Loans[[#This Row],[CollateralValue]]/Loans[[#This Row],[LoanAmount]])</f>
        <v>1.26</v>
      </c>
      <c r="O588" t="str">
        <f>IF(Loans[[#This Row],[CollateralCoverageRatio]]&lt;1,"Undersecured","Secured")</f>
        <v>Secured</v>
      </c>
      <c r="P588" t="str">
        <f>_xlfn.XLOOKUP(Loans[[#This Row],[BranchCode]],BranchesTbl[BranchCode],BranchesTbl[BranchName])</f>
        <v>Karen</v>
      </c>
      <c r="Q588">
        <f>_xlfn.XLOOKUP(Loans[[#This Row],[CustomerID]],CustomerTbl[CustomerID],CustomerTbl[RiskScore])</f>
        <v>659</v>
      </c>
      <c r="R588" t="str">
        <f>IFERROR(INDEX(RiskTbl[Risk_Category],MATCH(Loans[[#This Row],[RiskScore]],RiskTbl[Score_Min],1)),"Unknown")</f>
        <v>Medium Risk</v>
      </c>
      <c r="S588" t="str">
        <f>IF(OR(Loans[[#This Row],[LoanStatus]]="Default",Loans[[#This Row],[LoanStatus]]="Watchlist",Loans[[#This Row],[CollateralRisk]]="Undersecured",Loans[[#This Row],[RiskCategory]]="High Risk"),"High Risk Exposure","Normal")</f>
        <v>Normal</v>
      </c>
      <c r="T588" t="str" cm="1">
        <f t="array" ref="T588">_xlfn.IFS(
Loans[[#This Row],[LoanStatus]]="Default","Critical",
OR(Loans[[#This Row],[LoanStatus]]="Watchlist",Loans[[#This Row],[CollateralRisk]]="Undersecured",Loans[[#This Row],[RiskCategory]]="High Risk"),"High",
TRUE,"Normal"
)</f>
        <v>Normal</v>
      </c>
    </row>
    <row r="589" spans="1:20" x14ac:dyDescent="0.35">
      <c r="A589" t="s">
        <v>1171</v>
      </c>
      <c r="B589" t="s">
        <v>474</v>
      </c>
      <c r="C589" t="s">
        <v>177</v>
      </c>
      <c r="D589" t="s">
        <v>158</v>
      </c>
      <c r="E589" s="34">
        <v>1000000</v>
      </c>
      <c r="F589" s="29">
        <v>0.15570000000000001</v>
      </c>
      <c r="G589" s="30">
        <v>44878</v>
      </c>
      <c r="H589">
        <v>60</v>
      </c>
      <c r="I589">
        <v>90</v>
      </c>
      <c r="J589" s="34">
        <v>1280000</v>
      </c>
      <c r="K589" t="s">
        <v>199</v>
      </c>
      <c r="L589" s="34">
        <f>PMT(Loans[[#This Row],[InterestRate]]/12,Loans[[#This Row],[LoanTenureMonths]],-Loans[[#This Row],[LoanAmount]])</f>
        <v>24090.175862011714</v>
      </c>
      <c r="M589" s="30">
        <f>EDATE(Loans[[#This Row],[LoanStartDate]],Loans[[#This Row],[LoanTenureMonths]])</f>
        <v>46704</v>
      </c>
      <c r="N589" s="33">
        <f>IF(Loans[[#This Row],[LoanAmount]]=0,0,Loans[[#This Row],[CollateralValue]]/Loans[[#This Row],[LoanAmount]])</f>
        <v>1.28</v>
      </c>
      <c r="O589" t="str">
        <f>IF(Loans[[#This Row],[CollateralCoverageRatio]]&lt;1,"Undersecured","Secured")</f>
        <v>Secured</v>
      </c>
      <c r="P589" t="str">
        <f>_xlfn.XLOOKUP(Loans[[#This Row],[BranchCode]],BranchesTbl[BranchCode],BranchesTbl[BranchName])</f>
        <v>Naivasha</v>
      </c>
      <c r="Q589">
        <f>_xlfn.XLOOKUP(Loans[[#This Row],[CustomerID]],CustomerTbl[CustomerID],CustomerTbl[RiskScore])</f>
        <v>624</v>
      </c>
      <c r="R589" t="str">
        <f>IFERROR(INDEX(RiskTbl[Risk_Category],MATCH(Loans[[#This Row],[RiskScore]],RiskTbl[Score_Min],1)),"Unknown")</f>
        <v>Medium Risk</v>
      </c>
      <c r="S589" t="str">
        <f>IF(OR(Loans[[#This Row],[LoanStatus]]="Default",Loans[[#This Row],[LoanStatus]]="Watchlist",Loans[[#This Row],[CollateralRisk]]="Undersecured",Loans[[#This Row],[RiskCategory]]="High Risk"),"High Risk Exposure","Normal")</f>
        <v>High Risk Exposure</v>
      </c>
      <c r="T589" t="str" cm="1">
        <f t="array" ref="T589">_xlfn.IFS(
Loans[[#This Row],[LoanStatus]]="Default","Critical",
OR(Loans[[#This Row],[LoanStatus]]="Watchlist",Loans[[#This Row],[CollateralRisk]]="Undersecured",Loans[[#This Row],[RiskCategory]]="High Risk"),"High",
TRUE,"Normal"
)</f>
        <v>High</v>
      </c>
    </row>
    <row r="590" spans="1:20" x14ac:dyDescent="0.35">
      <c r="A590" t="s">
        <v>1172</v>
      </c>
      <c r="B590" t="s">
        <v>337</v>
      </c>
      <c r="C590" t="s">
        <v>270</v>
      </c>
      <c r="D590" t="s">
        <v>155</v>
      </c>
      <c r="E590" s="34">
        <v>250000</v>
      </c>
      <c r="F590" s="29">
        <v>0.20019999999999999</v>
      </c>
      <c r="G590" s="30">
        <v>44587</v>
      </c>
      <c r="H590">
        <v>48</v>
      </c>
      <c r="I590">
        <v>90</v>
      </c>
      <c r="J590" s="34">
        <v>0</v>
      </c>
      <c r="K590" t="s">
        <v>199</v>
      </c>
      <c r="L590" s="34">
        <f>PMT(Loans[[#This Row],[InterestRate]]/12,Loans[[#This Row],[LoanTenureMonths]],-Loans[[#This Row],[LoanAmount]])</f>
        <v>7610.2548136300647</v>
      </c>
      <c r="M590" s="30">
        <f>EDATE(Loans[[#This Row],[LoanStartDate]],Loans[[#This Row],[LoanTenureMonths]])</f>
        <v>46048</v>
      </c>
      <c r="N590" s="33">
        <f>IF(Loans[[#This Row],[LoanAmount]]=0,0,Loans[[#This Row],[CollateralValue]]/Loans[[#This Row],[LoanAmount]])</f>
        <v>0</v>
      </c>
      <c r="O590" t="str">
        <f>IF(Loans[[#This Row],[CollateralCoverageRatio]]&lt;1,"Undersecured","Secured")</f>
        <v>Undersecured</v>
      </c>
      <c r="P590" t="str">
        <f>_xlfn.XLOOKUP(Loans[[#This Row],[BranchCode]],BranchesTbl[BranchCode],BranchesTbl[BranchName])</f>
        <v>Nakuru</v>
      </c>
      <c r="Q590">
        <f>_xlfn.XLOOKUP(Loans[[#This Row],[CustomerID]],CustomerTbl[CustomerID],CustomerTbl[RiskScore])</f>
        <v>402</v>
      </c>
      <c r="R590" t="str">
        <f>IFERROR(INDEX(RiskTbl[Risk_Category],MATCH(Loans[[#This Row],[RiskScore]],RiskTbl[Score_Min],1)),"Unknown")</f>
        <v>High Risk</v>
      </c>
      <c r="S590" t="str">
        <f>IF(OR(Loans[[#This Row],[LoanStatus]]="Default",Loans[[#This Row],[LoanStatus]]="Watchlist",Loans[[#This Row],[CollateralRisk]]="Undersecured",Loans[[#This Row],[RiskCategory]]="High Risk"),"High Risk Exposure","Normal")</f>
        <v>High Risk Exposure</v>
      </c>
      <c r="T590" t="str" cm="1">
        <f t="array" ref="T590">_xlfn.IFS(
Loans[[#This Row],[LoanStatus]]="Default","Critical",
OR(Loans[[#This Row],[LoanStatus]]="Watchlist",Loans[[#This Row],[CollateralRisk]]="Undersecured",Loans[[#This Row],[RiskCategory]]="High Risk"),"High",
TRUE,"Normal"
)</f>
        <v>High</v>
      </c>
    </row>
    <row r="591" spans="1:20" x14ac:dyDescent="0.35">
      <c r="A591" t="s">
        <v>1173</v>
      </c>
      <c r="B591" t="s">
        <v>464</v>
      </c>
      <c r="C591" t="s">
        <v>181</v>
      </c>
      <c r="D591" t="s">
        <v>157</v>
      </c>
      <c r="E591" s="34">
        <v>80000000</v>
      </c>
      <c r="F591" s="29">
        <v>0.13150000000000001</v>
      </c>
      <c r="G591" s="30">
        <v>45602</v>
      </c>
      <c r="H591">
        <v>60</v>
      </c>
      <c r="I591">
        <v>45</v>
      </c>
      <c r="J591" s="34">
        <v>108000000</v>
      </c>
      <c r="K591" t="s">
        <v>199</v>
      </c>
      <c r="L591" s="34">
        <f>PMT(Loans[[#This Row],[InterestRate]]/12,Loans[[#This Row],[LoanTenureMonths]],-Loans[[#This Row],[LoanAmount]])</f>
        <v>1826394.6570392624</v>
      </c>
      <c r="M591" s="30">
        <f>EDATE(Loans[[#This Row],[LoanStartDate]],Loans[[#This Row],[LoanTenureMonths]])</f>
        <v>47428</v>
      </c>
      <c r="N591" s="33">
        <f>IF(Loans[[#This Row],[LoanAmount]]=0,0,Loans[[#This Row],[CollateralValue]]/Loans[[#This Row],[LoanAmount]])</f>
        <v>1.35</v>
      </c>
      <c r="O591" t="str">
        <f>IF(Loans[[#This Row],[CollateralCoverageRatio]]&lt;1,"Undersecured","Secured")</f>
        <v>Secured</v>
      </c>
      <c r="P591" t="str">
        <f>_xlfn.XLOOKUP(Loans[[#This Row],[BranchCode]],BranchesTbl[BranchCode],BranchesTbl[BranchName])</f>
        <v>Kitale</v>
      </c>
      <c r="Q591">
        <f>_xlfn.XLOOKUP(Loans[[#This Row],[CustomerID]],CustomerTbl[CustomerID],CustomerTbl[RiskScore])</f>
        <v>306</v>
      </c>
      <c r="R591" t="str">
        <f>IFERROR(INDEX(RiskTbl[Risk_Category],MATCH(Loans[[#This Row],[RiskScore]],RiskTbl[Score_Min],1)),"Unknown")</f>
        <v>High Risk</v>
      </c>
      <c r="S591" t="str">
        <f>IF(OR(Loans[[#This Row],[LoanStatus]]="Default",Loans[[#This Row],[LoanStatus]]="Watchlist",Loans[[#This Row],[CollateralRisk]]="Undersecured",Loans[[#This Row],[RiskCategory]]="High Risk"),"High Risk Exposure","Normal")</f>
        <v>High Risk Exposure</v>
      </c>
      <c r="T591" t="str" cm="1">
        <f t="array" ref="T591">_xlfn.IFS(
Loans[[#This Row],[LoanStatus]]="Default","Critical",
OR(Loans[[#This Row],[LoanStatus]]="Watchlist",Loans[[#This Row],[CollateralRisk]]="Undersecured",Loans[[#This Row],[RiskCategory]]="High Risk"),"High",
TRUE,"Normal"
)</f>
        <v>High</v>
      </c>
    </row>
    <row r="592" spans="1:20" x14ac:dyDescent="0.35">
      <c r="A592" t="s">
        <v>1174</v>
      </c>
      <c r="B592" t="s">
        <v>1019</v>
      </c>
      <c r="C592" t="s">
        <v>196</v>
      </c>
      <c r="D592" t="s">
        <v>155</v>
      </c>
      <c r="E592" s="34">
        <v>1000000</v>
      </c>
      <c r="F592" s="29">
        <v>0.22559999999999999</v>
      </c>
      <c r="G592" s="30">
        <v>45426</v>
      </c>
      <c r="H592">
        <v>48</v>
      </c>
      <c r="I592">
        <v>20</v>
      </c>
      <c r="J592" s="34">
        <v>0</v>
      </c>
      <c r="K592" t="s">
        <v>171</v>
      </c>
      <c r="L592" s="34">
        <f>PMT(Loans[[#This Row],[InterestRate]]/12,Loans[[#This Row],[LoanTenureMonths]],-Loans[[#This Row],[LoanAmount]])</f>
        <v>31810.883549072907</v>
      </c>
      <c r="M592" s="30">
        <f>EDATE(Loans[[#This Row],[LoanStartDate]],Loans[[#This Row],[LoanTenureMonths]])</f>
        <v>46887</v>
      </c>
      <c r="N592" s="33">
        <f>IF(Loans[[#This Row],[LoanAmount]]=0,0,Loans[[#This Row],[CollateralValue]]/Loans[[#This Row],[LoanAmount]])</f>
        <v>0</v>
      </c>
      <c r="O592" t="str">
        <f>IF(Loans[[#This Row],[CollateralCoverageRatio]]&lt;1,"Undersecured","Secured")</f>
        <v>Undersecured</v>
      </c>
      <c r="P592" t="str">
        <f>_xlfn.XLOOKUP(Loans[[#This Row],[BranchCode]],BranchesTbl[BranchCode],BranchesTbl[BranchName])</f>
        <v>Karen</v>
      </c>
      <c r="Q592">
        <f>_xlfn.XLOOKUP(Loans[[#This Row],[CustomerID]],CustomerTbl[CustomerID],CustomerTbl[RiskScore])</f>
        <v>550</v>
      </c>
      <c r="R592" t="str">
        <f>IFERROR(INDEX(RiskTbl[Risk_Category],MATCH(Loans[[#This Row],[RiskScore]],RiskTbl[Score_Min],1)),"Unknown")</f>
        <v>High Risk</v>
      </c>
      <c r="S592" t="str">
        <f>IF(OR(Loans[[#This Row],[LoanStatus]]="Default",Loans[[#This Row],[LoanStatus]]="Watchlist",Loans[[#This Row],[CollateralRisk]]="Undersecured",Loans[[#This Row],[RiskCategory]]="High Risk"),"High Risk Exposure","Normal")</f>
        <v>High Risk Exposure</v>
      </c>
      <c r="T592" t="str" cm="1">
        <f t="array" ref="T592">_xlfn.IFS(
Loans[[#This Row],[LoanStatus]]="Default","Critical",
OR(Loans[[#This Row],[LoanStatus]]="Watchlist",Loans[[#This Row],[CollateralRisk]]="Undersecured",Loans[[#This Row],[RiskCategory]]="High Risk"),"High",
TRUE,"Normal"
)</f>
        <v>High</v>
      </c>
    </row>
    <row r="593" spans="1:20" x14ac:dyDescent="0.35">
      <c r="A593" t="s">
        <v>1175</v>
      </c>
      <c r="B593" t="s">
        <v>1176</v>
      </c>
      <c r="C593" t="s">
        <v>190</v>
      </c>
      <c r="D593" t="s">
        <v>157</v>
      </c>
      <c r="E593" s="34">
        <v>25000000</v>
      </c>
      <c r="F593" s="29">
        <v>0.12379999999999999</v>
      </c>
      <c r="G593" s="30">
        <v>45615</v>
      </c>
      <c r="H593">
        <v>60</v>
      </c>
      <c r="I593">
        <v>120</v>
      </c>
      <c r="J593" s="34">
        <v>15000000</v>
      </c>
      <c r="K593" t="s">
        <v>178</v>
      </c>
      <c r="L593" s="34">
        <f>PMT(Loans[[#This Row],[InterestRate]]/12,Loans[[#This Row],[LoanTenureMonths]],-Loans[[#This Row],[LoanAmount]])</f>
        <v>560923.75775654276</v>
      </c>
      <c r="M593" s="30">
        <f>EDATE(Loans[[#This Row],[LoanStartDate]],Loans[[#This Row],[LoanTenureMonths]])</f>
        <v>47441</v>
      </c>
      <c r="N593" s="33">
        <f>IF(Loans[[#This Row],[LoanAmount]]=0,0,Loans[[#This Row],[CollateralValue]]/Loans[[#This Row],[LoanAmount]])</f>
        <v>0.6</v>
      </c>
      <c r="O593" t="str">
        <f>IF(Loans[[#This Row],[CollateralCoverageRatio]]&lt;1,"Undersecured","Secured")</f>
        <v>Undersecured</v>
      </c>
      <c r="P593" t="str">
        <f>_xlfn.XLOOKUP(Loans[[#This Row],[BranchCode]],BranchesTbl[BranchCode],BranchesTbl[BranchName])</f>
        <v>Nyeri</v>
      </c>
      <c r="Q593">
        <f>_xlfn.XLOOKUP(Loans[[#This Row],[CustomerID]],CustomerTbl[CustomerID],CustomerTbl[RiskScore])</f>
        <v>436</v>
      </c>
      <c r="R593" t="str">
        <f>IFERROR(INDEX(RiskTbl[Risk_Category],MATCH(Loans[[#This Row],[RiskScore]],RiskTbl[Score_Min],1)),"Unknown")</f>
        <v>High Risk</v>
      </c>
      <c r="S593" t="str">
        <f>IF(OR(Loans[[#This Row],[LoanStatus]]="Default",Loans[[#This Row],[LoanStatus]]="Watchlist",Loans[[#This Row],[CollateralRisk]]="Undersecured",Loans[[#This Row],[RiskCategory]]="High Risk"),"High Risk Exposure","Normal")</f>
        <v>High Risk Exposure</v>
      </c>
      <c r="T593" t="str" cm="1">
        <f t="array" ref="T593">_xlfn.IFS(
Loans[[#This Row],[LoanStatus]]="Default","Critical",
OR(Loans[[#This Row],[LoanStatus]]="Watchlist",Loans[[#This Row],[CollateralRisk]]="Undersecured",Loans[[#This Row],[RiskCategory]]="High Risk"),"High",
TRUE,"Normal"
)</f>
        <v>Critical</v>
      </c>
    </row>
    <row r="594" spans="1:20" x14ac:dyDescent="0.35">
      <c r="A594" t="s">
        <v>1177</v>
      </c>
      <c r="B594" t="s">
        <v>792</v>
      </c>
      <c r="C594" t="s">
        <v>174</v>
      </c>
      <c r="D594" t="s">
        <v>158</v>
      </c>
      <c r="E594" s="34">
        <v>6000000</v>
      </c>
      <c r="F594" s="29">
        <v>0.1205</v>
      </c>
      <c r="G594" s="30">
        <v>45648</v>
      </c>
      <c r="H594">
        <v>24</v>
      </c>
      <c r="I594">
        <v>0</v>
      </c>
      <c r="J594" s="34">
        <v>6960000</v>
      </c>
      <c r="K594" t="s">
        <v>171</v>
      </c>
      <c r="L594" s="34">
        <f>PMT(Loans[[#This Row],[InterestRate]]/12,Loans[[#This Row],[LoanTenureMonths]],-Loans[[#This Row],[LoanAmount]])</f>
        <v>282580.95166663994</v>
      </c>
      <c r="M594" s="30">
        <f>EDATE(Loans[[#This Row],[LoanStartDate]],Loans[[#This Row],[LoanTenureMonths]])</f>
        <v>46378</v>
      </c>
      <c r="N594" s="33">
        <f>IF(Loans[[#This Row],[LoanAmount]]=0,0,Loans[[#This Row],[CollateralValue]]/Loans[[#This Row],[LoanAmount]])</f>
        <v>1.1599999999999999</v>
      </c>
      <c r="O594" t="str">
        <f>IF(Loans[[#This Row],[CollateralCoverageRatio]]&lt;1,"Undersecured","Secured")</f>
        <v>Secured</v>
      </c>
      <c r="P594" t="str">
        <f>_xlfn.XLOOKUP(Loans[[#This Row],[BranchCode]],BranchesTbl[BranchCode],BranchesTbl[BranchName])</f>
        <v>Westlands</v>
      </c>
      <c r="Q594">
        <f>_xlfn.XLOOKUP(Loans[[#This Row],[CustomerID]],CustomerTbl[CustomerID],CustomerTbl[RiskScore])</f>
        <v>664</v>
      </c>
      <c r="R594" t="str">
        <f>IFERROR(INDEX(RiskTbl[Risk_Category],MATCH(Loans[[#This Row],[RiskScore]],RiskTbl[Score_Min],1)),"Unknown")</f>
        <v>Medium Risk</v>
      </c>
      <c r="S594" t="str">
        <f>IF(OR(Loans[[#This Row],[LoanStatus]]="Default",Loans[[#This Row],[LoanStatus]]="Watchlist",Loans[[#This Row],[CollateralRisk]]="Undersecured",Loans[[#This Row],[RiskCategory]]="High Risk"),"High Risk Exposure","Normal")</f>
        <v>Normal</v>
      </c>
      <c r="T594" t="str" cm="1">
        <f t="array" ref="T594">_xlfn.IFS(
Loans[[#This Row],[LoanStatus]]="Default","Critical",
OR(Loans[[#This Row],[LoanStatus]]="Watchlist",Loans[[#This Row],[CollateralRisk]]="Undersecured",Loans[[#This Row],[RiskCategory]]="High Risk"),"High",
TRUE,"Normal"
)</f>
        <v>Normal</v>
      </c>
    </row>
    <row r="595" spans="1:20" x14ac:dyDescent="0.35">
      <c r="A595" t="s">
        <v>1178</v>
      </c>
      <c r="B595" t="s">
        <v>517</v>
      </c>
      <c r="C595" t="s">
        <v>177</v>
      </c>
      <c r="D595" t="s">
        <v>155</v>
      </c>
      <c r="E595" s="34">
        <v>500000</v>
      </c>
      <c r="F595" s="29">
        <v>0.24990000000000001</v>
      </c>
      <c r="G595" s="30">
        <v>44951</v>
      </c>
      <c r="H595">
        <v>36</v>
      </c>
      <c r="I595">
        <v>120</v>
      </c>
      <c r="J595" s="34">
        <v>0</v>
      </c>
      <c r="K595" t="s">
        <v>178</v>
      </c>
      <c r="L595" s="34">
        <f>PMT(Loans[[#This Row],[InterestRate]]/12,Loans[[#This Row],[LoanTenureMonths]],-Loans[[#This Row],[LoanAmount]])</f>
        <v>19877.268608646733</v>
      </c>
      <c r="M595" s="30">
        <f>EDATE(Loans[[#This Row],[LoanStartDate]],Loans[[#This Row],[LoanTenureMonths]])</f>
        <v>46047</v>
      </c>
      <c r="N595" s="33">
        <f>IF(Loans[[#This Row],[LoanAmount]]=0,0,Loans[[#This Row],[CollateralValue]]/Loans[[#This Row],[LoanAmount]])</f>
        <v>0</v>
      </c>
      <c r="O595" t="str">
        <f>IF(Loans[[#This Row],[CollateralCoverageRatio]]&lt;1,"Undersecured","Secured")</f>
        <v>Undersecured</v>
      </c>
      <c r="P595" t="str">
        <f>_xlfn.XLOOKUP(Loans[[#This Row],[BranchCode]],BranchesTbl[BranchCode],BranchesTbl[BranchName])</f>
        <v>Naivasha</v>
      </c>
      <c r="Q595">
        <f>_xlfn.XLOOKUP(Loans[[#This Row],[CustomerID]],CustomerTbl[CustomerID],CustomerTbl[RiskScore])</f>
        <v>474</v>
      </c>
      <c r="R595" t="str">
        <f>IFERROR(INDEX(RiskTbl[Risk_Category],MATCH(Loans[[#This Row],[RiskScore]],RiskTbl[Score_Min],1)),"Unknown")</f>
        <v>High Risk</v>
      </c>
      <c r="S595" t="str">
        <f>IF(OR(Loans[[#This Row],[LoanStatus]]="Default",Loans[[#This Row],[LoanStatus]]="Watchlist",Loans[[#This Row],[CollateralRisk]]="Undersecured",Loans[[#This Row],[RiskCategory]]="High Risk"),"High Risk Exposure","Normal")</f>
        <v>High Risk Exposure</v>
      </c>
      <c r="T595" t="str" cm="1">
        <f t="array" ref="T595">_xlfn.IFS(
Loans[[#This Row],[LoanStatus]]="Default","Critical",
OR(Loans[[#This Row],[LoanStatus]]="Watchlist",Loans[[#This Row],[CollateralRisk]]="Undersecured",Loans[[#This Row],[RiskCategory]]="High Risk"),"High",
TRUE,"Normal"
)</f>
        <v>Critical</v>
      </c>
    </row>
    <row r="596" spans="1:20" x14ac:dyDescent="0.35">
      <c r="A596" t="s">
        <v>1179</v>
      </c>
      <c r="B596" t="s">
        <v>1180</v>
      </c>
      <c r="C596" t="s">
        <v>232</v>
      </c>
      <c r="D596" t="s">
        <v>157</v>
      </c>
      <c r="E596" s="34">
        <v>6000000</v>
      </c>
      <c r="F596" s="29">
        <v>0.12470000000000001</v>
      </c>
      <c r="G596" s="30">
        <v>45922</v>
      </c>
      <c r="H596">
        <v>60</v>
      </c>
      <c r="I596">
        <v>0</v>
      </c>
      <c r="J596" s="34">
        <v>3600000</v>
      </c>
      <c r="K596" t="s">
        <v>171</v>
      </c>
      <c r="L596" s="34">
        <f>PMT(Loans[[#This Row],[InterestRate]]/12,Loans[[#This Row],[LoanTenureMonths]],-Loans[[#This Row],[LoanAmount]])</f>
        <v>134896.09418515093</v>
      </c>
      <c r="M596" s="30">
        <f>EDATE(Loans[[#This Row],[LoanStartDate]],Loans[[#This Row],[LoanTenureMonths]])</f>
        <v>47748</v>
      </c>
      <c r="N596" s="33">
        <f>IF(Loans[[#This Row],[LoanAmount]]=0,0,Loans[[#This Row],[CollateralValue]]/Loans[[#This Row],[LoanAmount]])</f>
        <v>0.6</v>
      </c>
      <c r="O596" t="str">
        <f>IF(Loans[[#This Row],[CollateralCoverageRatio]]&lt;1,"Undersecured","Secured")</f>
        <v>Undersecured</v>
      </c>
      <c r="P596" t="str">
        <f>_xlfn.XLOOKUP(Loans[[#This Row],[BranchCode]],BranchesTbl[BranchCode],BranchesTbl[BranchName])</f>
        <v>Upper Hill</v>
      </c>
      <c r="Q596">
        <f>_xlfn.XLOOKUP(Loans[[#This Row],[CustomerID]],CustomerTbl[CustomerID],CustomerTbl[RiskScore])</f>
        <v>633</v>
      </c>
      <c r="R596" t="str">
        <f>IFERROR(INDEX(RiskTbl[Risk_Category],MATCH(Loans[[#This Row],[RiskScore]],RiskTbl[Score_Min],1)),"Unknown")</f>
        <v>Medium Risk</v>
      </c>
      <c r="S596" t="str">
        <f>IF(OR(Loans[[#This Row],[LoanStatus]]="Default",Loans[[#This Row],[LoanStatus]]="Watchlist",Loans[[#This Row],[CollateralRisk]]="Undersecured",Loans[[#This Row],[RiskCategory]]="High Risk"),"High Risk Exposure","Normal")</f>
        <v>High Risk Exposure</v>
      </c>
      <c r="T596" t="str" cm="1">
        <f t="array" ref="T596">_xlfn.IFS(
Loans[[#This Row],[LoanStatus]]="Default","Critical",
OR(Loans[[#This Row],[LoanStatus]]="Watchlist",Loans[[#This Row],[CollateralRisk]]="Undersecured",Loans[[#This Row],[RiskCategory]]="High Risk"),"High",
TRUE,"Normal"
)</f>
        <v>High</v>
      </c>
    </row>
    <row r="597" spans="1:20" x14ac:dyDescent="0.35">
      <c r="A597" t="s">
        <v>1181</v>
      </c>
      <c r="B597" t="s">
        <v>462</v>
      </c>
      <c r="C597" t="s">
        <v>219</v>
      </c>
      <c r="D597" t="s">
        <v>155</v>
      </c>
      <c r="E597" s="34">
        <v>100000</v>
      </c>
      <c r="F597" s="29">
        <v>0.2225</v>
      </c>
      <c r="G597" s="30">
        <v>45200</v>
      </c>
      <c r="H597">
        <v>48</v>
      </c>
      <c r="I597">
        <v>0</v>
      </c>
      <c r="J597" s="34">
        <v>0</v>
      </c>
      <c r="K597" t="s">
        <v>171</v>
      </c>
      <c r="L597" s="34">
        <f>PMT(Loans[[#This Row],[InterestRate]]/12,Loans[[#This Row],[LoanTenureMonths]],-Loans[[#This Row],[LoanAmount]])</f>
        <v>3164.1958061766704</v>
      </c>
      <c r="M597" s="30">
        <f>EDATE(Loans[[#This Row],[LoanStartDate]],Loans[[#This Row],[LoanTenureMonths]])</f>
        <v>46661</v>
      </c>
      <c r="N597" s="33">
        <f>IF(Loans[[#This Row],[LoanAmount]]=0,0,Loans[[#This Row],[CollateralValue]]/Loans[[#This Row],[LoanAmount]])</f>
        <v>0</v>
      </c>
      <c r="O597" t="str">
        <f>IF(Loans[[#This Row],[CollateralCoverageRatio]]&lt;1,"Undersecured","Secured")</f>
        <v>Undersecured</v>
      </c>
      <c r="P597" t="str">
        <f>_xlfn.XLOOKUP(Loans[[#This Row],[BranchCode]],BranchesTbl[BranchCode],BranchesTbl[BranchName])</f>
        <v>Meru</v>
      </c>
      <c r="Q597">
        <f>_xlfn.XLOOKUP(Loans[[#This Row],[CustomerID]],CustomerTbl[CustomerID],CustomerTbl[RiskScore])</f>
        <v>809</v>
      </c>
      <c r="R597" t="str">
        <f>IFERROR(INDEX(RiskTbl[Risk_Category],MATCH(Loans[[#This Row],[RiskScore]],RiskTbl[Score_Min],1)),"Unknown")</f>
        <v>Prime</v>
      </c>
      <c r="S597" t="str">
        <f>IF(OR(Loans[[#This Row],[LoanStatus]]="Default",Loans[[#This Row],[LoanStatus]]="Watchlist",Loans[[#This Row],[CollateralRisk]]="Undersecured",Loans[[#This Row],[RiskCategory]]="High Risk"),"High Risk Exposure","Normal")</f>
        <v>High Risk Exposure</v>
      </c>
      <c r="T597" t="str" cm="1">
        <f t="array" ref="T597">_xlfn.IFS(
Loans[[#This Row],[LoanStatus]]="Default","Critical",
OR(Loans[[#This Row],[LoanStatus]]="Watchlist",Loans[[#This Row],[CollateralRisk]]="Undersecured",Loans[[#This Row],[RiskCategory]]="High Risk"),"High",
TRUE,"Normal"
)</f>
        <v>High</v>
      </c>
    </row>
    <row r="598" spans="1:20" x14ac:dyDescent="0.35">
      <c r="A598" t="s">
        <v>1182</v>
      </c>
      <c r="B598" t="s">
        <v>208</v>
      </c>
      <c r="C598" t="s">
        <v>187</v>
      </c>
      <c r="D598" t="s">
        <v>155</v>
      </c>
      <c r="E598" s="34">
        <v>500000</v>
      </c>
      <c r="F598" s="29">
        <v>0.20530000000000001</v>
      </c>
      <c r="G598" s="30">
        <v>43910</v>
      </c>
      <c r="H598">
        <v>24</v>
      </c>
      <c r="I598">
        <v>10</v>
      </c>
      <c r="J598" s="34">
        <v>0</v>
      </c>
      <c r="K598" t="s">
        <v>171</v>
      </c>
      <c r="L598" s="34">
        <f>PMT(Loans[[#This Row],[InterestRate]]/12,Loans[[#This Row],[LoanTenureMonths]],-Loans[[#This Row],[LoanAmount]])</f>
        <v>25577.545530925472</v>
      </c>
      <c r="M598" s="30">
        <f>EDATE(Loans[[#This Row],[LoanStartDate]],Loans[[#This Row],[LoanTenureMonths]])</f>
        <v>44640</v>
      </c>
      <c r="N598" s="33">
        <f>IF(Loans[[#This Row],[LoanAmount]]=0,0,Loans[[#This Row],[CollateralValue]]/Loans[[#This Row],[LoanAmount]])</f>
        <v>0</v>
      </c>
      <c r="O598" t="str">
        <f>IF(Loans[[#This Row],[CollateralCoverageRatio]]&lt;1,"Undersecured","Secured")</f>
        <v>Undersecured</v>
      </c>
      <c r="P598" t="str">
        <f>_xlfn.XLOOKUP(Loans[[#This Row],[BranchCode]],BranchesTbl[BranchCode],BranchesTbl[BranchName])</f>
        <v>Eldoret</v>
      </c>
      <c r="Q598">
        <f>_xlfn.XLOOKUP(Loans[[#This Row],[CustomerID]],CustomerTbl[CustomerID],CustomerTbl[RiskScore])</f>
        <v>307</v>
      </c>
      <c r="R598" t="str">
        <f>IFERROR(INDEX(RiskTbl[Risk_Category],MATCH(Loans[[#This Row],[RiskScore]],RiskTbl[Score_Min],1)),"Unknown")</f>
        <v>High Risk</v>
      </c>
      <c r="S598" t="str">
        <f>IF(OR(Loans[[#This Row],[LoanStatus]]="Default",Loans[[#This Row],[LoanStatus]]="Watchlist",Loans[[#This Row],[CollateralRisk]]="Undersecured",Loans[[#This Row],[RiskCategory]]="High Risk"),"High Risk Exposure","Normal")</f>
        <v>High Risk Exposure</v>
      </c>
      <c r="T598" t="str" cm="1">
        <f t="array" ref="T598">_xlfn.IFS(
Loans[[#This Row],[LoanStatus]]="Default","Critical",
OR(Loans[[#This Row],[LoanStatus]]="Watchlist",Loans[[#This Row],[CollateralRisk]]="Undersecured",Loans[[#This Row],[RiskCategory]]="High Risk"),"High",
TRUE,"Normal"
)</f>
        <v>High</v>
      </c>
    </row>
    <row r="599" spans="1:20" x14ac:dyDescent="0.35">
      <c r="A599" t="s">
        <v>1183</v>
      </c>
      <c r="B599" t="s">
        <v>1184</v>
      </c>
      <c r="C599" t="s">
        <v>193</v>
      </c>
      <c r="D599" t="s">
        <v>158</v>
      </c>
      <c r="E599" s="34">
        <v>3000000</v>
      </c>
      <c r="F599" s="29">
        <v>0.1605</v>
      </c>
      <c r="G599" s="30">
        <v>45643</v>
      </c>
      <c r="H599">
        <v>48</v>
      </c>
      <c r="I599">
        <v>0</v>
      </c>
      <c r="J599" s="34">
        <v>4050000</v>
      </c>
      <c r="K599" t="s">
        <v>171</v>
      </c>
      <c r="L599" s="34">
        <f>PMT(Loans[[#This Row],[InterestRate]]/12,Loans[[#This Row],[LoanTenureMonths]],-Loans[[#This Row],[LoanAmount]])</f>
        <v>85097.684886746254</v>
      </c>
      <c r="M599" s="30">
        <f>EDATE(Loans[[#This Row],[LoanStartDate]],Loans[[#This Row],[LoanTenureMonths]])</f>
        <v>47104</v>
      </c>
      <c r="N599" s="33">
        <f>IF(Loans[[#This Row],[LoanAmount]]=0,0,Loans[[#This Row],[CollateralValue]]/Loans[[#This Row],[LoanAmount]])</f>
        <v>1.35</v>
      </c>
      <c r="O599" t="str">
        <f>IF(Loans[[#This Row],[CollateralCoverageRatio]]&lt;1,"Undersecured","Secured")</f>
        <v>Secured</v>
      </c>
      <c r="P599" t="str">
        <f>_xlfn.XLOOKUP(Loans[[#This Row],[BranchCode]],BranchesTbl[BranchCode],BranchesTbl[BranchName])</f>
        <v>Mombasa</v>
      </c>
      <c r="Q599">
        <f>_xlfn.XLOOKUP(Loans[[#This Row],[CustomerID]],CustomerTbl[CustomerID],CustomerTbl[RiskScore])</f>
        <v>568</v>
      </c>
      <c r="R599" t="str">
        <f>IFERROR(INDEX(RiskTbl[Risk_Category],MATCH(Loans[[#This Row],[RiskScore]],RiskTbl[Score_Min],1)),"Unknown")</f>
        <v>High Risk</v>
      </c>
      <c r="S599" t="str">
        <f>IF(OR(Loans[[#This Row],[LoanStatus]]="Default",Loans[[#This Row],[LoanStatus]]="Watchlist",Loans[[#This Row],[CollateralRisk]]="Undersecured",Loans[[#This Row],[RiskCategory]]="High Risk"),"High Risk Exposure","Normal")</f>
        <v>High Risk Exposure</v>
      </c>
      <c r="T599" t="str" cm="1">
        <f t="array" ref="T599">_xlfn.IFS(
Loans[[#This Row],[LoanStatus]]="Default","Critical",
OR(Loans[[#This Row],[LoanStatus]]="Watchlist",Loans[[#This Row],[CollateralRisk]]="Undersecured",Loans[[#This Row],[RiskCategory]]="High Risk"),"High",
TRUE,"Normal"
)</f>
        <v>High</v>
      </c>
    </row>
    <row r="600" spans="1:20" x14ac:dyDescent="0.35">
      <c r="A600" t="s">
        <v>1185</v>
      </c>
      <c r="B600" t="s">
        <v>845</v>
      </c>
      <c r="C600" t="s">
        <v>184</v>
      </c>
      <c r="D600" t="s">
        <v>156</v>
      </c>
      <c r="E600" s="34">
        <v>25000000</v>
      </c>
      <c r="F600" s="29">
        <v>0.1797</v>
      </c>
      <c r="G600" s="30">
        <v>45631</v>
      </c>
      <c r="H600">
        <v>60</v>
      </c>
      <c r="I600">
        <v>90</v>
      </c>
      <c r="J600" s="34">
        <v>13750000</v>
      </c>
      <c r="K600" t="s">
        <v>199</v>
      </c>
      <c r="L600" s="34">
        <f>PMT(Loans[[#This Row],[InterestRate]]/12,Loans[[#This Row],[LoanTenureMonths]],-Loans[[#This Row],[LoanAmount]])</f>
        <v>634427.75771980139</v>
      </c>
      <c r="M600" s="30">
        <f>EDATE(Loans[[#This Row],[LoanStartDate]],Loans[[#This Row],[LoanTenureMonths]])</f>
        <v>47457</v>
      </c>
      <c r="N600" s="33">
        <f>IF(Loans[[#This Row],[LoanAmount]]=0,0,Loans[[#This Row],[CollateralValue]]/Loans[[#This Row],[LoanAmount]])</f>
        <v>0.55000000000000004</v>
      </c>
      <c r="O600" t="str">
        <f>IF(Loans[[#This Row],[CollateralCoverageRatio]]&lt;1,"Undersecured","Secured")</f>
        <v>Undersecured</v>
      </c>
      <c r="P600" t="str">
        <f>_xlfn.XLOOKUP(Loans[[#This Row],[BranchCode]],BranchesTbl[BranchCode],BranchesTbl[BranchName])</f>
        <v>Kisumu</v>
      </c>
      <c r="Q600">
        <f>_xlfn.XLOOKUP(Loans[[#This Row],[CustomerID]],CustomerTbl[CustomerID],CustomerTbl[RiskScore])</f>
        <v>350</v>
      </c>
      <c r="R600" t="str">
        <f>IFERROR(INDEX(RiskTbl[Risk_Category],MATCH(Loans[[#This Row],[RiskScore]],RiskTbl[Score_Min],1)),"Unknown")</f>
        <v>High Risk</v>
      </c>
      <c r="S600" t="str">
        <f>IF(OR(Loans[[#This Row],[LoanStatus]]="Default",Loans[[#This Row],[LoanStatus]]="Watchlist",Loans[[#This Row],[CollateralRisk]]="Undersecured",Loans[[#This Row],[RiskCategory]]="High Risk"),"High Risk Exposure","Normal")</f>
        <v>High Risk Exposure</v>
      </c>
      <c r="T600" t="str" cm="1">
        <f t="array" ref="T600">_xlfn.IFS(
Loans[[#This Row],[LoanStatus]]="Default","Critical",
OR(Loans[[#This Row],[LoanStatus]]="Watchlist",Loans[[#This Row],[CollateralRisk]]="Undersecured",Loans[[#This Row],[RiskCategory]]="High Risk"),"High",
TRUE,"Normal"
)</f>
        <v>High</v>
      </c>
    </row>
    <row r="601" spans="1:20" x14ac:dyDescent="0.35">
      <c r="A601" t="s">
        <v>1186</v>
      </c>
      <c r="B601" t="s">
        <v>571</v>
      </c>
      <c r="C601" t="s">
        <v>270</v>
      </c>
      <c r="D601" t="s">
        <v>156</v>
      </c>
      <c r="E601" s="34">
        <v>6000000</v>
      </c>
      <c r="F601" s="29">
        <v>0.14080000000000001</v>
      </c>
      <c r="G601" s="30">
        <v>45654</v>
      </c>
      <c r="H601">
        <v>48</v>
      </c>
      <c r="I601">
        <v>0</v>
      </c>
      <c r="J601" s="34">
        <v>4020000</v>
      </c>
      <c r="K601" t="s">
        <v>171</v>
      </c>
      <c r="L601" s="34">
        <f>PMT(Loans[[#This Row],[InterestRate]]/12,Loans[[#This Row],[LoanTenureMonths]],-Loans[[#This Row],[LoanAmount]])</f>
        <v>164199.74349272219</v>
      </c>
      <c r="M601" s="30">
        <f>EDATE(Loans[[#This Row],[LoanStartDate]],Loans[[#This Row],[LoanTenureMonths]])</f>
        <v>47115</v>
      </c>
      <c r="N601" s="33">
        <f>IF(Loans[[#This Row],[LoanAmount]]=0,0,Loans[[#This Row],[CollateralValue]]/Loans[[#This Row],[LoanAmount]])</f>
        <v>0.67</v>
      </c>
      <c r="O601" t="str">
        <f>IF(Loans[[#This Row],[CollateralCoverageRatio]]&lt;1,"Undersecured","Secured")</f>
        <v>Undersecured</v>
      </c>
      <c r="P601" t="str">
        <f>_xlfn.XLOOKUP(Loans[[#This Row],[BranchCode]],BranchesTbl[BranchCode],BranchesTbl[BranchName])</f>
        <v>Nakuru</v>
      </c>
      <c r="Q601">
        <f>_xlfn.XLOOKUP(Loans[[#This Row],[CustomerID]],CustomerTbl[CustomerID],CustomerTbl[RiskScore])</f>
        <v>544</v>
      </c>
      <c r="R601" t="str">
        <f>IFERROR(INDEX(RiskTbl[Risk_Category],MATCH(Loans[[#This Row],[RiskScore]],RiskTbl[Score_Min],1)),"Unknown")</f>
        <v>High Risk</v>
      </c>
      <c r="S601" t="str">
        <f>IF(OR(Loans[[#This Row],[LoanStatus]]="Default",Loans[[#This Row],[LoanStatus]]="Watchlist",Loans[[#This Row],[CollateralRisk]]="Undersecured",Loans[[#This Row],[RiskCategory]]="High Risk"),"High Risk Exposure","Normal")</f>
        <v>High Risk Exposure</v>
      </c>
      <c r="T601" t="str" cm="1">
        <f t="array" ref="T601">_xlfn.IFS(
Loans[[#This Row],[LoanStatus]]="Default","Critical",
OR(Loans[[#This Row],[LoanStatus]]="Watchlist",Loans[[#This Row],[CollateralRisk]]="Undersecured",Loans[[#This Row],[RiskCategory]]="High Risk"),"High",
TRUE,"Normal"
)</f>
        <v>High</v>
      </c>
    </row>
    <row r="602" spans="1:20" x14ac:dyDescent="0.35">
      <c r="A602" t="s">
        <v>1187</v>
      </c>
      <c r="B602" t="s">
        <v>614</v>
      </c>
      <c r="C602" t="s">
        <v>239</v>
      </c>
      <c r="D602" t="s">
        <v>158</v>
      </c>
      <c r="E602" s="34">
        <v>500000</v>
      </c>
      <c r="F602" s="29">
        <v>0.12559999999999999</v>
      </c>
      <c r="G602" s="30">
        <v>44467</v>
      </c>
      <c r="H602">
        <v>72</v>
      </c>
      <c r="I602">
        <v>0</v>
      </c>
      <c r="J602" s="34">
        <v>410000</v>
      </c>
      <c r="K602" t="s">
        <v>171</v>
      </c>
      <c r="L602" s="34">
        <f>PMT(Loans[[#This Row],[InterestRate]]/12,Loans[[#This Row],[LoanTenureMonths]],-Loans[[#This Row],[LoanAmount]])</f>
        <v>9921.3138127792718</v>
      </c>
      <c r="M602" s="30">
        <f>EDATE(Loans[[#This Row],[LoanStartDate]],Loans[[#This Row],[LoanTenureMonths]])</f>
        <v>46658</v>
      </c>
      <c r="N602" s="33">
        <f>IF(Loans[[#This Row],[LoanAmount]]=0,0,Loans[[#This Row],[CollateralValue]]/Loans[[#This Row],[LoanAmount]])</f>
        <v>0.82</v>
      </c>
      <c r="O602" t="str">
        <f>IF(Loans[[#This Row],[CollateralCoverageRatio]]&lt;1,"Undersecured","Secured")</f>
        <v>Undersecured</v>
      </c>
      <c r="P602" t="str">
        <f>_xlfn.XLOOKUP(Loans[[#This Row],[BranchCode]],BranchesTbl[BranchCode],BranchesTbl[BranchName])</f>
        <v>Machakos</v>
      </c>
      <c r="Q602">
        <f>_xlfn.XLOOKUP(Loans[[#This Row],[CustomerID]],CustomerTbl[CustomerID],CustomerTbl[RiskScore])</f>
        <v>834</v>
      </c>
      <c r="R602" t="str">
        <f>IFERROR(INDEX(RiskTbl[Risk_Category],MATCH(Loans[[#This Row],[RiskScore]],RiskTbl[Score_Min],1)),"Unknown")</f>
        <v>Prime</v>
      </c>
      <c r="S602" t="str">
        <f>IF(OR(Loans[[#This Row],[LoanStatus]]="Default",Loans[[#This Row],[LoanStatus]]="Watchlist",Loans[[#This Row],[CollateralRisk]]="Undersecured",Loans[[#This Row],[RiskCategory]]="High Risk"),"High Risk Exposure","Normal")</f>
        <v>High Risk Exposure</v>
      </c>
      <c r="T602" t="str" cm="1">
        <f t="array" ref="T602">_xlfn.IFS(
Loans[[#This Row],[LoanStatus]]="Default","Critical",
OR(Loans[[#This Row],[LoanStatus]]="Watchlist",Loans[[#This Row],[CollateralRisk]]="Undersecured",Loans[[#This Row],[RiskCategory]]="High Risk"),"High",
TRUE,"Normal"
)</f>
        <v>High</v>
      </c>
    </row>
    <row r="603" spans="1:20" x14ac:dyDescent="0.35">
      <c r="A603" t="s">
        <v>1188</v>
      </c>
      <c r="B603" t="s">
        <v>1189</v>
      </c>
      <c r="C603" t="s">
        <v>177</v>
      </c>
      <c r="D603" t="s">
        <v>157</v>
      </c>
      <c r="E603" s="34">
        <v>25000000</v>
      </c>
      <c r="F603" s="29">
        <v>9.6100000000000005E-2</v>
      </c>
      <c r="G603" s="30">
        <v>43847</v>
      </c>
      <c r="H603">
        <v>36</v>
      </c>
      <c r="I603">
        <v>120</v>
      </c>
      <c r="J603" s="34">
        <v>30500000</v>
      </c>
      <c r="K603" t="s">
        <v>178</v>
      </c>
      <c r="L603" s="34">
        <f>PMT(Loans[[#This Row],[InterestRate]]/12,Loans[[#This Row],[LoanTenureMonths]],-Loans[[#This Row],[LoanAmount]])</f>
        <v>802109.86211765173</v>
      </c>
      <c r="M603" s="30">
        <f>EDATE(Loans[[#This Row],[LoanStartDate]],Loans[[#This Row],[LoanTenureMonths]])</f>
        <v>44943</v>
      </c>
      <c r="N603" s="33">
        <f>IF(Loans[[#This Row],[LoanAmount]]=0,0,Loans[[#This Row],[CollateralValue]]/Loans[[#This Row],[LoanAmount]])</f>
        <v>1.22</v>
      </c>
      <c r="O603" t="str">
        <f>IF(Loans[[#This Row],[CollateralCoverageRatio]]&lt;1,"Undersecured","Secured")</f>
        <v>Secured</v>
      </c>
      <c r="P603" t="str">
        <f>_xlfn.XLOOKUP(Loans[[#This Row],[BranchCode]],BranchesTbl[BranchCode],BranchesTbl[BranchName])</f>
        <v>Naivasha</v>
      </c>
      <c r="Q603">
        <f>_xlfn.XLOOKUP(Loans[[#This Row],[CustomerID]],CustomerTbl[CustomerID],CustomerTbl[RiskScore])</f>
        <v>520</v>
      </c>
      <c r="R603" t="str">
        <f>IFERROR(INDEX(RiskTbl[Risk_Category],MATCH(Loans[[#This Row],[RiskScore]],RiskTbl[Score_Min],1)),"Unknown")</f>
        <v>High Risk</v>
      </c>
      <c r="S603" t="str">
        <f>IF(OR(Loans[[#This Row],[LoanStatus]]="Default",Loans[[#This Row],[LoanStatus]]="Watchlist",Loans[[#This Row],[CollateralRisk]]="Undersecured",Loans[[#This Row],[RiskCategory]]="High Risk"),"High Risk Exposure","Normal")</f>
        <v>High Risk Exposure</v>
      </c>
      <c r="T603" t="str" cm="1">
        <f t="array" ref="T603">_xlfn.IFS(
Loans[[#This Row],[LoanStatus]]="Default","Critical",
OR(Loans[[#This Row],[LoanStatus]]="Watchlist",Loans[[#This Row],[CollateralRisk]]="Undersecured",Loans[[#This Row],[RiskCategory]]="High Risk"),"High",
TRUE,"Normal"
)</f>
        <v>Critical</v>
      </c>
    </row>
    <row r="604" spans="1:20" x14ac:dyDescent="0.35">
      <c r="A604" t="s">
        <v>1190</v>
      </c>
      <c r="B604" t="s">
        <v>415</v>
      </c>
      <c r="C604" t="s">
        <v>184</v>
      </c>
      <c r="D604" t="s">
        <v>158</v>
      </c>
      <c r="E604" s="34">
        <v>3000000</v>
      </c>
      <c r="F604" s="29">
        <v>0.12520000000000001</v>
      </c>
      <c r="G604" s="30">
        <v>44167</v>
      </c>
      <c r="H604">
        <v>36</v>
      </c>
      <c r="I604">
        <v>0</v>
      </c>
      <c r="J604" s="34">
        <v>3810000</v>
      </c>
      <c r="K604" t="s">
        <v>171</v>
      </c>
      <c r="L604" s="34">
        <f>PMT(Loans[[#This Row],[InterestRate]]/12,Loans[[#This Row],[LoanTenureMonths]],-Loans[[#This Row],[LoanAmount]])</f>
        <v>100389.65772194735</v>
      </c>
      <c r="M604" s="30">
        <f>EDATE(Loans[[#This Row],[LoanStartDate]],Loans[[#This Row],[LoanTenureMonths]])</f>
        <v>45262</v>
      </c>
      <c r="N604" s="33">
        <f>IF(Loans[[#This Row],[LoanAmount]]=0,0,Loans[[#This Row],[CollateralValue]]/Loans[[#This Row],[LoanAmount]])</f>
        <v>1.27</v>
      </c>
      <c r="O604" t="str">
        <f>IF(Loans[[#This Row],[CollateralCoverageRatio]]&lt;1,"Undersecured","Secured")</f>
        <v>Secured</v>
      </c>
      <c r="P604" t="str">
        <f>_xlfn.XLOOKUP(Loans[[#This Row],[BranchCode]],BranchesTbl[BranchCode],BranchesTbl[BranchName])</f>
        <v>Kisumu</v>
      </c>
      <c r="Q604">
        <f>_xlfn.XLOOKUP(Loans[[#This Row],[CustomerID]],CustomerTbl[CustomerID],CustomerTbl[RiskScore])</f>
        <v>790</v>
      </c>
      <c r="R604" t="str">
        <f>IFERROR(INDEX(RiskTbl[Risk_Category],MATCH(Loans[[#This Row],[RiskScore]],RiskTbl[Score_Min],1)),"Unknown")</f>
        <v>Very Low Risk</v>
      </c>
      <c r="S604" t="str">
        <f>IF(OR(Loans[[#This Row],[LoanStatus]]="Default",Loans[[#This Row],[LoanStatus]]="Watchlist",Loans[[#This Row],[CollateralRisk]]="Undersecured",Loans[[#This Row],[RiskCategory]]="High Risk"),"High Risk Exposure","Normal")</f>
        <v>Normal</v>
      </c>
      <c r="T604" t="str" cm="1">
        <f t="array" ref="T604">_xlfn.IFS(
Loans[[#This Row],[LoanStatus]]="Default","Critical",
OR(Loans[[#This Row],[LoanStatus]]="Watchlist",Loans[[#This Row],[CollateralRisk]]="Undersecured",Loans[[#This Row],[RiskCategory]]="High Risk"),"High",
TRUE,"Normal"
)</f>
        <v>Normal</v>
      </c>
    </row>
    <row r="605" spans="1:20" x14ac:dyDescent="0.35">
      <c r="A605" t="s">
        <v>1191</v>
      </c>
      <c r="B605" t="s">
        <v>418</v>
      </c>
      <c r="C605" t="s">
        <v>177</v>
      </c>
      <c r="D605" t="s">
        <v>158</v>
      </c>
      <c r="E605" s="34">
        <v>1000000</v>
      </c>
      <c r="F605" s="29">
        <v>0.15709999999999999</v>
      </c>
      <c r="G605" s="30">
        <v>45428</v>
      </c>
      <c r="H605">
        <v>72</v>
      </c>
      <c r="I605">
        <v>10</v>
      </c>
      <c r="J605" s="34">
        <v>870000</v>
      </c>
      <c r="K605" t="s">
        <v>171</v>
      </c>
      <c r="L605" s="34">
        <f>PMT(Loans[[#This Row],[InterestRate]]/12,Loans[[#This Row],[LoanTenureMonths]],-Loans[[#This Row],[LoanAmount]])</f>
        <v>21532.488286345109</v>
      </c>
      <c r="M605" s="30">
        <f>EDATE(Loans[[#This Row],[LoanStartDate]],Loans[[#This Row],[LoanTenureMonths]])</f>
        <v>47619</v>
      </c>
      <c r="N605" s="33">
        <f>IF(Loans[[#This Row],[LoanAmount]]=0,0,Loans[[#This Row],[CollateralValue]]/Loans[[#This Row],[LoanAmount]])</f>
        <v>0.87</v>
      </c>
      <c r="O605" t="str">
        <f>IF(Loans[[#This Row],[CollateralCoverageRatio]]&lt;1,"Undersecured","Secured")</f>
        <v>Undersecured</v>
      </c>
      <c r="P605" t="str">
        <f>_xlfn.XLOOKUP(Loans[[#This Row],[BranchCode]],BranchesTbl[BranchCode],BranchesTbl[BranchName])</f>
        <v>Naivasha</v>
      </c>
      <c r="Q605">
        <f>_xlfn.XLOOKUP(Loans[[#This Row],[CustomerID]],CustomerTbl[CustomerID],CustomerTbl[RiskScore])</f>
        <v>485</v>
      </c>
      <c r="R605" t="str">
        <f>IFERROR(INDEX(RiskTbl[Risk_Category],MATCH(Loans[[#This Row],[RiskScore]],RiskTbl[Score_Min],1)),"Unknown")</f>
        <v>High Risk</v>
      </c>
      <c r="S605" t="str">
        <f>IF(OR(Loans[[#This Row],[LoanStatus]]="Default",Loans[[#This Row],[LoanStatus]]="Watchlist",Loans[[#This Row],[CollateralRisk]]="Undersecured",Loans[[#This Row],[RiskCategory]]="High Risk"),"High Risk Exposure","Normal")</f>
        <v>High Risk Exposure</v>
      </c>
      <c r="T605" t="str" cm="1">
        <f t="array" ref="T605">_xlfn.IFS(
Loans[[#This Row],[LoanStatus]]="Default","Critical",
OR(Loans[[#This Row],[LoanStatus]]="Watchlist",Loans[[#This Row],[CollateralRisk]]="Undersecured",Loans[[#This Row],[RiskCategory]]="High Risk"),"High",
TRUE,"Normal"
)</f>
        <v>High</v>
      </c>
    </row>
    <row r="606" spans="1:20" x14ac:dyDescent="0.35">
      <c r="A606" t="s">
        <v>1192</v>
      </c>
      <c r="B606" t="s">
        <v>464</v>
      </c>
      <c r="C606" t="s">
        <v>187</v>
      </c>
      <c r="D606" t="s">
        <v>157</v>
      </c>
      <c r="E606" s="34">
        <v>80000000</v>
      </c>
      <c r="F606" s="29">
        <v>0.104</v>
      </c>
      <c r="G606" s="30">
        <v>44387</v>
      </c>
      <c r="H606">
        <v>48</v>
      </c>
      <c r="I606">
        <v>5</v>
      </c>
      <c r="J606" s="34">
        <v>85600000</v>
      </c>
      <c r="K606" t="s">
        <v>171</v>
      </c>
      <c r="L606" s="34">
        <f>PMT(Loans[[#This Row],[InterestRate]]/12,Loans[[#This Row],[LoanTenureMonths]],-Loans[[#This Row],[LoanAmount]])</f>
        <v>2044409.0133867357</v>
      </c>
      <c r="M606" s="30">
        <f>EDATE(Loans[[#This Row],[LoanStartDate]],Loans[[#This Row],[LoanTenureMonths]])</f>
        <v>45848</v>
      </c>
      <c r="N606" s="33">
        <f>IF(Loans[[#This Row],[LoanAmount]]=0,0,Loans[[#This Row],[CollateralValue]]/Loans[[#This Row],[LoanAmount]])</f>
        <v>1.07</v>
      </c>
      <c r="O606" t="str">
        <f>IF(Loans[[#This Row],[CollateralCoverageRatio]]&lt;1,"Undersecured","Secured")</f>
        <v>Secured</v>
      </c>
      <c r="P606" t="str">
        <f>_xlfn.XLOOKUP(Loans[[#This Row],[BranchCode]],BranchesTbl[BranchCode],BranchesTbl[BranchName])</f>
        <v>Eldoret</v>
      </c>
      <c r="Q606">
        <f>_xlfn.XLOOKUP(Loans[[#This Row],[CustomerID]],CustomerTbl[CustomerID],CustomerTbl[RiskScore])</f>
        <v>306</v>
      </c>
      <c r="R606" t="str">
        <f>IFERROR(INDEX(RiskTbl[Risk_Category],MATCH(Loans[[#This Row],[RiskScore]],RiskTbl[Score_Min],1)),"Unknown")</f>
        <v>High Risk</v>
      </c>
      <c r="S606" t="str">
        <f>IF(OR(Loans[[#This Row],[LoanStatus]]="Default",Loans[[#This Row],[LoanStatus]]="Watchlist",Loans[[#This Row],[CollateralRisk]]="Undersecured",Loans[[#This Row],[RiskCategory]]="High Risk"),"High Risk Exposure","Normal")</f>
        <v>High Risk Exposure</v>
      </c>
      <c r="T606" t="str" cm="1">
        <f t="array" ref="T606">_xlfn.IFS(
Loans[[#This Row],[LoanStatus]]="Default","Critical",
OR(Loans[[#This Row],[LoanStatus]]="Watchlist",Loans[[#This Row],[CollateralRisk]]="Undersecured",Loans[[#This Row],[RiskCategory]]="High Risk"),"High",
TRUE,"Normal"
)</f>
        <v>High</v>
      </c>
    </row>
    <row r="607" spans="1:20" x14ac:dyDescent="0.35">
      <c r="A607" t="s">
        <v>1193</v>
      </c>
      <c r="B607" t="s">
        <v>1194</v>
      </c>
      <c r="C607" t="s">
        <v>270</v>
      </c>
      <c r="D607" t="s">
        <v>155</v>
      </c>
      <c r="E607" s="34">
        <v>1000000</v>
      </c>
      <c r="F607" s="29">
        <v>0.21859999999999999</v>
      </c>
      <c r="G607" s="30">
        <v>44477</v>
      </c>
      <c r="H607">
        <v>36</v>
      </c>
      <c r="I607">
        <v>0</v>
      </c>
      <c r="J607" s="34">
        <v>0</v>
      </c>
      <c r="K607" t="s">
        <v>171</v>
      </c>
      <c r="L607" s="34">
        <f>PMT(Loans[[#This Row],[InterestRate]]/12,Loans[[#This Row],[LoanTenureMonths]],-Loans[[#This Row],[LoanAmount]])</f>
        <v>38118.064983567136</v>
      </c>
      <c r="M607" s="30">
        <f>EDATE(Loans[[#This Row],[LoanStartDate]],Loans[[#This Row],[LoanTenureMonths]])</f>
        <v>45573</v>
      </c>
      <c r="N607" s="33">
        <f>IF(Loans[[#This Row],[LoanAmount]]=0,0,Loans[[#This Row],[CollateralValue]]/Loans[[#This Row],[LoanAmount]])</f>
        <v>0</v>
      </c>
      <c r="O607" t="str">
        <f>IF(Loans[[#This Row],[CollateralCoverageRatio]]&lt;1,"Undersecured","Secured")</f>
        <v>Undersecured</v>
      </c>
      <c r="P607" t="str">
        <f>_xlfn.XLOOKUP(Loans[[#This Row],[BranchCode]],BranchesTbl[BranchCode],BranchesTbl[BranchName])</f>
        <v>Nakuru</v>
      </c>
      <c r="Q607">
        <f>_xlfn.XLOOKUP(Loans[[#This Row],[CustomerID]],CustomerTbl[CustomerID],CustomerTbl[RiskScore])</f>
        <v>567</v>
      </c>
      <c r="R607" t="str">
        <f>IFERROR(INDEX(RiskTbl[Risk_Category],MATCH(Loans[[#This Row],[RiskScore]],RiskTbl[Score_Min],1)),"Unknown")</f>
        <v>High Risk</v>
      </c>
      <c r="S607" t="str">
        <f>IF(OR(Loans[[#This Row],[LoanStatus]]="Default",Loans[[#This Row],[LoanStatus]]="Watchlist",Loans[[#This Row],[CollateralRisk]]="Undersecured",Loans[[#This Row],[RiskCategory]]="High Risk"),"High Risk Exposure","Normal")</f>
        <v>High Risk Exposure</v>
      </c>
      <c r="T607" t="str" cm="1">
        <f t="array" ref="T607">_xlfn.IFS(
Loans[[#This Row],[LoanStatus]]="Default","Critical",
OR(Loans[[#This Row],[LoanStatus]]="Watchlist",Loans[[#This Row],[CollateralRisk]]="Undersecured",Loans[[#This Row],[RiskCategory]]="High Risk"),"High",
TRUE,"Normal"
)</f>
        <v>High</v>
      </c>
    </row>
    <row r="608" spans="1:20" x14ac:dyDescent="0.35">
      <c r="A608" t="s">
        <v>1195</v>
      </c>
      <c r="B608" t="s">
        <v>1196</v>
      </c>
      <c r="C608" t="s">
        <v>232</v>
      </c>
      <c r="D608" t="s">
        <v>155</v>
      </c>
      <c r="E608" s="34">
        <v>500000</v>
      </c>
      <c r="F608" s="29">
        <v>0.1867</v>
      </c>
      <c r="G608" s="30">
        <v>44422</v>
      </c>
      <c r="H608">
        <v>24</v>
      </c>
      <c r="I608">
        <v>5</v>
      </c>
      <c r="J608" s="34">
        <v>0</v>
      </c>
      <c r="K608" t="s">
        <v>171</v>
      </c>
      <c r="L608" s="34">
        <f>PMT(Loans[[#This Row],[InterestRate]]/12,Loans[[#This Row],[LoanTenureMonths]],-Loans[[#This Row],[LoanAmount]])</f>
        <v>25124.215815953983</v>
      </c>
      <c r="M608" s="30">
        <f>EDATE(Loans[[#This Row],[LoanStartDate]],Loans[[#This Row],[LoanTenureMonths]])</f>
        <v>45152</v>
      </c>
      <c r="N608" s="33">
        <f>IF(Loans[[#This Row],[LoanAmount]]=0,0,Loans[[#This Row],[CollateralValue]]/Loans[[#This Row],[LoanAmount]])</f>
        <v>0</v>
      </c>
      <c r="O608" t="str">
        <f>IF(Loans[[#This Row],[CollateralCoverageRatio]]&lt;1,"Undersecured","Secured")</f>
        <v>Undersecured</v>
      </c>
      <c r="P608" t="str">
        <f>_xlfn.XLOOKUP(Loans[[#This Row],[BranchCode]],BranchesTbl[BranchCode],BranchesTbl[BranchName])</f>
        <v>Upper Hill</v>
      </c>
      <c r="Q608">
        <f>_xlfn.XLOOKUP(Loans[[#This Row],[CustomerID]],CustomerTbl[CustomerID],CustomerTbl[RiskScore])</f>
        <v>657</v>
      </c>
      <c r="R608" t="str">
        <f>IFERROR(INDEX(RiskTbl[Risk_Category],MATCH(Loans[[#This Row],[RiskScore]],RiskTbl[Score_Min],1)),"Unknown")</f>
        <v>Medium Risk</v>
      </c>
      <c r="S608" t="str">
        <f>IF(OR(Loans[[#This Row],[LoanStatus]]="Default",Loans[[#This Row],[LoanStatus]]="Watchlist",Loans[[#This Row],[CollateralRisk]]="Undersecured",Loans[[#This Row],[RiskCategory]]="High Risk"),"High Risk Exposure","Normal")</f>
        <v>High Risk Exposure</v>
      </c>
      <c r="T608" t="str" cm="1">
        <f t="array" ref="T608">_xlfn.IFS(
Loans[[#This Row],[LoanStatus]]="Default","Critical",
OR(Loans[[#This Row],[LoanStatus]]="Watchlist",Loans[[#This Row],[CollateralRisk]]="Undersecured",Loans[[#This Row],[RiskCategory]]="High Risk"),"High",
TRUE,"Normal"
)</f>
        <v>High</v>
      </c>
    </row>
    <row r="609" spans="1:20" x14ac:dyDescent="0.35">
      <c r="A609" t="s">
        <v>1197</v>
      </c>
      <c r="B609" t="s">
        <v>1198</v>
      </c>
      <c r="C609" t="s">
        <v>177</v>
      </c>
      <c r="D609" t="s">
        <v>156</v>
      </c>
      <c r="E609" s="34">
        <v>25000000</v>
      </c>
      <c r="F609" s="29">
        <v>0.1681</v>
      </c>
      <c r="G609" s="30">
        <v>44664</v>
      </c>
      <c r="H609">
        <v>24</v>
      </c>
      <c r="I609">
        <v>90</v>
      </c>
      <c r="J609" s="34">
        <v>33250000</v>
      </c>
      <c r="K609" t="s">
        <v>199</v>
      </c>
      <c r="L609" s="34">
        <f>PMT(Loans[[#This Row],[InterestRate]]/12,Loans[[#This Row],[LoanTenureMonths]],-Loans[[#This Row],[LoanAmount]])</f>
        <v>1233775.4534983411</v>
      </c>
      <c r="M609" s="30">
        <f>EDATE(Loans[[#This Row],[LoanStartDate]],Loans[[#This Row],[LoanTenureMonths]])</f>
        <v>45395</v>
      </c>
      <c r="N609" s="33">
        <f>IF(Loans[[#This Row],[LoanAmount]]=0,0,Loans[[#This Row],[CollateralValue]]/Loans[[#This Row],[LoanAmount]])</f>
        <v>1.33</v>
      </c>
      <c r="O609" t="str">
        <f>IF(Loans[[#This Row],[CollateralCoverageRatio]]&lt;1,"Undersecured","Secured")</f>
        <v>Secured</v>
      </c>
      <c r="P609" t="str">
        <f>_xlfn.XLOOKUP(Loans[[#This Row],[BranchCode]],BranchesTbl[BranchCode],BranchesTbl[BranchName])</f>
        <v>Naivasha</v>
      </c>
      <c r="Q609">
        <f>_xlfn.XLOOKUP(Loans[[#This Row],[CustomerID]],CustomerTbl[CustomerID],CustomerTbl[RiskScore])</f>
        <v>459</v>
      </c>
      <c r="R609" t="str">
        <f>IFERROR(INDEX(RiskTbl[Risk_Category],MATCH(Loans[[#This Row],[RiskScore]],RiskTbl[Score_Min],1)),"Unknown")</f>
        <v>High Risk</v>
      </c>
      <c r="S609" t="str">
        <f>IF(OR(Loans[[#This Row],[LoanStatus]]="Default",Loans[[#This Row],[LoanStatus]]="Watchlist",Loans[[#This Row],[CollateralRisk]]="Undersecured",Loans[[#This Row],[RiskCategory]]="High Risk"),"High Risk Exposure","Normal")</f>
        <v>High Risk Exposure</v>
      </c>
      <c r="T609" t="str" cm="1">
        <f t="array" ref="T609">_xlfn.IFS(
Loans[[#This Row],[LoanStatus]]="Default","Critical",
OR(Loans[[#This Row],[LoanStatus]]="Watchlist",Loans[[#This Row],[CollateralRisk]]="Undersecured",Loans[[#This Row],[RiskCategory]]="High Risk"),"High",
TRUE,"Normal"
)</f>
        <v>High</v>
      </c>
    </row>
    <row r="610" spans="1:20" x14ac:dyDescent="0.35">
      <c r="A610" t="s">
        <v>1199</v>
      </c>
      <c r="B610" t="s">
        <v>928</v>
      </c>
      <c r="C610" t="s">
        <v>174</v>
      </c>
      <c r="D610" t="s">
        <v>158</v>
      </c>
      <c r="E610" s="34">
        <v>3000000</v>
      </c>
      <c r="F610" s="29">
        <v>0.151</v>
      </c>
      <c r="G610" s="30">
        <v>44105</v>
      </c>
      <c r="H610">
        <v>24</v>
      </c>
      <c r="I610">
        <v>10</v>
      </c>
      <c r="J610" s="34">
        <v>3990000</v>
      </c>
      <c r="K610" t="s">
        <v>171</v>
      </c>
      <c r="L610" s="34">
        <f>PMT(Loans[[#This Row],[InterestRate]]/12,Loans[[#This Row],[LoanTenureMonths]],-Loans[[#This Row],[LoanAmount]])</f>
        <v>145602.51901565606</v>
      </c>
      <c r="M610" s="30">
        <f>EDATE(Loans[[#This Row],[LoanStartDate]],Loans[[#This Row],[LoanTenureMonths]])</f>
        <v>44835</v>
      </c>
      <c r="N610" s="33">
        <f>IF(Loans[[#This Row],[LoanAmount]]=0,0,Loans[[#This Row],[CollateralValue]]/Loans[[#This Row],[LoanAmount]])</f>
        <v>1.33</v>
      </c>
      <c r="O610" t="str">
        <f>IF(Loans[[#This Row],[CollateralCoverageRatio]]&lt;1,"Undersecured","Secured")</f>
        <v>Secured</v>
      </c>
      <c r="P610" t="str">
        <f>_xlfn.XLOOKUP(Loans[[#This Row],[BranchCode]],BranchesTbl[BranchCode],BranchesTbl[BranchName])</f>
        <v>Westlands</v>
      </c>
      <c r="Q610">
        <f>_xlfn.XLOOKUP(Loans[[#This Row],[CustomerID]],CustomerTbl[CustomerID],CustomerTbl[RiskScore])</f>
        <v>844</v>
      </c>
      <c r="R610" t="str">
        <f>IFERROR(INDEX(RiskTbl[Risk_Category],MATCH(Loans[[#This Row],[RiskScore]],RiskTbl[Score_Min],1)),"Unknown")</f>
        <v>Prime</v>
      </c>
      <c r="S610" t="str">
        <f>IF(OR(Loans[[#This Row],[LoanStatus]]="Default",Loans[[#This Row],[LoanStatus]]="Watchlist",Loans[[#This Row],[CollateralRisk]]="Undersecured",Loans[[#This Row],[RiskCategory]]="High Risk"),"High Risk Exposure","Normal")</f>
        <v>Normal</v>
      </c>
      <c r="T610" t="str" cm="1">
        <f t="array" ref="T610">_xlfn.IFS(
Loans[[#This Row],[LoanStatus]]="Default","Critical",
OR(Loans[[#This Row],[LoanStatus]]="Watchlist",Loans[[#This Row],[CollateralRisk]]="Undersecured",Loans[[#This Row],[RiskCategory]]="High Risk"),"High",
TRUE,"Normal"
)</f>
        <v>Normal</v>
      </c>
    </row>
    <row r="611" spans="1:20" x14ac:dyDescent="0.35">
      <c r="A611" t="s">
        <v>1200</v>
      </c>
      <c r="B611" t="s">
        <v>1201</v>
      </c>
      <c r="C611" t="s">
        <v>174</v>
      </c>
      <c r="D611" t="s">
        <v>157</v>
      </c>
      <c r="E611" s="34">
        <v>6000000</v>
      </c>
      <c r="F611" s="29">
        <v>0.1067</v>
      </c>
      <c r="G611" s="30">
        <v>43838</v>
      </c>
      <c r="H611">
        <v>24</v>
      </c>
      <c r="I611">
        <v>0</v>
      </c>
      <c r="J611" s="34">
        <v>8340000</v>
      </c>
      <c r="K611" t="s">
        <v>171</v>
      </c>
      <c r="L611" s="34">
        <f>PMT(Loans[[#This Row],[InterestRate]]/12,Loans[[#This Row],[LoanTenureMonths]],-Loans[[#This Row],[LoanAmount]])</f>
        <v>278728.6564038042</v>
      </c>
      <c r="M611" s="30">
        <f>EDATE(Loans[[#This Row],[LoanStartDate]],Loans[[#This Row],[LoanTenureMonths]])</f>
        <v>44569</v>
      </c>
      <c r="N611" s="33">
        <f>IF(Loans[[#This Row],[LoanAmount]]=0,0,Loans[[#This Row],[CollateralValue]]/Loans[[#This Row],[LoanAmount]])</f>
        <v>1.39</v>
      </c>
      <c r="O611" t="str">
        <f>IF(Loans[[#This Row],[CollateralCoverageRatio]]&lt;1,"Undersecured","Secured")</f>
        <v>Secured</v>
      </c>
      <c r="P611" t="str">
        <f>_xlfn.XLOOKUP(Loans[[#This Row],[BranchCode]],BranchesTbl[BranchCode],BranchesTbl[BranchName])</f>
        <v>Westlands</v>
      </c>
      <c r="Q611">
        <f>_xlfn.XLOOKUP(Loans[[#This Row],[CustomerID]],CustomerTbl[CustomerID],CustomerTbl[RiskScore])</f>
        <v>489</v>
      </c>
      <c r="R611" t="str">
        <f>IFERROR(INDEX(RiskTbl[Risk_Category],MATCH(Loans[[#This Row],[RiskScore]],RiskTbl[Score_Min],1)),"Unknown")</f>
        <v>High Risk</v>
      </c>
      <c r="S611" t="str">
        <f>IF(OR(Loans[[#This Row],[LoanStatus]]="Default",Loans[[#This Row],[LoanStatus]]="Watchlist",Loans[[#This Row],[CollateralRisk]]="Undersecured",Loans[[#This Row],[RiskCategory]]="High Risk"),"High Risk Exposure","Normal")</f>
        <v>High Risk Exposure</v>
      </c>
      <c r="T611" t="str" cm="1">
        <f t="array" ref="T611">_xlfn.IFS(
Loans[[#This Row],[LoanStatus]]="Default","Critical",
OR(Loans[[#This Row],[LoanStatus]]="Watchlist",Loans[[#This Row],[CollateralRisk]]="Undersecured",Loans[[#This Row],[RiskCategory]]="High Risk"),"High",
TRUE,"Normal"
)</f>
        <v>High</v>
      </c>
    </row>
    <row r="612" spans="1:20" x14ac:dyDescent="0.35">
      <c r="A612" t="s">
        <v>1202</v>
      </c>
      <c r="B612" t="s">
        <v>713</v>
      </c>
      <c r="C612" t="s">
        <v>181</v>
      </c>
      <c r="D612" t="s">
        <v>157</v>
      </c>
      <c r="E612" s="34">
        <v>25000000</v>
      </c>
      <c r="F612" s="29">
        <v>0.13370000000000001</v>
      </c>
      <c r="G612" s="30">
        <v>45977</v>
      </c>
      <c r="H612">
        <v>24</v>
      </c>
      <c r="I612">
        <v>0</v>
      </c>
      <c r="J612" s="34">
        <v>28500000</v>
      </c>
      <c r="K612" t="s">
        <v>171</v>
      </c>
      <c r="L612" s="34">
        <f>PMT(Loans[[#This Row],[InterestRate]]/12,Loans[[#This Row],[LoanTenureMonths]],-Loans[[#This Row],[LoanAmount]])</f>
        <v>1192894.9869885177</v>
      </c>
      <c r="M612" s="30">
        <f>EDATE(Loans[[#This Row],[LoanStartDate]],Loans[[#This Row],[LoanTenureMonths]])</f>
        <v>46707</v>
      </c>
      <c r="N612" s="33">
        <f>IF(Loans[[#This Row],[LoanAmount]]=0,0,Loans[[#This Row],[CollateralValue]]/Loans[[#This Row],[LoanAmount]])</f>
        <v>1.1399999999999999</v>
      </c>
      <c r="O612" t="str">
        <f>IF(Loans[[#This Row],[CollateralCoverageRatio]]&lt;1,"Undersecured","Secured")</f>
        <v>Secured</v>
      </c>
      <c r="P612" t="str">
        <f>_xlfn.XLOOKUP(Loans[[#This Row],[BranchCode]],BranchesTbl[BranchCode],BranchesTbl[BranchName])</f>
        <v>Kitale</v>
      </c>
      <c r="Q612">
        <f>_xlfn.XLOOKUP(Loans[[#This Row],[CustomerID]],CustomerTbl[CustomerID],CustomerTbl[RiskScore])</f>
        <v>374</v>
      </c>
      <c r="R612" t="str">
        <f>IFERROR(INDEX(RiskTbl[Risk_Category],MATCH(Loans[[#This Row],[RiskScore]],RiskTbl[Score_Min],1)),"Unknown")</f>
        <v>High Risk</v>
      </c>
      <c r="S612" t="str">
        <f>IF(OR(Loans[[#This Row],[LoanStatus]]="Default",Loans[[#This Row],[LoanStatus]]="Watchlist",Loans[[#This Row],[CollateralRisk]]="Undersecured",Loans[[#This Row],[RiskCategory]]="High Risk"),"High Risk Exposure","Normal")</f>
        <v>High Risk Exposure</v>
      </c>
      <c r="T612" t="str" cm="1">
        <f t="array" ref="T612">_xlfn.IFS(
Loans[[#This Row],[LoanStatus]]="Default","Critical",
OR(Loans[[#This Row],[LoanStatus]]="Watchlist",Loans[[#This Row],[CollateralRisk]]="Undersecured",Loans[[#This Row],[RiskCategory]]="High Risk"),"High",
TRUE,"Normal"
)</f>
        <v>High</v>
      </c>
    </row>
    <row r="613" spans="1:20" x14ac:dyDescent="0.35">
      <c r="A613" t="s">
        <v>1203</v>
      </c>
      <c r="B613" t="s">
        <v>829</v>
      </c>
      <c r="C613" t="s">
        <v>187</v>
      </c>
      <c r="D613" t="s">
        <v>158</v>
      </c>
      <c r="E613" s="34">
        <v>500000</v>
      </c>
      <c r="F613" s="29">
        <v>0.156</v>
      </c>
      <c r="G613" s="30">
        <v>45165</v>
      </c>
      <c r="H613">
        <v>48</v>
      </c>
      <c r="I613">
        <v>10</v>
      </c>
      <c r="J613" s="34">
        <v>420000</v>
      </c>
      <c r="K613" t="s">
        <v>171</v>
      </c>
      <c r="L613" s="34">
        <f>PMT(Loans[[#This Row],[InterestRate]]/12,Loans[[#This Row],[LoanTenureMonths]],-Loans[[#This Row],[LoanAmount]])</f>
        <v>14067.919250935847</v>
      </c>
      <c r="M613" s="30">
        <f>EDATE(Loans[[#This Row],[LoanStartDate]],Loans[[#This Row],[LoanTenureMonths]])</f>
        <v>46626</v>
      </c>
      <c r="N613" s="33">
        <f>IF(Loans[[#This Row],[LoanAmount]]=0,0,Loans[[#This Row],[CollateralValue]]/Loans[[#This Row],[LoanAmount]])</f>
        <v>0.84</v>
      </c>
      <c r="O613" t="str">
        <f>IF(Loans[[#This Row],[CollateralCoverageRatio]]&lt;1,"Undersecured","Secured")</f>
        <v>Undersecured</v>
      </c>
      <c r="P613" t="str">
        <f>_xlfn.XLOOKUP(Loans[[#This Row],[BranchCode]],BranchesTbl[BranchCode],BranchesTbl[BranchName])</f>
        <v>Eldoret</v>
      </c>
      <c r="Q613">
        <f>_xlfn.XLOOKUP(Loans[[#This Row],[CustomerID]],CustomerTbl[CustomerID],CustomerTbl[RiskScore])</f>
        <v>580</v>
      </c>
      <c r="R613" t="str">
        <f>IFERROR(INDEX(RiskTbl[Risk_Category],MATCH(Loans[[#This Row],[RiskScore]],RiskTbl[Score_Min],1)),"Unknown")</f>
        <v>Medium Risk</v>
      </c>
      <c r="S613" t="str">
        <f>IF(OR(Loans[[#This Row],[LoanStatus]]="Default",Loans[[#This Row],[LoanStatus]]="Watchlist",Loans[[#This Row],[CollateralRisk]]="Undersecured",Loans[[#This Row],[RiskCategory]]="High Risk"),"High Risk Exposure","Normal")</f>
        <v>High Risk Exposure</v>
      </c>
      <c r="T613" t="str" cm="1">
        <f t="array" ref="T613">_xlfn.IFS(
Loans[[#This Row],[LoanStatus]]="Default","Critical",
OR(Loans[[#This Row],[LoanStatus]]="Watchlist",Loans[[#This Row],[CollateralRisk]]="Undersecured",Loans[[#This Row],[RiskCategory]]="High Risk"),"High",
TRUE,"Normal"
)</f>
        <v>High</v>
      </c>
    </row>
    <row r="614" spans="1:20" x14ac:dyDescent="0.35">
      <c r="A614" t="s">
        <v>1204</v>
      </c>
      <c r="B614" t="s">
        <v>1205</v>
      </c>
      <c r="C614" t="s">
        <v>232</v>
      </c>
      <c r="D614" t="s">
        <v>155</v>
      </c>
      <c r="E614" s="34">
        <v>1000000</v>
      </c>
      <c r="F614" s="29">
        <v>0.21490000000000001</v>
      </c>
      <c r="G614" s="30">
        <v>43913</v>
      </c>
      <c r="H614">
        <v>60</v>
      </c>
      <c r="I614">
        <v>90</v>
      </c>
      <c r="J614" s="34">
        <v>0</v>
      </c>
      <c r="K614" t="s">
        <v>199</v>
      </c>
      <c r="L614" s="34">
        <f>PMT(Loans[[#This Row],[InterestRate]]/12,Loans[[#This Row],[LoanTenureMonths]],-Loans[[#This Row],[LoanAmount]])</f>
        <v>27329.725442101964</v>
      </c>
      <c r="M614" s="30">
        <f>EDATE(Loans[[#This Row],[LoanStartDate]],Loans[[#This Row],[LoanTenureMonths]])</f>
        <v>45739</v>
      </c>
      <c r="N614" s="33">
        <f>IF(Loans[[#This Row],[LoanAmount]]=0,0,Loans[[#This Row],[CollateralValue]]/Loans[[#This Row],[LoanAmount]])</f>
        <v>0</v>
      </c>
      <c r="O614" t="str">
        <f>IF(Loans[[#This Row],[CollateralCoverageRatio]]&lt;1,"Undersecured","Secured")</f>
        <v>Undersecured</v>
      </c>
      <c r="P614" t="str">
        <f>_xlfn.XLOOKUP(Loans[[#This Row],[BranchCode]],BranchesTbl[BranchCode],BranchesTbl[BranchName])</f>
        <v>Upper Hill</v>
      </c>
      <c r="Q614">
        <f>_xlfn.XLOOKUP(Loans[[#This Row],[CustomerID]],CustomerTbl[CustomerID],CustomerTbl[RiskScore])</f>
        <v>513</v>
      </c>
      <c r="R614" t="str">
        <f>IFERROR(INDEX(RiskTbl[Risk_Category],MATCH(Loans[[#This Row],[RiskScore]],RiskTbl[Score_Min],1)),"Unknown")</f>
        <v>High Risk</v>
      </c>
      <c r="S614" t="str">
        <f>IF(OR(Loans[[#This Row],[LoanStatus]]="Default",Loans[[#This Row],[LoanStatus]]="Watchlist",Loans[[#This Row],[CollateralRisk]]="Undersecured",Loans[[#This Row],[RiskCategory]]="High Risk"),"High Risk Exposure","Normal")</f>
        <v>High Risk Exposure</v>
      </c>
      <c r="T614" t="str" cm="1">
        <f t="array" ref="T614">_xlfn.IFS(
Loans[[#This Row],[LoanStatus]]="Default","Critical",
OR(Loans[[#This Row],[LoanStatus]]="Watchlist",Loans[[#This Row],[CollateralRisk]]="Undersecured",Loans[[#This Row],[RiskCategory]]="High Risk"),"High",
TRUE,"Normal"
)</f>
        <v>High</v>
      </c>
    </row>
    <row r="615" spans="1:20" x14ac:dyDescent="0.35">
      <c r="A615" t="s">
        <v>1206</v>
      </c>
      <c r="B615" t="s">
        <v>344</v>
      </c>
      <c r="C615" t="s">
        <v>206</v>
      </c>
      <c r="D615" t="s">
        <v>158</v>
      </c>
      <c r="E615" s="34">
        <v>6000000</v>
      </c>
      <c r="F615" s="29">
        <v>0.1845</v>
      </c>
      <c r="G615" s="30">
        <v>44696</v>
      </c>
      <c r="H615">
        <v>12</v>
      </c>
      <c r="I615">
        <v>5</v>
      </c>
      <c r="J615" s="34">
        <v>8640000</v>
      </c>
      <c r="K615" t="s">
        <v>171</v>
      </c>
      <c r="L615" s="34">
        <f>PMT(Loans[[#This Row],[InterestRate]]/12,Loans[[#This Row],[LoanTenureMonths]],-Loans[[#This Row],[LoanAmount]])</f>
        <v>551365.7402785843</v>
      </c>
      <c r="M615" s="30">
        <f>EDATE(Loans[[#This Row],[LoanStartDate]],Loans[[#This Row],[LoanTenureMonths]])</f>
        <v>45061</v>
      </c>
      <c r="N615" s="33">
        <f>IF(Loans[[#This Row],[LoanAmount]]=0,0,Loans[[#This Row],[CollateralValue]]/Loans[[#This Row],[LoanAmount]])</f>
        <v>1.44</v>
      </c>
      <c r="O615" t="str">
        <f>IF(Loans[[#This Row],[CollateralCoverageRatio]]&lt;1,"Undersecured","Secured")</f>
        <v>Secured</v>
      </c>
      <c r="P615" t="str">
        <f>_xlfn.XLOOKUP(Loans[[#This Row],[BranchCode]],BranchesTbl[BranchCode],BranchesTbl[BranchName])</f>
        <v>Nyahururu</v>
      </c>
      <c r="Q615">
        <f>_xlfn.XLOOKUP(Loans[[#This Row],[CustomerID]],CustomerTbl[CustomerID],CustomerTbl[RiskScore])</f>
        <v>720</v>
      </c>
      <c r="R615" t="str">
        <f>IFERROR(INDEX(RiskTbl[Risk_Category],MATCH(Loans[[#This Row],[RiskScore]],RiskTbl[Score_Min],1)),"Unknown")</f>
        <v>Low Risk</v>
      </c>
      <c r="S615" t="str">
        <f>IF(OR(Loans[[#This Row],[LoanStatus]]="Default",Loans[[#This Row],[LoanStatus]]="Watchlist",Loans[[#This Row],[CollateralRisk]]="Undersecured",Loans[[#This Row],[RiskCategory]]="High Risk"),"High Risk Exposure","Normal")</f>
        <v>Normal</v>
      </c>
      <c r="T615" t="str" cm="1">
        <f t="array" ref="T615">_xlfn.IFS(
Loans[[#This Row],[LoanStatus]]="Default","Critical",
OR(Loans[[#This Row],[LoanStatus]]="Watchlist",Loans[[#This Row],[CollateralRisk]]="Undersecured",Loans[[#This Row],[RiskCategory]]="High Risk"),"High",
TRUE,"Normal"
)</f>
        <v>Normal</v>
      </c>
    </row>
    <row r="616" spans="1:20" x14ac:dyDescent="0.35">
      <c r="A616" t="s">
        <v>1207</v>
      </c>
      <c r="B616" t="s">
        <v>1208</v>
      </c>
      <c r="C616" t="s">
        <v>174</v>
      </c>
      <c r="D616" t="s">
        <v>158</v>
      </c>
      <c r="E616" s="34">
        <v>500000</v>
      </c>
      <c r="F616" s="29">
        <v>0.15260000000000001</v>
      </c>
      <c r="G616" s="30">
        <v>45339</v>
      </c>
      <c r="H616">
        <v>36</v>
      </c>
      <c r="I616">
        <v>0</v>
      </c>
      <c r="J616" s="34">
        <v>395000</v>
      </c>
      <c r="K616" t="s">
        <v>171</v>
      </c>
      <c r="L616" s="34">
        <f>PMT(Loans[[#This Row],[InterestRate]]/12,Loans[[#This Row],[LoanTenureMonths]],-Loans[[#This Row],[LoanAmount]])</f>
        <v>17396.39347729634</v>
      </c>
      <c r="M616" s="30">
        <f>EDATE(Loans[[#This Row],[LoanStartDate]],Loans[[#This Row],[LoanTenureMonths]])</f>
        <v>46435</v>
      </c>
      <c r="N616" s="33">
        <f>IF(Loans[[#This Row],[LoanAmount]]=0,0,Loans[[#This Row],[CollateralValue]]/Loans[[#This Row],[LoanAmount]])</f>
        <v>0.79</v>
      </c>
      <c r="O616" t="str">
        <f>IF(Loans[[#This Row],[CollateralCoverageRatio]]&lt;1,"Undersecured","Secured")</f>
        <v>Undersecured</v>
      </c>
      <c r="P616" t="str">
        <f>_xlfn.XLOOKUP(Loans[[#This Row],[BranchCode]],BranchesTbl[BranchCode],BranchesTbl[BranchName])</f>
        <v>Westlands</v>
      </c>
      <c r="Q616">
        <f>_xlfn.XLOOKUP(Loans[[#This Row],[CustomerID]],CustomerTbl[CustomerID],CustomerTbl[RiskScore])</f>
        <v>674</v>
      </c>
      <c r="R616" t="str">
        <f>IFERROR(INDEX(RiskTbl[Risk_Category],MATCH(Loans[[#This Row],[RiskScore]],RiskTbl[Score_Min],1)),"Unknown")</f>
        <v>Low Risk</v>
      </c>
      <c r="S616" t="str">
        <f>IF(OR(Loans[[#This Row],[LoanStatus]]="Default",Loans[[#This Row],[LoanStatus]]="Watchlist",Loans[[#This Row],[CollateralRisk]]="Undersecured",Loans[[#This Row],[RiskCategory]]="High Risk"),"High Risk Exposure","Normal")</f>
        <v>High Risk Exposure</v>
      </c>
      <c r="T616" t="str" cm="1">
        <f t="array" ref="T616">_xlfn.IFS(
Loans[[#This Row],[LoanStatus]]="Default","Critical",
OR(Loans[[#This Row],[LoanStatus]]="Watchlist",Loans[[#This Row],[CollateralRisk]]="Undersecured",Loans[[#This Row],[RiskCategory]]="High Risk"),"High",
TRUE,"Normal"
)</f>
        <v>High</v>
      </c>
    </row>
    <row r="617" spans="1:20" x14ac:dyDescent="0.35">
      <c r="A617" t="s">
        <v>1209</v>
      </c>
      <c r="B617" t="s">
        <v>383</v>
      </c>
      <c r="C617" t="s">
        <v>181</v>
      </c>
      <c r="D617" t="s">
        <v>157</v>
      </c>
      <c r="E617" s="34">
        <v>80000000</v>
      </c>
      <c r="F617" s="29">
        <v>0.1038</v>
      </c>
      <c r="G617" s="30">
        <v>45916</v>
      </c>
      <c r="H617">
        <v>48</v>
      </c>
      <c r="I617">
        <v>0</v>
      </c>
      <c r="J617" s="34">
        <v>82400000</v>
      </c>
      <c r="K617" t="s">
        <v>171</v>
      </c>
      <c r="L617" s="34">
        <f>PMT(Loans[[#This Row],[InterestRate]]/12,Loans[[#This Row],[LoanTenureMonths]],-Loans[[#This Row],[LoanAmount]])</f>
        <v>2043637.2572808468</v>
      </c>
      <c r="M617" s="30">
        <f>EDATE(Loans[[#This Row],[LoanStartDate]],Loans[[#This Row],[LoanTenureMonths]])</f>
        <v>47377</v>
      </c>
      <c r="N617" s="33">
        <f>IF(Loans[[#This Row],[LoanAmount]]=0,0,Loans[[#This Row],[CollateralValue]]/Loans[[#This Row],[LoanAmount]])</f>
        <v>1.03</v>
      </c>
      <c r="O617" t="str">
        <f>IF(Loans[[#This Row],[CollateralCoverageRatio]]&lt;1,"Undersecured","Secured")</f>
        <v>Secured</v>
      </c>
      <c r="P617" t="str">
        <f>_xlfn.XLOOKUP(Loans[[#This Row],[BranchCode]],BranchesTbl[BranchCode],BranchesTbl[BranchName])</f>
        <v>Kitale</v>
      </c>
      <c r="Q617">
        <f>_xlfn.XLOOKUP(Loans[[#This Row],[CustomerID]],CustomerTbl[CustomerID],CustomerTbl[RiskScore])</f>
        <v>762</v>
      </c>
      <c r="R617" t="str">
        <f>IFERROR(INDEX(RiskTbl[Risk_Category],MATCH(Loans[[#This Row],[RiskScore]],RiskTbl[Score_Min],1)),"Unknown")</f>
        <v>Very Low Risk</v>
      </c>
      <c r="S617" t="str">
        <f>IF(OR(Loans[[#This Row],[LoanStatus]]="Default",Loans[[#This Row],[LoanStatus]]="Watchlist",Loans[[#This Row],[CollateralRisk]]="Undersecured",Loans[[#This Row],[RiskCategory]]="High Risk"),"High Risk Exposure","Normal")</f>
        <v>Normal</v>
      </c>
      <c r="T617" t="str" cm="1">
        <f t="array" ref="T617">_xlfn.IFS(
Loans[[#This Row],[LoanStatus]]="Default","Critical",
OR(Loans[[#This Row],[LoanStatus]]="Watchlist",Loans[[#This Row],[CollateralRisk]]="Undersecured",Loans[[#This Row],[RiskCategory]]="High Risk"),"High",
TRUE,"Normal"
)</f>
        <v>Normal</v>
      </c>
    </row>
    <row r="618" spans="1:20" x14ac:dyDescent="0.35">
      <c r="A618" t="s">
        <v>1210</v>
      </c>
      <c r="B618" t="s">
        <v>1100</v>
      </c>
      <c r="C618" t="s">
        <v>170</v>
      </c>
      <c r="D618" t="s">
        <v>156</v>
      </c>
      <c r="E618" s="34">
        <v>1000000</v>
      </c>
      <c r="F618" s="29">
        <v>0.2271</v>
      </c>
      <c r="G618" s="30">
        <v>44281</v>
      </c>
      <c r="H618">
        <v>48</v>
      </c>
      <c r="I618">
        <v>0</v>
      </c>
      <c r="J618" s="34">
        <v>710000</v>
      </c>
      <c r="K618" t="s">
        <v>171</v>
      </c>
      <c r="L618" s="34">
        <f>PMT(Loans[[#This Row],[InterestRate]]/12,Loans[[#This Row],[LoanTenureMonths]],-Loans[[#This Row],[LoanAmount]])</f>
        <v>31892.793861091686</v>
      </c>
      <c r="M618" s="30">
        <f>EDATE(Loans[[#This Row],[LoanStartDate]],Loans[[#This Row],[LoanTenureMonths]])</f>
        <v>45742</v>
      </c>
      <c r="N618" s="33">
        <f>IF(Loans[[#This Row],[LoanAmount]]=0,0,Loans[[#This Row],[CollateralValue]]/Loans[[#This Row],[LoanAmount]])</f>
        <v>0.71</v>
      </c>
      <c r="O618" t="str">
        <f>IF(Loans[[#This Row],[CollateralCoverageRatio]]&lt;1,"Undersecured","Secured")</f>
        <v>Undersecured</v>
      </c>
      <c r="P618" t="str">
        <f>_xlfn.XLOOKUP(Loans[[#This Row],[BranchCode]],BranchesTbl[BranchCode],BranchesTbl[BranchName])</f>
        <v>Thika</v>
      </c>
      <c r="Q618">
        <f>_xlfn.XLOOKUP(Loans[[#This Row],[CustomerID]],CustomerTbl[CustomerID],CustomerTbl[RiskScore])</f>
        <v>441</v>
      </c>
      <c r="R618" t="str">
        <f>IFERROR(INDEX(RiskTbl[Risk_Category],MATCH(Loans[[#This Row],[RiskScore]],RiskTbl[Score_Min],1)),"Unknown")</f>
        <v>High Risk</v>
      </c>
      <c r="S618" t="str">
        <f>IF(OR(Loans[[#This Row],[LoanStatus]]="Default",Loans[[#This Row],[LoanStatus]]="Watchlist",Loans[[#This Row],[CollateralRisk]]="Undersecured",Loans[[#This Row],[RiskCategory]]="High Risk"),"High Risk Exposure","Normal")</f>
        <v>High Risk Exposure</v>
      </c>
      <c r="T618" t="str" cm="1">
        <f t="array" ref="T618">_xlfn.IFS(
Loans[[#This Row],[LoanStatus]]="Default","Critical",
OR(Loans[[#This Row],[LoanStatus]]="Watchlist",Loans[[#This Row],[CollateralRisk]]="Undersecured",Loans[[#This Row],[RiskCategory]]="High Risk"),"High",
TRUE,"Normal"
)</f>
        <v>High</v>
      </c>
    </row>
    <row r="619" spans="1:20" x14ac:dyDescent="0.35">
      <c r="A619" t="s">
        <v>1211</v>
      </c>
      <c r="B619" t="s">
        <v>1212</v>
      </c>
      <c r="C619" t="s">
        <v>206</v>
      </c>
      <c r="D619" t="s">
        <v>158</v>
      </c>
      <c r="E619" s="34">
        <v>500000</v>
      </c>
      <c r="F619" s="29">
        <v>0.13689999999999999</v>
      </c>
      <c r="G619" s="30">
        <v>45562</v>
      </c>
      <c r="H619">
        <v>12</v>
      </c>
      <c r="I619">
        <v>120</v>
      </c>
      <c r="J619" s="34">
        <v>535000</v>
      </c>
      <c r="K619" t="s">
        <v>178</v>
      </c>
      <c r="L619" s="34">
        <f>PMT(Loans[[#This Row],[InterestRate]]/12,Loans[[#This Row],[LoanTenureMonths]],-Loans[[#This Row],[LoanAmount]])</f>
        <v>44820.660920789676</v>
      </c>
      <c r="M619" s="30">
        <f>EDATE(Loans[[#This Row],[LoanStartDate]],Loans[[#This Row],[LoanTenureMonths]])</f>
        <v>45927</v>
      </c>
      <c r="N619" s="33">
        <f>IF(Loans[[#This Row],[LoanAmount]]=0,0,Loans[[#This Row],[CollateralValue]]/Loans[[#This Row],[LoanAmount]])</f>
        <v>1.07</v>
      </c>
      <c r="O619" t="str">
        <f>IF(Loans[[#This Row],[CollateralCoverageRatio]]&lt;1,"Undersecured","Secured")</f>
        <v>Secured</v>
      </c>
      <c r="P619" t="str">
        <f>_xlfn.XLOOKUP(Loans[[#This Row],[BranchCode]],BranchesTbl[BranchCode],BranchesTbl[BranchName])</f>
        <v>Nyahururu</v>
      </c>
      <c r="Q619">
        <f>_xlfn.XLOOKUP(Loans[[#This Row],[CustomerID]],CustomerTbl[CustomerID],CustomerTbl[RiskScore])</f>
        <v>551</v>
      </c>
      <c r="R619" t="str">
        <f>IFERROR(INDEX(RiskTbl[Risk_Category],MATCH(Loans[[#This Row],[RiskScore]],RiskTbl[Score_Min],1)),"Unknown")</f>
        <v>High Risk</v>
      </c>
      <c r="S619" t="str">
        <f>IF(OR(Loans[[#This Row],[LoanStatus]]="Default",Loans[[#This Row],[LoanStatus]]="Watchlist",Loans[[#This Row],[CollateralRisk]]="Undersecured",Loans[[#This Row],[RiskCategory]]="High Risk"),"High Risk Exposure","Normal")</f>
        <v>High Risk Exposure</v>
      </c>
      <c r="T619" t="str" cm="1">
        <f t="array" ref="T619">_xlfn.IFS(
Loans[[#This Row],[LoanStatus]]="Default","Critical",
OR(Loans[[#This Row],[LoanStatus]]="Watchlist",Loans[[#This Row],[CollateralRisk]]="Undersecured",Loans[[#This Row],[RiskCategory]]="High Risk"),"High",
TRUE,"Normal"
)</f>
        <v>Critical</v>
      </c>
    </row>
    <row r="620" spans="1:20" x14ac:dyDescent="0.35">
      <c r="A620" t="s">
        <v>1213</v>
      </c>
      <c r="B620" t="s">
        <v>815</v>
      </c>
      <c r="C620" t="s">
        <v>267</v>
      </c>
      <c r="D620" t="s">
        <v>156</v>
      </c>
      <c r="E620" s="34">
        <v>25000000</v>
      </c>
      <c r="F620" s="29">
        <v>0.17829999999999999</v>
      </c>
      <c r="G620" s="30">
        <v>44726</v>
      </c>
      <c r="H620">
        <v>12</v>
      </c>
      <c r="I620">
        <v>5</v>
      </c>
      <c r="J620" s="34">
        <v>21500000</v>
      </c>
      <c r="K620" t="s">
        <v>171</v>
      </c>
      <c r="L620" s="34">
        <f>PMT(Loans[[#This Row],[InterestRate]]/12,Loans[[#This Row],[LoanTenureMonths]],-Loans[[#This Row],[LoanAmount]])</f>
        <v>2289977.6763278814</v>
      </c>
      <c r="M620" s="30">
        <f>EDATE(Loans[[#This Row],[LoanStartDate]],Loans[[#This Row],[LoanTenureMonths]])</f>
        <v>45091</v>
      </c>
      <c r="N620" s="33">
        <f>IF(Loans[[#This Row],[LoanAmount]]=0,0,Loans[[#This Row],[CollateralValue]]/Loans[[#This Row],[LoanAmount]])</f>
        <v>0.86</v>
      </c>
      <c r="O620" t="str">
        <f>IF(Loans[[#This Row],[CollateralCoverageRatio]]&lt;1,"Undersecured","Secured")</f>
        <v>Undersecured</v>
      </c>
      <c r="P620" t="str">
        <f>_xlfn.XLOOKUP(Loans[[#This Row],[BranchCode]],BranchesTbl[BranchCode],BranchesTbl[BranchName])</f>
        <v>Malindi</v>
      </c>
      <c r="Q620">
        <f>_xlfn.XLOOKUP(Loans[[#This Row],[CustomerID]],CustomerTbl[CustomerID],CustomerTbl[RiskScore])</f>
        <v>521</v>
      </c>
      <c r="R620" t="str">
        <f>IFERROR(INDEX(RiskTbl[Risk_Category],MATCH(Loans[[#This Row],[RiskScore]],RiskTbl[Score_Min],1)),"Unknown")</f>
        <v>High Risk</v>
      </c>
      <c r="S620" t="str">
        <f>IF(OR(Loans[[#This Row],[LoanStatus]]="Default",Loans[[#This Row],[LoanStatus]]="Watchlist",Loans[[#This Row],[CollateralRisk]]="Undersecured",Loans[[#This Row],[RiskCategory]]="High Risk"),"High Risk Exposure","Normal")</f>
        <v>High Risk Exposure</v>
      </c>
      <c r="T620" t="str" cm="1">
        <f t="array" ref="T620">_xlfn.IFS(
Loans[[#This Row],[LoanStatus]]="Default","Critical",
OR(Loans[[#This Row],[LoanStatus]]="Watchlist",Loans[[#This Row],[CollateralRisk]]="Undersecured",Loans[[#This Row],[RiskCategory]]="High Risk"),"High",
TRUE,"Normal"
)</f>
        <v>High</v>
      </c>
    </row>
    <row r="621" spans="1:20" x14ac:dyDescent="0.35">
      <c r="A621" t="s">
        <v>1214</v>
      </c>
      <c r="B621" t="s">
        <v>807</v>
      </c>
      <c r="C621" t="s">
        <v>196</v>
      </c>
      <c r="D621" t="s">
        <v>156</v>
      </c>
      <c r="E621" s="34">
        <v>1000000</v>
      </c>
      <c r="F621" s="29">
        <v>0.2369</v>
      </c>
      <c r="G621" s="30">
        <v>44219</v>
      </c>
      <c r="H621">
        <v>72</v>
      </c>
      <c r="I621">
        <v>10</v>
      </c>
      <c r="J621" s="34">
        <v>910000</v>
      </c>
      <c r="K621" t="s">
        <v>171</v>
      </c>
      <c r="L621" s="34">
        <f>PMT(Loans[[#This Row],[InterestRate]]/12,Loans[[#This Row],[LoanTenureMonths]],-Loans[[#This Row],[LoanAmount]])</f>
        <v>26138.96318300044</v>
      </c>
      <c r="M621" s="30">
        <f>EDATE(Loans[[#This Row],[LoanStartDate]],Loans[[#This Row],[LoanTenureMonths]])</f>
        <v>46410</v>
      </c>
      <c r="N621" s="33">
        <f>IF(Loans[[#This Row],[LoanAmount]]=0,0,Loans[[#This Row],[CollateralValue]]/Loans[[#This Row],[LoanAmount]])</f>
        <v>0.91</v>
      </c>
      <c r="O621" t="str">
        <f>IF(Loans[[#This Row],[CollateralCoverageRatio]]&lt;1,"Undersecured","Secured")</f>
        <v>Undersecured</v>
      </c>
      <c r="P621" t="str">
        <f>_xlfn.XLOOKUP(Loans[[#This Row],[BranchCode]],BranchesTbl[BranchCode],BranchesTbl[BranchName])</f>
        <v>Karen</v>
      </c>
      <c r="Q621">
        <f>_xlfn.XLOOKUP(Loans[[#This Row],[CustomerID]],CustomerTbl[CustomerID],CustomerTbl[RiskScore])</f>
        <v>572</v>
      </c>
      <c r="R621" t="str">
        <f>IFERROR(INDEX(RiskTbl[Risk_Category],MATCH(Loans[[#This Row],[RiskScore]],RiskTbl[Score_Min],1)),"Unknown")</f>
        <v>High Risk</v>
      </c>
      <c r="S621" t="str">
        <f>IF(OR(Loans[[#This Row],[LoanStatus]]="Default",Loans[[#This Row],[LoanStatus]]="Watchlist",Loans[[#This Row],[CollateralRisk]]="Undersecured",Loans[[#This Row],[RiskCategory]]="High Risk"),"High Risk Exposure","Normal")</f>
        <v>High Risk Exposure</v>
      </c>
      <c r="T621" t="str" cm="1">
        <f t="array" ref="T621">_xlfn.IFS(
Loans[[#This Row],[LoanStatus]]="Default","Critical",
OR(Loans[[#This Row],[LoanStatus]]="Watchlist",Loans[[#This Row],[CollateralRisk]]="Undersecured",Loans[[#This Row],[RiskCategory]]="High Risk"),"High",
TRUE,"Normal"
)</f>
        <v>High</v>
      </c>
    </row>
    <row r="622" spans="1:20" x14ac:dyDescent="0.35">
      <c r="A622" t="s">
        <v>1215</v>
      </c>
      <c r="B622" t="s">
        <v>876</v>
      </c>
      <c r="C622" t="s">
        <v>184</v>
      </c>
      <c r="D622" t="s">
        <v>155</v>
      </c>
      <c r="E622" s="34">
        <v>500000</v>
      </c>
      <c r="F622" s="29">
        <v>0.19989999999999999</v>
      </c>
      <c r="G622" s="30">
        <v>44339</v>
      </c>
      <c r="H622">
        <v>72</v>
      </c>
      <c r="I622">
        <v>45</v>
      </c>
      <c r="J622" s="34">
        <v>0</v>
      </c>
      <c r="K622" t="s">
        <v>199</v>
      </c>
      <c r="L622" s="34">
        <f>PMT(Loans[[#This Row],[InterestRate]]/12,Loans[[#This Row],[LoanTenureMonths]],-Loans[[#This Row],[LoanAmount]])</f>
        <v>11973.514933820385</v>
      </c>
      <c r="M622" s="30">
        <f>EDATE(Loans[[#This Row],[LoanStartDate]],Loans[[#This Row],[LoanTenureMonths]])</f>
        <v>46530</v>
      </c>
      <c r="N622" s="33">
        <f>IF(Loans[[#This Row],[LoanAmount]]=0,0,Loans[[#This Row],[CollateralValue]]/Loans[[#This Row],[LoanAmount]])</f>
        <v>0</v>
      </c>
      <c r="O622" t="str">
        <f>IF(Loans[[#This Row],[CollateralCoverageRatio]]&lt;1,"Undersecured","Secured")</f>
        <v>Undersecured</v>
      </c>
      <c r="P622" t="str">
        <f>_xlfn.XLOOKUP(Loans[[#This Row],[BranchCode]],BranchesTbl[BranchCode],BranchesTbl[BranchName])</f>
        <v>Kisumu</v>
      </c>
      <c r="Q622">
        <f>_xlfn.XLOOKUP(Loans[[#This Row],[CustomerID]],CustomerTbl[CustomerID],CustomerTbl[RiskScore])</f>
        <v>313</v>
      </c>
      <c r="R622" t="str">
        <f>IFERROR(INDEX(RiskTbl[Risk_Category],MATCH(Loans[[#This Row],[RiskScore]],RiskTbl[Score_Min],1)),"Unknown")</f>
        <v>High Risk</v>
      </c>
      <c r="S622" t="str">
        <f>IF(OR(Loans[[#This Row],[LoanStatus]]="Default",Loans[[#This Row],[LoanStatus]]="Watchlist",Loans[[#This Row],[CollateralRisk]]="Undersecured",Loans[[#This Row],[RiskCategory]]="High Risk"),"High Risk Exposure","Normal")</f>
        <v>High Risk Exposure</v>
      </c>
      <c r="T622" t="str" cm="1">
        <f t="array" ref="T622">_xlfn.IFS(
Loans[[#This Row],[LoanStatus]]="Default","Critical",
OR(Loans[[#This Row],[LoanStatus]]="Watchlist",Loans[[#This Row],[CollateralRisk]]="Undersecured",Loans[[#This Row],[RiskCategory]]="High Risk"),"High",
TRUE,"Normal"
)</f>
        <v>High</v>
      </c>
    </row>
    <row r="623" spans="1:20" x14ac:dyDescent="0.35">
      <c r="A623" t="s">
        <v>1216</v>
      </c>
      <c r="B623" t="s">
        <v>486</v>
      </c>
      <c r="C623" t="s">
        <v>270</v>
      </c>
      <c r="D623" t="s">
        <v>158</v>
      </c>
      <c r="E623" s="34">
        <v>500000</v>
      </c>
      <c r="F623" s="29">
        <v>0.1716</v>
      </c>
      <c r="G623" s="30">
        <v>43832</v>
      </c>
      <c r="H623">
        <v>12</v>
      </c>
      <c r="I623">
        <v>0</v>
      </c>
      <c r="J623" s="34">
        <v>515000</v>
      </c>
      <c r="K623" t="s">
        <v>171</v>
      </c>
      <c r="L623" s="34">
        <f>PMT(Loans[[#This Row],[InterestRate]]/12,Loans[[#This Row],[LoanTenureMonths]],-Loans[[#This Row],[LoanAmount]])</f>
        <v>45640.350086749895</v>
      </c>
      <c r="M623" s="30">
        <f>EDATE(Loans[[#This Row],[LoanStartDate]],Loans[[#This Row],[LoanTenureMonths]])</f>
        <v>44198</v>
      </c>
      <c r="N623" s="33">
        <f>IF(Loans[[#This Row],[LoanAmount]]=0,0,Loans[[#This Row],[CollateralValue]]/Loans[[#This Row],[LoanAmount]])</f>
        <v>1.03</v>
      </c>
      <c r="O623" t="str">
        <f>IF(Loans[[#This Row],[CollateralCoverageRatio]]&lt;1,"Undersecured","Secured")</f>
        <v>Secured</v>
      </c>
      <c r="P623" t="str">
        <f>_xlfn.XLOOKUP(Loans[[#This Row],[BranchCode]],BranchesTbl[BranchCode],BranchesTbl[BranchName])</f>
        <v>Nakuru</v>
      </c>
      <c r="Q623">
        <f>_xlfn.XLOOKUP(Loans[[#This Row],[CustomerID]],CustomerTbl[CustomerID],CustomerTbl[RiskScore])</f>
        <v>799</v>
      </c>
      <c r="R623" t="str">
        <f>IFERROR(INDEX(RiskTbl[Risk_Category],MATCH(Loans[[#This Row],[RiskScore]],RiskTbl[Score_Min],1)),"Unknown")</f>
        <v>Very Low Risk</v>
      </c>
      <c r="S623" t="str">
        <f>IF(OR(Loans[[#This Row],[LoanStatus]]="Default",Loans[[#This Row],[LoanStatus]]="Watchlist",Loans[[#This Row],[CollateralRisk]]="Undersecured",Loans[[#This Row],[RiskCategory]]="High Risk"),"High Risk Exposure","Normal")</f>
        <v>Normal</v>
      </c>
      <c r="T623" t="str" cm="1">
        <f t="array" ref="T623">_xlfn.IFS(
Loans[[#This Row],[LoanStatus]]="Default","Critical",
OR(Loans[[#This Row],[LoanStatus]]="Watchlist",Loans[[#This Row],[CollateralRisk]]="Undersecured",Loans[[#This Row],[RiskCategory]]="High Risk"),"High",
TRUE,"Normal"
)</f>
        <v>Normal</v>
      </c>
    </row>
    <row r="624" spans="1:20" x14ac:dyDescent="0.35">
      <c r="A624" t="s">
        <v>1217</v>
      </c>
      <c r="B624" t="s">
        <v>1218</v>
      </c>
      <c r="C624" t="s">
        <v>267</v>
      </c>
      <c r="D624" t="s">
        <v>157</v>
      </c>
      <c r="E624" s="34">
        <v>6000000</v>
      </c>
      <c r="F624" s="29">
        <v>0.09</v>
      </c>
      <c r="G624" s="30">
        <v>44145</v>
      </c>
      <c r="H624">
        <v>72</v>
      </c>
      <c r="I624">
        <v>120</v>
      </c>
      <c r="J624" s="34">
        <v>8040000</v>
      </c>
      <c r="K624" t="s">
        <v>178</v>
      </c>
      <c r="L624" s="34">
        <f>PMT(Loans[[#This Row],[InterestRate]]/12,Loans[[#This Row],[LoanTenureMonths]],-Loans[[#This Row],[LoanAmount]])</f>
        <v>108153.22300963099</v>
      </c>
      <c r="M624" s="30">
        <f>EDATE(Loans[[#This Row],[LoanStartDate]],Loans[[#This Row],[LoanTenureMonths]])</f>
        <v>46336</v>
      </c>
      <c r="N624" s="33">
        <f>IF(Loans[[#This Row],[LoanAmount]]=0,0,Loans[[#This Row],[CollateralValue]]/Loans[[#This Row],[LoanAmount]])</f>
        <v>1.34</v>
      </c>
      <c r="O624" t="str">
        <f>IF(Loans[[#This Row],[CollateralCoverageRatio]]&lt;1,"Undersecured","Secured")</f>
        <v>Secured</v>
      </c>
      <c r="P624" t="str">
        <f>_xlfn.XLOOKUP(Loans[[#This Row],[BranchCode]],BranchesTbl[BranchCode],BranchesTbl[BranchName])</f>
        <v>Malindi</v>
      </c>
      <c r="Q624">
        <f>_xlfn.XLOOKUP(Loans[[#This Row],[CustomerID]],CustomerTbl[CustomerID],CustomerTbl[RiskScore])</f>
        <v>776</v>
      </c>
      <c r="R624" t="str">
        <f>IFERROR(INDEX(RiskTbl[Risk_Category],MATCH(Loans[[#This Row],[RiskScore]],RiskTbl[Score_Min],1)),"Unknown")</f>
        <v>Very Low Risk</v>
      </c>
      <c r="S624" t="str">
        <f>IF(OR(Loans[[#This Row],[LoanStatus]]="Default",Loans[[#This Row],[LoanStatus]]="Watchlist",Loans[[#This Row],[CollateralRisk]]="Undersecured",Loans[[#This Row],[RiskCategory]]="High Risk"),"High Risk Exposure","Normal")</f>
        <v>High Risk Exposure</v>
      </c>
      <c r="T624" t="str" cm="1">
        <f t="array" ref="T624">_xlfn.IFS(
Loans[[#This Row],[LoanStatus]]="Default","Critical",
OR(Loans[[#This Row],[LoanStatus]]="Watchlist",Loans[[#This Row],[CollateralRisk]]="Undersecured",Loans[[#This Row],[RiskCategory]]="High Risk"),"High",
TRUE,"Normal"
)</f>
        <v>Critical</v>
      </c>
    </row>
    <row r="625" spans="1:20" x14ac:dyDescent="0.35">
      <c r="A625" t="s">
        <v>1219</v>
      </c>
      <c r="B625" t="s">
        <v>1220</v>
      </c>
      <c r="C625" t="s">
        <v>170</v>
      </c>
      <c r="D625" t="s">
        <v>158</v>
      </c>
      <c r="E625" s="34">
        <v>500000</v>
      </c>
      <c r="F625" s="29">
        <v>0.13070000000000001</v>
      </c>
      <c r="G625" s="30">
        <v>44370</v>
      </c>
      <c r="H625">
        <v>60</v>
      </c>
      <c r="I625">
        <v>45</v>
      </c>
      <c r="J625" s="34">
        <v>730000</v>
      </c>
      <c r="K625" t="s">
        <v>199</v>
      </c>
      <c r="L625" s="34">
        <f>PMT(Loans[[#This Row],[InterestRate]]/12,Loans[[#This Row],[LoanTenureMonths]],-Loans[[#This Row],[LoanAmount]])</f>
        <v>11394.461392862577</v>
      </c>
      <c r="M625" s="30">
        <f>EDATE(Loans[[#This Row],[LoanStartDate]],Loans[[#This Row],[LoanTenureMonths]])</f>
        <v>46196</v>
      </c>
      <c r="N625" s="33">
        <f>IF(Loans[[#This Row],[LoanAmount]]=0,0,Loans[[#This Row],[CollateralValue]]/Loans[[#This Row],[LoanAmount]])</f>
        <v>1.46</v>
      </c>
      <c r="O625" t="str">
        <f>IF(Loans[[#This Row],[CollateralCoverageRatio]]&lt;1,"Undersecured","Secured")</f>
        <v>Secured</v>
      </c>
      <c r="P625" t="str">
        <f>_xlfn.XLOOKUP(Loans[[#This Row],[BranchCode]],BranchesTbl[BranchCode],BranchesTbl[BranchName])</f>
        <v>Thika</v>
      </c>
      <c r="Q625">
        <f>_xlfn.XLOOKUP(Loans[[#This Row],[CustomerID]],CustomerTbl[CustomerID],CustomerTbl[RiskScore])</f>
        <v>463</v>
      </c>
      <c r="R625" t="str">
        <f>IFERROR(INDEX(RiskTbl[Risk_Category],MATCH(Loans[[#This Row],[RiskScore]],RiskTbl[Score_Min],1)),"Unknown")</f>
        <v>High Risk</v>
      </c>
      <c r="S625" t="str">
        <f>IF(OR(Loans[[#This Row],[LoanStatus]]="Default",Loans[[#This Row],[LoanStatus]]="Watchlist",Loans[[#This Row],[CollateralRisk]]="Undersecured",Loans[[#This Row],[RiskCategory]]="High Risk"),"High Risk Exposure","Normal")</f>
        <v>High Risk Exposure</v>
      </c>
      <c r="T625" t="str" cm="1">
        <f t="array" ref="T625">_xlfn.IFS(
Loans[[#This Row],[LoanStatus]]="Default","Critical",
OR(Loans[[#This Row],[LoanStatus]]="Watchlist",Loans[[#This Row],[CollateralRisk]]="Undersecured",Loans[[#This Row],[RiskCategory]]="High Risk"),"High",
TRUE,"Normal"
)</f>
        <v>High</v>
      </c>
    </row>
    <row r="626" spans="1:20" x14ac:dyDescent="0.35">
      <c r="A626" t="s">
        <v>1221</v>
      </c>
      <c r="B626" t="s">
        <v>1222</v>
      </c>
      <c r="C626" t="s">
        <v>267</v>
      </c>
      <c r="D626" t="s">
        <v>156</v>
      </c>
      <c r="E626" s="34">
        <v>6000000</v>
      </c>
      <c r="F626" s="29">
        <v>0.20799999999999999</v>
      </c>
      <c r="G626" s="30">
        <v>44289</v>
      </c>
      <c r="H626">
        <v>48</v>
      </c>
      <c r="I626">
        <v>0</v>
      </c>
      <c r="J626" s="34">
        <v>6900000</v>
      </c>
      <c r="K626" t="s">
        <v>171</v>
      </c>
      <c r="L626" s="34">
        <f>PMT(Loans[[#This Row],[InterestRate]]/12,Loans[[#This Row],[LoanTenureMonths]],-Loans[[#This Row],[LoanAmount]])</f>
        <v>185149.33908096034</v>
      </c>
      <c r="M626" s="30">
        <f>EDATE(Loans[[#This Row],[LoanStartDate]],Loans[[#This Row],[LoanTenureMonths]])</f>
        <v>45750</v>
      </c>
      <c r="N626" s="33">
        <f>IF(Loans[[#This Row],[LoanAmount]]=0,0,Loans[[#This Row],[CollateralValue]]/Loans[[#This Row],[LoanAmount]])</f>
        <v>1.1499999999999999</v>
      </c>
      <c r="O626" t="str">
        <f>IF(Loans[[#This Row],[CollateralCoverageRatio]]&lt;1,"Undersecured","Secured")</f>
        <v>Secured</v>
      </c>
      <c r="P626" t="str">
        <f>_xlfn.XLOOKUP(Loans[[#This Row],[BranchCode]],BranchesTbl[BranchCode],BranchesTbl[BranchName])</f>
        <v>Malindi</v>
      </c>
      <c r="Q626">
        <f>_xlfn.XLOOKUP(Loans[[#This Row],[CustomerID]],CustomerTbl[CustomerID],CustomerTbl[RiskScore])</f>
        <v>472</v>
      </c>
      <c r="R626" t="str">
        <f>IFERROR(INDEX(RiskTbl[Risk_Category],MATCH(Loans[[#This Row],[RiskScore]],RiskTbl[Score_Min],1)),"Unknown")</f>
        <v>High Risk</v>
      </c>
      <c r="S626" t="str">
        <f>IF(OR(Loans[[#This Row],[LoanStatus]]="Default",Loans[[#This Row],[LoanStatus]]="Watchlist",Loans[[#This Row],[CollateralRisk]]="Undersecured",Loans[[#This Row],[RiskCategory]]="High Risk"),"High Risk Exposure","Normal")</f>
        <v>High Risk Exposure</v>
      </c>
      <c r="T626" t="str" cm="1">
        <f t="array" ref="T626">_xlfn.IFS(
Loans[[#This Row],[LoanStatus]]="Default","Critical",
OR(Loans[[#This Row],[LoanStatus]]="Watchlist",Loans[[#This Row],[CollateralRisk]]="Undersecured",Loans[[#This Row],[RiskCategory]]="High Risk"),"High",
TRUE,"Normal"
)</f>
        <v>High</v>
      </c>
    </row>
    <row r="627" spans="1:20" x14ac:dyDescent="0.35">
      <c r="A627" t="s">
        <v>1223</v>
      </c>
      <c r="B627" t="s">
        <v>1196</v>
      </c>
      <c r="C627" t="s">
        <v>206</v>
      </c>
      <c r="D627" t="s">
        <v>158</v>
      </c>
      <c r="E627" s="34">
        <v>500000</v>
      </c>
      <c r="F627" s="29">
        <v>0.15190000000000001</v>
      </c>
      <c r="G627" s="30">
        <v>44188</v>
      </c>
      <c r="H627">
        <v>60</v>
      </c>
      <c r="I627">
        <v>10</v>
      </c>
      <c r="J627" s="34">
        <v>605000</v>
      </c>
      <c r="K627" t="s">
        <v>171</v>
      </c>
      <c r="L627" s="34">
        <f>PMT(Loans[[#This Row],[InterestRate]]/12,Loans[[#This Row],[LoanTenureMonths]],-Loans[[#This Row],[LoanAmount]])</f>
        <v>11944.889872264417</v>
      </c>
      <c r="M627" s="30">
        <f>EDATE(Loans[[#This Row],[LoanStartDate]],Loans[[#This Row],[LoanTenureMonths]])</f>
        <v>46014</v>
      </c>
      <c r="N627" s="33">
        <f>IF(Loans[[#This Row],[LoanAmount]]=0,0,Loans[[#This Row],[CollateralValue]]/Loans[[#This Row],[LoanAmount]])</f>
        <v>1.21</v>
      </c>
      <c r="O627" t="str">
        <f>IF(Loans[[#This Row],[CollateralCoverageRatio]]&lt;1,"Undersecured","Secured")</f>
        <v>Secured</v>
      </c>
      <c r="P627" t="str">
        <f>_xlfn.XLOOKUP(Loans[[#This Row],[BranchCode]],BranchesTbl[BranchCode],BranchesTbl[BranchName])</f>
        <v>Nyahururu</v>
      </c>
      <c r="Q627">
        <f>_xlfn.XLOOKUP(Loans[[#This Row],[CustomerID]],CustomerTbl[CustomerID],CustomerTbl[RiskScore])</f>
        <v>657</v>
      </c>
      <c r="R627" t="str">
        <f>IFERROR(INDEX(RiskTbl[Risk_Category],MATCH(Loans[[#This Row],[RiskScore]],RiskTbl[Score_Min],1)),"Unknown")</f>
        <v>Medium Risk</v>
      </c>
      <c r="S627" t="str">
        <f>IF(OR(Loans[[#This Row],[LoanStatus]]="Default",Loans[[#This Row],[LoanStatus]]="Watchlist",Loans[[#This Row],[CollateralRisk]]="Undersecured",Loans[[#This Row],[RiskCategory]]="High Risk"),"High Risk Exposure","Normal")</f>
        <v>Normal</v>
      </c>
      <c r="T627" t="str" cm="1">
        <f t="array" ref="T627">_xlfn.IFS(
Loans[[#This Row],[LoanStatus]]="Default","Critical",
OR(Loans[[#This Row],[LoanStatus]]="Watchlist",Loans[[#This Row],[CollateralRisk]]="Undersecured",Loans[[#This Row],[RiskCategory]]="High Risk"),"High",
TRUE,"Normal"
)</f>
        <v>Normal</v>
      </c>
    </row>
    <row r="628" spans="1:20" x14ac:dyDescent="0.35">
      <c r="A628" t="s">
        <v>1224</v>
      </c>
      <c r="B628" t="s">
        <v>538</v>
      </c>
      <c r="C628" t="s">
        <v>206</v>
      </c>
      <c r="D628" t="s">
        <v>156</v>
      </c>
      <c r="E628" s="34">
        <v>6000000</v>
      </c>
      <c r="F628" s="29">
        <v>0.1903</v>
      </c>
      <c r="G628" s="30">
        <v>43935</v>
      </c>
      <c r="H628">
        <v>60</v>
      </c>
      <c r="I628">
        <v>0</v>
      </c>
      <c r="J628" s="34">
        <v>8880000</v>
      </c>
      <c r="K628" t="s">
        <v>171</v>
      </c>
      <c r="L628" s="34">
        <f>PMT(Loans[[#This Row],[InterestRate]]/12,Loans[[#This Row],[LoanTenureMonths]],-Loans[[#This Row],[LoanAmount]])</f>
        <v>155742.36661054188</v>
      </c>
      <c r="M628" s="30">
        <f>EDATE(Loans[[#This Row],[LoanStartDate]],Loans[[#This Row],[LoanTenureMonths]])</f>
        <v>45761</v>
      </c>
      <c r="N628" s="33">
        <f>IF(Loans[[#This Row],[LoanAmount]]=0,0,Loans[[#This Row],[CollateralValue]]/Loans[[#This Row],[LoanAmount]])</f>
        <v>1.48</v>
      </c>
      <c r="O628" t="str">
        <f>IF(Loans[[#This Row],[CollateralCoverageRatio]]&lt;1,"Undersecured","Secured")</f>
        <v>Secured</v>
      </c>
      <c r="P628" t="str">
        <f>_xlfn.XLOOKUP(Loans[[#This Row],[BranchCode]],BranchesTbl[BranchCode],BranchesTbl[BranchName])</f>
        <v>Nyahururu</v>
      </c>
      <c r="Q628">
        <f>_xlfn.XLOOKUP(Loans[[#This Row],[CustomerID]],CustomerTbl[CustomerID],CustomerTbl[RiskScore])</f>
        <v>325</v>
      </c>
      <c r="R628" t="str">
        <f>IFERROR(INDEX(RiskTbl[Risk_Category],MATCH(Loans[[#This Row],[RiskScore]],RiskTbl[Score_Min],1)),"Unknown")</f>
        <v>High Risk</v>
      </c>
      <c r="S628" t="str">
        <f>IF(OR(Loans[[#This Row],[LoanStatus]]="Default",Loans[[#This Row],[LoanStatus]]="Watchlist",Loans[[#This Row],[CollateralRisk]]="Undersecured",Loans[[#This Row],[RiskCategory]]="High Risk"),"High Risk Exposure","Normal")</f>
        <v>High Risk Exposure</v>
      </c>
      <c r="T628" t="str" cm="1">
        <f t="array" ref="T628">_xlfn.IFS(
Loans[[#This Row],[LoanStatus]]="Default","Critical",
OR(Loans[[#This Row],[LoanStatus]]="Watchlist",Loans[[#This Row],[CollateralRisk]]="Undersecured",Loans[[#This Row],[RiskCategory]]="High Risk"),"High",
TRUE,"Normal"
)</f>
        <v>High</v>
      </c>
    </row>
    <row r="629" spans="1:20" x14ac:dyDescent="0.35">
      <c r="A629" t="s">
        <v>1225</v>
      </c>
      <c r="B629" t="s">
        <v>509</v>
      </c>
      <c r="C629" t="s">
        <v>170</v>
      </c>
      <c r="D629" t="s">
        <v>157</v>
      </c>
      <c r="E629" s="34">
        <v>25000000</v>
      </c>
      <c r="F629" s="29">
        <v>0.1139</v>
      </c>
      <c r="G629" s="30">
        <v>44124</v>
      </c>
      <c r="H629">
        <v>36</v>
      </c>
      <c r="I629">
        <v>10</v>
      </c>
      <c r="J629" s="34">
        <v>19750000</v>
      </c>
      <c r="K629" t="s">
        <v>171</v>
      </c>
      <c r="L629" s="34">
        <f>PMT(Loans[[#This Row],[InterestRate]]/12,Loans[[#This Row],[LoanTenureMonths]],-Loans[[#This Row],[LoanAmount]])</f>
        <v>823092.89296993101</v>
      </c>
      <c r="M629" s="30">
        <f>EDATE(Loans[[#This Row],[LoanStartDate]],Loans[[#This Row],[LoanTenureMonths]])</f>
        <v>45219</v>
      </c>
      <c r="N629" s="33">
        <f>IF(Loans[[#This Row],[LoanAmount]]=0,0,Loans[[#This Row],[CollateralValue]]/Loans[[#This Row],[LoanAmount]])</f>
        <v>0.79</v>
      </c>
      <c r="O629" t="str">
        <f>IF(Loans[[#This Row],[CollateralCoverageRatio]]&lt;1,"Undersecured","Secured")</f>
        <v>Undersecured</v>
      </c>
      <c r="P629" t="str">
        <f>_xlfn.XLOOKUP(Loans[[#This Row],[BranchCode]],BranchesTbl[BranchCode],BranchesTbl[BranchName])</f>
        <v>Thika</v>
      </c>
      <c r="Q629">
        <f>_xlfn.XLOOKUP(Loans[[#This Row],[CustomerID]],CustomerTbl[CustomerID],CustomerTbl[RiskScore])</f>
        <v>733</v>
      </c>
      <c r="R629" t="str">
        <f>IFERROR(INDEX(RiskTbl[Risk_Category],MATCH(Loans[[#This Row],[RiskScore]],RiskTbl[Score_Min],1)),"Unknown")</f>
        <v>Low Risk</v>
      </c>
      <c r="S629" t="str">
        <f>IF(OR(Loans[[#This Row],[LoanStatus]]="Default",Loans[[#This Row],[LoanStatus]]="Watchlist",Loans[[#This Row],[CollateralRisk]]="Undersecured",Loans[[#This Row],[RiskCategory]]="High Risk"),"High Risk Exposure","Normal")</f>
        <v>High Risk Exposure</v>
      </c>
      <c r="T629" t="str" cm="1">
        <f t="array" ref="T629">_xlfn.IFS(
Loans[[#This Row],[LoanStatus]]="Default","Critical",
OR(Loans[[#This Row],[LoanStatus]]="Watchlist",Loans[[#This Row],[CollateralRisk]]="Undersecured",Loans[[#This Row],[RiskCategory]]="High Risk"),"High",
TRUE,"Normal"
)</f>
        <v>High</v>
      </c>
    </row>
    <row r="630" spans="1:20" x14ac:dyDescent="0.35">
      <c r="A630" t="s">
        <v>1226</v>
      </c>
      <c r="B630" t="s">
        <v>1227</v>
      </c>
      <c r="C630" t="s">
        <v>190</v>
      </c>
      <c r="D630" t="s">
        <v>156</v>
      </c>
      <c r="E630" s="34">
        <v>1000000</v>
      </c>
      <c r="F630" s="29">
        <v>0.20549999999999999</v>
      </c>
      <c r="G630" s="30">
        <v>45120</v>
      </c>
      <c r="H630">
        <v>48</v>
      </c>
      <c r="I630">
        <v>5</v>
      </c>
      <c r="J630" s="34">
        <v>970000</v>
      </c>
      <c r="K630" t="s">
        <v>171</v>
      </c>
      <c r="L630" s="34">
        <f>PMT(Loans[[#This Row],[InterestRate]]/12,Loans[[#This Row],[LoanTenureMonths]],-Loans[[#This Row],[LoanAmount]])</f>
        <v>30724.168002307957</v>
      </c>
      <c r="M630" s="30">
        <f>EDATE(Loans[[#This Row],[LoanStartDate]],Loans[[#This Row],[LoanTenureMonths]])</f>
        <v>46581</v>
      </c>
      <c r="N630" s="33">
        <f>IF(Loans[[#This Row],[LoanAmount]]=0,0,Loans[[#This Row],[CollateralValue]]/Loans[[#This Row],[LoanAmount]])</f>
        <v>0.97</v>
      </c>
      <c r="O630" t="str">
        <f>IF(Loans[[#This Row],[CollateralCoverageRatio]]&lt;1,"Undersecured","Secured")</f>
        <v>Undersecured</v>
      </c>
      <c r="P630" t="str">
        <f>_xlfn.XLOOKUP(Loans[[#This Row],[BranchCode]],BranchesTbl[BranchCode],BranchesTbl[BranchName])</f>
        <v>Nyeri</v>
      </c>
      <c r="Q630">
        <f>_xlfn.XLOOKUP(Loans[[#This Row],[CustomerID]],CustomerTbl[CustomerID],CustomerTbl[RiskScore])</f>
        <v>430</v>
      </c>
      <c r="R630" t="str">
        <f>IFERROR(INDEX(RiskTbl[Risk_Category],MATCH(Loans[[#This Row],[RiskScore]],RiskTbl[Score_Min],1)),"Unknown")</f>
        <v>High Risk</v>
      </c>
      <c r="S630" t="str">
        <f>IF(OR(Loans[[#This Row],[LoanStatus]]="Default",Loans[[#This Row],[LoanStatus]]="Watchlist",Loans[[#This Row],[CollateralRisk]]="Undersecured",Loans[[#This Row],[RiskCategory]]="High Risk"),"High Risk Exposure","Normal")</f>
        <v>High Risk Exposure</v>
      </c>
      <c r="T630" t="str" cm="1">
        <f t="array" ref="T630">_xlfn.IFS(
Loans[[#This Row],[LoanStatus]]="Default","Critical",
OR(Loans[[#This Row],[LoanStatus]]="Watchlist",Loans[[#This Row],[CollateralRisk]]="Undersecured",Loans[[#This Row],[RiskCategory]]="High Risk"),"High",
TRUE,"Normal"
)</f>
        <v>High</v>
      </c>
    </row>
    <row r="631" spans="1:20" x14ac:dyDescent="0.35">
      <c r="A631" t="s">
        <v>1228</v>
      </c>
      <c r="B631" t="s">
        <v>1139</v>
      </c>
      <c r="C631" t="s">
        <v>196</v>
      </c>
      <c r="D631" t="s">
        <v>157</v>
      </c>
      <c r="E631" s="34">
        <v>6000000</v>
      </c>
      <c r="F631" s="29">
        <v>0.1389</v>
      </c>
      <c r="G631" s="30">
        <v>46002</v>
      </c>
      <c r="H631">
        <v>72</v>
      </c>
      <c r="I631">
        <v>0</v>
      </c>
      <c r="J631" s="34">
        <v>8520000</v>
      </c>
      <c r="K631" t="s">
        <v>171</v>
      </c>
      <c r="L631" s="34">
        <f>PMT(Loans[[#This Row],[InterestRate]]/12,Loans[[#This Row],[LoanTenureMonths]],-Loans[[#This Row],[LoanAmount]])</f>
        <v>123281.30539959382</v>
      </c>
      <c r="M631" s="30">
        <f>EDATE(Loans[[#This Row],[LoanStartDate]],Loans[[#This Row],[LoanTenureMonths]])</f>
        <v>48193</v>
      </c>
      <c r="N631" s="33">
        <f>IF(Loans[[#This Row],[LoanAmount]]=0,0,Loans[[#This Row],[CollateralValue]]/Loans[[#This Row],[LoanAmount]])</f>
        <v>1.42</v>
      </c>
      <c r="O631" t="str">
        <f>IF(Loans[[#This Row],[CollateralCoverageRatio]]&lt;1,"Undersecured","Secured")</f>
        <v>Secured</v>
      </c>
      <c r="P631" t="str">
        <f>_xlfn.XLOOKUP(Loans[[#This Row],[BranchCode]],BranchesTbl[BranchCode],BranchesTbl[BranchName])</f>
        <v>Karen</v>
      </c>
      <c r="Q631">
        <f>_xlfn.XLOOKUP(Loans[[#This Row],[CustomerID]],CustomerTbl[CustomerID],CustomerTbl[RiskScore])</f>
        <v>696</v>
      </c>
      <c r="R631" t="str">
        <f>IFERROR(INDEX(RiskTbl[Risk_Category],MATCH(Loans[[#This Row],[RiskScore]],RiskTbl[Score_Min],1)),"Unknown")</f>
        <v>Low Risk</v>
      </c>
      <c r="S631" t="str">
        <f>IF(OR(Loans[[#This Row],[LoanStatus]]="Default",Loans[[#This Row],[LoanStatus]]="Watchlist",Loans[[#This Row],[CollateralRisk]]="Undersecured",Loans[[#This Row],[RiskCategory]]="High Risk"),"High Risk Exposure","Normal")</f>
        <v>Normal</v>
      </c>
      <c r="T631" t="str" cm="1">
        <f t="array" ref="T631">_xlfn.IFS(
Loans[[#This Row],[LoanStatus]]="Default","Critical",
OR(Loans[[#This Row],[LoanStatus]]="Watchlist",Loans[[#This Row],[CollateralRisk]]="Undersecured",Loans[[#This Row],[RiskCategory]]="High Risk"),"High",
TRUE,"Normal"
)</f>
        <v>Normal</v>
      </c>
    </row>
    <row r="632" spans="1:20" x14ac:dyDescent="0.35">
      <c r="A632" t="s">
        <v>1229</v>
      </c>
      <c r="B632" t="s">
        <v>1230</v>
      </c>
      <c r="C632" t="s">
        <v>232</v>
      </c>
      <c r="D632" t="s">
        <v>156</v>
      </c>
      <c r="E632" s="34">
        <v>6000000</v>
      </c>
      <c r="F632" s="29">
        <v>0.20960000000000001</v>
      </c>
      <c r="G632" s="30">
        <v>44313</v>
      </c>
      <c r="H632">
        <v>48</v>
      </c>
      <c r="I632">
        <v>10</v>
      </c>
      <c r="J632" s="34">
        <v>4080000</v>
      </c>
      <c r="K632" t="s">
        <v>171</v>
      </c>
      <c r="L632" s="34">
        <f>PMT(Loans[[#This Row],[InterestRate]]/12,Loans[[#This Row],[LoanTenureMonths]],-Loans[[#This Row],[LoanAmount]])</f>
        <v>185665.10662320396</v>
      </c>
      <c r="M632" s="30">
        <f>EDATE(Loans[[#This Row],[LoanStartDate]],Loans[[#This Row],[LoanTenureMonths]])</f>
        <v>45774</v>
      </c>
      <c r="N632" s="33">
        <f>IF(Loans[[#This Row],[LoanAmount]]=0,0,Loans[[#This Row],[CollateralValue]]/Loans[[#This Row],[LoanAmount]])</f>
        <v>0.68</v>
      </c>
      <c r="O632" t="str">
        <f>IF(Loans[[#This Row],[CollateralCoverageRatio]]&lt;1,"Undersecured","Secured")</f>
        <v>Undersecured</v>
      </c>
      <c r="P632" t="str">
        <f>_xlfn.XLOOKUP(Loans[[#This Row],[BranchCode]],BranchesTbl[BranchCode],BranchesTbl[BranchName])</f>
        <v>Upper Hill</v>
      </c>
      <c r="Q632">
        <f>_xlfn.XLOOKUP(Loans[[#This Row],[CustomerID]],CustomerTbl[CustomerID],CustomerTbl[RiskScore])</f>
        <v>654</v>
      </c>
      <c r="R632" t="str">
        <f>IFERROR(INDEX(RiskTbl[Risk_Category],MATCH(Loans[[#This Row],[RiskScore]],RiskTbl[Score_Min],1)),"Unknown")</f>
        <v>Medium Risk</v>
      </c>
      <c r="S632" t="str">
        <f>IF(OR(Loans[[#This Row],[LoanStatus]]="Default",Loans[[#This Row],[LoanStatus]]="Watchlist",Loans[[#This Row],[CollateralRisk]]="Undersecured",Loans[[#This Row],[RiskCategory]]="High Risk"),"High Risk Exposure","Normal")</f>
        <v>High Risk Exposure</v>
      </c>
      <c r="T632" t="str" cm="1">
        <f t="array" ref="T632">_xlfn.IFS(
Loans[[#This Row],[LoanStatus]]="Default","Critical",
OR(Loans[[#This Row],[LoanStatus]]="Watchlist",Loans[[#This Row],[CollateralRisk]]="Undersecured",Loans[[#This Row],[RiskCategory]]="High Risk"),"High",
TRUE,"Normal"
)</f>
        <v>High</v>
      </c>
    </row>
    <row r="633" spans="1:20" x14ac:dyDescent="0.35">
      <c r="A633" t="s">
        <v>1231</v>
      </c>
      <c r="B633" t="s">
        <v>1057</v>
      </c>
      <c r="C633" t="s">
        <v>196</v>
      </c>
      <c r="D633" t="s">
        <v>157</v>
      </c>
      <c r="E633" s="34">
        <v>80000000</v>
      </c>
      <c r="F633" s="29">
        <v>0.12670000000000001</v>
      </c>
      <c r="G633" s="30">
        <v>44666</v>
      </c>
      <c r="H633">
        <v>60</v>
      </c>
      <c r="I633">
        <v>5</v>
      </c>
      <c r="J633" s="34">
        <v>108800000</v>
      </c>
      <c r="K633" t="s">
        <v>171</v>
      </c>
      <c r="L633" s="34">
        <f>PMT(Loans[[#This Row],[InterestRate]]/12,Loans[[#This Row],[LoanTenureMonths]],-Loans[[#This Row],[LoanAmount]])</f>
        <v>1806759.9903329364</v>
      </c>
      <c r="M633" s="30">
        <f>EDATE(Loans[[#This Row],[LoanStartDate]],Loans[[#This Row],[LoanTenureMonths]])</f>
        <v>46492</v>
      </c>
      <c r="N633" s="33">
        <f>IF(Loans[[#This Row],[LoanAmount]]=0,0,Loans[[#This Row],[CollateralValue]]/Loans[[#This Row],[LoanAmount]])</f>
        <v>1.36</v>
      </c>
      <c r="O633" t="str">
        <f>IF(Loans[[#This Row],[CollateralCoverageRatio]]&lt;1,"Undersecured","Secured")</f>
        <v>Secured</v>
      </c>
      <c r="P633" t="str">
        <f>_xlfn.XLOOKUP(Loans[[#This Row],[BranchCode]],BranchesTbl[BranchCode],BranchesTbl[BranchName])</f>
        <v>Karen</v>
      </c>
      <c r="Q633">
        <f>_xlfn.XLOOKUP(Loans[[#This Row],[CustomerID]],CustomerTbl[CustomerID],CustomerTbl[RiskScore])</f>
        <v>631</v>
      </c>
      <c r="R633" t="str">
        <f>IFERROR(INDEX(RiskTbl[Risk_Category],MATCH(Loans[[#This Row],[RiskScore]],RiskTbl[Score_Min],1)),"Unknown")</f>
        <v>Medium Risk</v>
      </c>
      <c r="S633" t="str">
        <f>IF(OR(Loans[[#This Row],[LoanStatus]]="Default",Loans[[#This Row],[LoanStatus]]="Watchlist",Loans[[#This Row],[CollateralRisk]]="Undersecured",Loans[[#This Row],[RiskCategory]]="High Risk"),"High Risk Exposure","Normal")</f>
        <v>Normal</v>
      </c>
      <c r="T633" t="str" cm="1">
        <f t="array" ref="T633">_xlfn.IFS(
Loans[[#This Row],[LoanStatus]]="Default","Critical",
OR(Loans[[#This Row],[LoanStatus]]="Watchlist",Loans[[#This Row],[CollateralRisk]]="Undersecured",Loans[[#This Row],[RiskCategory]]="High Risk"),"High",
TRUE,"Normal"
)</f>
        <v>Normal</v>
      </c>
    </row>
    <row r="634" spans="1:20" x14ac:dyDescent="0.35">
      <c r="A634" t="s">
        <v>1232</v>
      </c>
      <c r="B634" t="s">
        <v>1139</v>
      </c>
      <c r="C634" t="s">
        <v>196</v>
      </c>
      <c r="D634" t="s">
        <v>155</v>
      </c>
      <c r="E634" s="34">
        <v>500000</v>
      </c>
      <c r="F634" s="29">
        <v>0.23080000000000001</v>
      </c>
      <c r="G634" s="30">
        <v>45860</v>
      </c>
      <c r="H634">
        <v>12</v>
      </c>
      <c r="I634">
        <v>0</v>
      </c>
      <c r="J634" s="34">
        <v>0</v>
      </c>
      <c r="K634" t="s">
        <v>171</v>
      </c>
      <c r="L634" s="34">
        <f>PMT(Loans[[#This Row],[InterestRate]]/12,Loans[[#This Row],[LoanTenureMonths]],-Loans[[#This Row],[LoanAmount]])</f>
        <v>47057.46715594847</v>
      </c>
      <c r="M634" s="30">
        <f>EDATE(Loans[[#This Row],[LoanStartDate]],Loans[[#This Row],[LoanTenureMonths]])</f>
        <v>46225</v>
      </c>
      <c r="N634" s="33">
        <f>IF(Loans[[#This Row],[LoanAmount]]=0,0,Loans[[#This Row],[CollateralValue]]/Loans[[#This Row],[LoanAmount]])</f>
        <v>0</v>
      </c>
      <c r="O634" t="str">
        <f>IF(Loans[[#This Row],[CollateralCoverageRatio]]&lt;1,"Undersecured","Secured")</f>
        <v>Undersecured</v>
      </c>
      <c r="P634" t="str">
        <f>_xlfn.XLOOKUP(Loans[[#This Row],[BranchCode]],BranchesTbl[BranchCode],BranchesTbl[BranchName])</f>
        <v>Karen</v>
      </c>
      <c r="Q634">
        <f>_xlfn.XLOOKUP(Loans[[#This Row],[CustomerID]],CustomerTbl[CustomerID],CustomerTbl[RiskScore])</f>
        <v>696</v>
      </c>
      <c r="R634" t="str">
        <f>IFERROR(INDEX(RiskTbl[Risk_Category],MATCH(Loans[[#This Row],[RiskScore]],RiskTbl[Score_Min],1)),"Unknown")</f>
        <v>Low Risk</v>
      </c>
      <c r="S634" t="str">
        <f>IF(OR(Loans[[#This Row],[LoanStatus]]="Default",Loans[[#This Row],[LoanStatus]]="Watchlist",Loans[[#This Row],[CollateralRisk]]="Undersecured",Loans[[#This Row],[RiskCategory]]="High Risk"),"High Risk Exposure","Normal")</f>
        <v>High Risk Exposure</v>
      </c>
      <c r="T634" t="str" cm="1">
        <f t="array" ref="T634">_xlfn.IFS(
Loans[[#This Row],[LoanStatus]]="Default","Critical",
OR(Loans[[#This Row],[LoanStatus]]="Watchlist",Loans[[#This Row],[CollateralRisk]]="Undersecured",Loans[[#This Row],[RiskCategory]]="High Risk"),"High",
TRUE,"Normal"
)</f>
        <v>High</v>
      </c>
    </row>
    <row r="635" spans="1:20" x14ac:dyDescent="0.35">
      <c r="A635" t="s">
        <v>1233</v>
      </c>
      <c r="B635" t="s">
        <v>1234</v>
      </c>
      <c r="C635" t="s">
        <v>181</v>
      </c>
      <c r="D635" t="s">
        <v>155</v>
      </c>
      <c r="E635" s="34">
        <v>100000</v>
      </c>
      <c r="F635" s="29">
        <v>0.21510000000000001</v>
      </c>
      <c r="G635" s="30">
        <v>45575</v>
      </c>
      <c r="H635">
        <v>60</v>
      </c>
      <c r="I635">
        <v>5</v>
      </c>
      <c r="J635" s="34">
        <v>0</v>
      </c>
      <c r="K635" t="s">
        <v>171</v>
      </c>
      <c r="L635" s="34">
        <f>PMT(Loans[[#This Row],[InterestRate]]/12,Loans[[#This Row],[LoanTenureMonths]],-Loans[[#This Row],[LoanAmount]])</f>
        <v>2734.1036544443359</v>
      </c>
      <c r="M635" s="30">
        <f>EDATE(Loans[[#This Row],[LoanStartDate]],Loans[[#This Row],[LoanTenureMonths]])</f>
        <v>47401</v>
      </c>
      <c r="N635" s="33">
        <f>IF(Loans[[#This Row],[LoanAmount]]=0,0,Loans[[#This Row],[CollateralValue]]/Loans[[#This Row],[LoanAmount]])</f>
        <v>0</v>
      </c>
      <c r="O635" t="str">
        <f>IF(Loans[[#This Row],[CollateralCoverageRatio]]&lt;1,"Undersecured","Secured")</f>
        <v>Undersecured</v>
      </c>
      <c r="P635" t="str">
        <f>_xlfn.XLOOKUP(Loans[[#This Row],[BranchCode]],BranchesTbl[BranchCode],BranchesTbl[BranchName])</f>
        <v>Kitale</v>
      </c>
      <c r="Q635">
        <f>_xlfn.XLOOKUP(Loans[[#This Row],[CustomerID]],CustomerTbl[CustomerID],CustomerTbl[RiskScore])</f>
        <v>500</v>
      </c>
      <c r="R635" t="str">
        <f>IFERROR(INDEX(RiskTbl[Risk_Category],MATCH(Loans[[#This Row],[RiskScore]],RiskTbl[Score_Min],1)),"Unknown")</f>
        <v>High Risk</v>
      </c>
      <c r="S635" t="str">
        <f>IF(OR(Loans[[#This Row],[LoanStatus]]="Default",Loans[[#This Row],[LoanStatus]]="Watchlist",Loans[[#This Row],[CollateralRisk]]="Undersecured",Loans[[#This Row],[RiskCategory]]="High Risk"),"High Risk Exposure","Normal")</f>
        <v>High Risk Exposure</v>
      </c>
      <c r="T635" t="str" cm="1">
        <f t="array" ref="T635">_xlfn.IFS(
Loans[[#This Row],[LoanStatus]]="Default","Critical",
OR(Loans[[#This Row],[LoanStatus]]="Watchlist",Loans[[#This Row],[CollateralRisk]]="Undersecured",Loans[[#This Row],[RiskCategory]]="High Risk"),"High",
TRUE,"Normal"
)</f>
        <v>High</v>
      </c>
    </row>
    <row r="636" spans="1:20" x14ac:dyDescent="0.35">
      <c r="A636" t="s">
        <v>1235</v>
      </c>
      <c r="B636" t="s">
        <v>277</v>
      </c>
      <c r="C636" t="s">
        <v>206</v>
      </c>
      <c r="D636" t="s">
        <v>156</v>
      </c>
      <c r="E636" s="34">
        <v>3000000</v>
      </c>
      <c r="F636" s="29">
        <v>0.15679999999999999</v>
      </c>
      <c r="G636" s="30">
        <v>45988</v>
      </c>
      <c r="H636">
        <v>60</v>
      </c>
      <c r="I636">
        <v>0</v>
      </c>
      <c r="J636" s="34">
        <v>1830000</v>
      </c>
      <c r="K636" t="s">
        <v>171</v>
      </c>
      <c r="L636" s="34">
        <f>PMT(Loans[[#This Row],[InterestRate]]/12,Loans[[#This Row],[LoanTenureMonths]],-Loans[[#This Row],[LoanAmount]])</f>
        <v>72445.07495821621</v>
      </c>
      <c r="M636" s="30">
        <f>EDATE(Loans[[#This Row],[LoanStartDate]],Loans[[#This Row],[LoanTenureMonths]])</f>
        <v>47814</v>
      </c>
      <c r="N636" s="33">
        <f>IF(Loans[[#This Row],[LoanAmount]]=0,0,Loans[[#This Row],[CollateralValue]]/Loans[[#This Row],[LoanAmount]])</f>
        <v>0.61</v>
      </c>
      <c r="O636" t="str">
        <f>IF(Loans[[#This Row],[CollateralCoverageRatio]]&lt;1,"Undersecured","Secured")</f>
        <v>Undersecured</v>
      </c>
      <c r="P636" t="str">
        <f>_xlfn.XLOOKUP(Loans[[#This Row],[BranchCode]],BranchesTbl[BranchCode],BranchesTbl[BranchName])</f>
        <v>Nyahururu</v>
      </c>
      <c r="Q636">
        <f>_xlfn.XLOOKUP(Loans[[#This Row],[CustomerID]],CustomerTbl[CustomerID],CustomerTbl[RiskScore])</f>
        <v>748</v>
      </c>
      <c r="R636" t="str">
        <f>IFERROR(INDEX(RiskTbl[Risk_Category],MATCH(Loans[[#This Row],[RiskScore]],RiskTbl[Score_Min],1)),"Unknown")</f>
        <v>Very Low Risk</v>
      </c>
      <c r="S636" t="str">
        <f>IF(OR(Loans[[#This Row],[LoanStatus]]="Default",Loans[[#This Row],[LoanStatus]]="Watchlist",Loans[[#This Row],[CollateralRisk]]="Undersecured",Loans[[#This Row],[RiskCategory]]="High Risk"),"High Risk Exposure","Normal")</f>
        <v>High Risk Exposure</v>
      </c>
      <c r="T636" t="str" cm="1">
        <f t="array" ref="T636">_xlfn.IFS(
Loans[[#This Row],[LoanStatus]]="Default","Critical",
OR(Loans[[#This Row],[LoanStatus]]="Watchlist",Loans[[#This Row],[CollateralRisk]]="Undersecured",Loans[[#This Row],[RiskCategory]]="High Risk"),"High",
TRUE,"Normal"
)</f>
        <v>High</v>
      </c>
    </row>
    <row r="637" spans="1:20" x14ac:dyDescent="0.35">
      <c r="A637" t="s">
        <v>1236</v>
      </c>
      <c r="B637" t="s">
        <v>1237</v>
      </c>
      <c r="C637" t="s">
        <v>267</v>
      </c>
      <c r="D637" t="s">
        <v>155</v>
      </c>
      <c r="E637" s="34">
        <v>250000</v>
      </c>
      <c r="F637" s="29">
        <v>0.24709999999999999</v>
      </c>
      <c r="G637" s="30">
        <v>44071</v>
      </c>
      <c r="H637">
        <v>72</v>
      </c>
      <c r="I637">
        <v>20</v>
      </c>
      <c r="J637" s="34">
        <v>0</v>
      </c>
      <c r="K637" t="s">
        <v>171</v>
      </c>
      <c r="L637" s="34">
        <f>PMT(Loans[[#This Row],[InterestRate]]/12,Loans[[#This Row],[LoanTenureMonths]],-Loans[[#This Row],[LoanAmount]])</f>
        <v>6689.875346681848</v>
      </c>
      <c r="M637" s="30">
        <f>EDATE(Loans[[#This Row],[LoanStartDate]],Loans[[#This Row],[LoanTenureMonths]])</f>
        <v>46262</v>
      </c>
      <c r="N637" s="33">
        <f>IF(Loans[[#This Row],[LoanAmount]]=0,0,Loans[[#This Row],[CollateralValue]]/Loans[[#This Row],[LoanAmount]])</f>
        <v>0</v>
      </c>
      <c r="O637" t="str">
        <f>IF(Loans[[#This Row],[CollateralCoverageRatio]]&lt;1,"Undersecured","Secured")</f>
        <v>Undersecured</v>
      </c>
      <c r="P637" t="str">
        <f>_xlfn.XLOOKUP(Loans[[#This Row],[BranchCode]],BranchesTbl[BranchCode],BranchesTbl[BranchName])</f>
        <v>Malindi</v>
      </c>
      <c r="Q637">
        <f>_xlfn.XLOOKUP(Loans[[#This Row],[CustomerID]],CustomerTbl[CustomerID],CustomerTbl[RiskScore])</f>
        <v>512</v>
      </c>
      <c r="R637" t="str">
        <f>IFERROR(INDEX(RiskTbl[Risk_Category],MATCH(Loans[[#This Row],[RiskScore]],RiskTbl[Score_Min],1)),"Unknown")</f>
        <v>High Risk</v>
      </c>
      <c r="S637" t="str">
        <f>IF(OR(Loans[[#This Row],[LoanStatus]]="Default",Loans[[#This Row],[LoanStatus]]="Watchlist",Loans[[#This Row],[CollateralRisk]]="Undersecured",Loans[[#This Row],[RiskCategory]]="High Risk"),"High Risk Exposure","Normal")</f>
        <v>High Risk Exposure</v>
      </c>
      <c r="T637" t="str" cm="1">
        <f t="array" ref="T637">_xlfn.IFS(
Loans[[#This Row],[LoanStatus]]="Default","Critical",
OR(Loans[[#This Row],[LoanStatus]]="Watchlist",Loans[[#This Row],[CollateralRisk]]="Undersecured",Loans[[#This Row],[RiskCategory]]="High Risk"),"High",
TRUE,"Normal"
)</f>
        <v>High</v>
      </c>
    </row>
    <row r="638" spans="1:20" x14ac:dyDescent="0.35">
      <c r="A638" t="s">
        <v>1238</v>
      </c>
      <c r="B638" t="s">
        <v>1239</v>
      </c>
      <c r="C638" t="s">
        <v>267</v>
      </c>
      <c r="D638" t="s">
        <v>156</v>
      </c>
      <c r="E638" s="34">
        <v>1000000</v>
      </c>
      <c r="F638" s="29">
        <v>0.2243</v>
      </c>
      <c r="G638" s="30">
        <v>44048</v>
      </c>
      <c r="H638">
        <v>72</v>
      </c>
      <c r="I638">
        <v>10</v>
      </c>
      <c r="J638" s="34">
        <v>1350000</v>
      </c>
      <c r="K638" t="s">
        <v>171</v>
      </c>
      <c r="L638" s="34">
        <f>PMT(Loans[[#This Row],[InterestRate]]/12,Loans[[#This Row],[LoanTenureMonths]],-Loans[[#This Row],[LoanAmount]])</f>
        <v>25381.996539071471</v>
      </c>
      <c r="M638" s="30">
        <f>EDATE(Loans[[#This Row],[LoanStartDate]],Loans[[#This Row],[LoanTenureMonths]])</f>
        <v>46239</v>
      </c>
      <c r="N638" s="33">
        <f>IF(Loans[[#This Row],[LoanAmount]]=0,0,Loans[[#This Row],[CollateralValue]]/Loans[[#This Row],[LoanAmount]])</f>
        <v>1.35</v>
      </c>
      <c r="O638" t="str">
        <f>IF(Loans[[#This Row],[CollateralCoverageRatio]]&lt;1,"Undersecured","Secured")</f>
        <v>Secured</v>
      </c>
      <c r="P638" t="str">
        <f>_xlfn.XLOOKUP(Loans[[#This Row],[BranchCode]],BranchesTbl[BranchCode],BranchesTbl[BranchName])</f>
        <v>Malindi</v>
      </c>
      <c r="Q638">
        <f>_xlfn.XLOOKUP(Loans[[#This Row],[CustomerID]],CustomerTbl[CustomerID],CustomerTbl[RiskScore])</f>
        <v>680</v>
      </c>
      <c r="R638" t="str">
        <f>IFERROR(INDEX(RiskTbl[Risk_Category],MATCH(Loans[[#This Row],[RiskScore]],RiskTbl[Score_Min],1)),"Unknown")</f>
        <v>Low Risk</v>
      </c>
      <c r="S638" t="str">
        <f>IF(OR(Loans[[#This Row],[LoanStatus]]="Default",Loans[[#This Row],[LoanStatus]]="Watchlist",Loans[[#This Row],[CollateralRisk]]="Undersecured",Loans[[#This Row],[RiskCategory]]="High Risk"),"High Risk Exposure","Normal")</f>
        <v>Normal</v>
      </c>
      <c r="T638" t="str" cm="1">
        <f t="array" ref="T638">_xlfn.IFS(
Loans[[#This Row],[LoanStatus]]="Default","Critical",
OR(Loans[[#This Row],[LoanStatus]]="Watchlist",Loans[[#This Row],[CollateralRisk]]="Undersecured",Loans[[#This Row],[RiskCategory]]="High Risk"),"High",
TRUE,"Normal"
)</f>
        <v>Normal</v>
      </c>
    </row>
    <row r="639" spans="1:20" x14ac:dyDescent="0.35">
      <c r="A639" t="s">
        <v>1240</v>
      </c>
      <c r="B639" t="s">
        <v>625</v>
      </c>
      <c r="C639" t="s">
        <v>174</v>
      </c>
      <c r="D639" t="s">
        <v>158</v>
      </c>
      <c r="E639" s="34">
        <v>6000000</v>
      </c>
      <c r="F639" s="29">
        <v>0.14660000000000001</v>
      </c>
      <c r="G639" s="30">
        <v>43941</v>
      </c>
      <c r="H639">
        <v>24</v>
      </c>
      <c r="I639">
        <v>0</v>
      </c>
      <c r="J639" s="34">
        <v>6720000</v>
      </c>
      <c r="K639" t="s">
        <v>171</v>
      </c>
      <c r="L639" s="34">
        <f>PMT(Loans[[#This Row],[InterestRate]]/12,Loans[[#This Row],[LoanTenureMonths]],-Loans[[#This Row],[LoanAmount]])</f>
        <v>289951.59009707649</v>
      </c>
      <c r="M639" s="30">
        <f>EDATE(Loans[[#This Row],[LoanStartDate]],Loans[[#This Row],[LoanTenureMonths]])</f>
        <v>44671</v>
      </c>
      <c r="N639" s="33">
        <f>IF(Loans[[#This Row],[LoanAmount]]=0,0,Loans[[#This Row],[CollateralValue]]/Loans[[#This Row],[LoanAmount]])</f>
        <v>1.1200000000000001</v>
      </c>
      <c r="O639" t="str">
        <f>IF(Loans[[#This Row],[CollateralCoverageRatio]]&lt;1,"Undersecured","Secured")</f>
        <v>Secured</v>
      </c>
      <c r="P639" t="str">
        <f>_xlfn.XLOOKUP(Loans[[#This Row],[BranchCode]],BranchesTbl[BranchCode],BranchesTbl[BranchName])</f>
        <v>Westlands</v>
      </c>
      <c r="Q639">
        <f>_xlfn.XLOOKUP(Loans[[#This Row],[CustomerID]],CustomerTbl[CustomerID],CustomerTbl[RiskScore])</f>
        <v>787</v>
      </c>
      <c r="R639" t="str">
        <f>IFERROR(INDEX(RiskTbl[Risk_Category],MATCH(Loans[[#This Row],[RiskScore]],RiskTbl[Score_Min],1)),"Unknown")</f>
        <v>Very Low Risk</v>
      </c>
      <c r="S639" t="str">
        <f>IF(OR(Loans[[#This Row],[LoanStatus]]="Default",Loans[[#This Row],[LoanStatus]]="Watchlist",Loans[[#This Row],[CollateralRisk]]="Undersecured",Loans[[#This Row],[RiskCategory]]="High Risk"),"High Risk Exposure","Normal")</f>
        <v>Normal</v>
      </c>
      <c r="T639" t="str" cm="1">
        <f t="array" ref="T639">_xlfn.IFS(
Loans[[#This Row],[LoanStatus]]="Default","Critical",
OR(Loans[[#This Row],[LoanStatus]]="Watchlist",Loans[[#This Row],[CollateralRisk]]="Undersecured",Loans[[#This Row],[RiskCategory]]="High Risk"),"High",
TRUE,"Normal"
)</f>
        <v>Normal</v>
      </c>
    </row>
    <row r="640" spans="1:20" x14ac:dyDescent="0.35">
      <c r="A640" t="s">
        <v>1241</v>
      </c>
      <c r="B640" t="s">
        <v>1242</v>
      </c>
      <c r="C640" t="s">
        <v>206</v>
      </c>
      <c r="D640" t="s">
        <v>156</v>
      </c>
      <c r="E640" s="34">
        <v>6000000</v>
      </c>
      <c r="F640" s="29">
        <v>0.18770000000000001</v>
      </c>
      <c r="G640" s="30">
        <v>44660</v>
      </c>
      <c r="H640">
        <v>72</v>
      </c>
      <c r="I640">
        <v>20</v>
      </c>
      <c r="J640" s="34">
        <v>3480000</v>
      </c>
      <c r="K640" t="s">
        <v>171</v>
      </c>
      <c r="L640" s="34">
        <f>PMT(Loans[[#This Row],[InterestRate]]/12,Loans[[#This Row],[LoanTenureMonths]],-Loans[[#This Row],[LoanAmount]])</f>
        <v>139471.37954419505</v>
      </c>
      <c r="M640" s="30">
        <f>EDATE(Loans[[#This Row],[LoanStartDate]],Loans[[#This Row],[LoanTenureMonths]])</f>
        <v>46852</v>
      </c>
      <c r="N640" s="33">
        <f>IF(Loans[[#This Row],[LoanAmount]]=0,0,Loans[[#This Row],[CollateralValue]]/Loans[[#This Row],[LoanAmount]])</f>
        <v>0.57999999999999996</v>
      </c>
      <c r="O640" t="str">
        <f>IF(Loans[[#This Row],[CollateralCoverageRatio]]&lt;1,"Undersecured","Secured")</f>
        <v>Undersecured</v>
      </c>
      <c r="P640" t="str">
        <f>_xlfn.XLOOKUP(Loans[[#This Row],[BranchCode]],BranchesTbl[BranchCode],BranchesTbl[BranchName])</f>
        <v>Nyahururu</v>
      </c>
      <c r="Q640">
        <f>_xlfn.XLOOKUP(Loans[[#This Row],[CustomerID]],CustomerTbl[CustomerID],CustomerTbl[RiskScore])</f>
        <v>349</v>
      </c>
      <c r="R640" t="str">
        <f>IFERROR(INDEX(RiskTbl[Risk_Category],MATCH(Loans[[#This Row],[RiskScore]],RiskTbl[Score_Min],1)),"Unknown")</f>
        <v>High Risk</v>
      </c>
      <c r="S640" t="str">
        <f>IF(OR(Loans[[#This Row],[LoanStatus]]="Default",Loans[[#This Row],[LoanStatus]]="Watchlist",Loans[[#This Row],[CollateralRisk]]="Undersecured",Loans[[#This Row],[RiskCategory]]="High Risk"),"High Risk Exposure","Normal")</f>
        <v>High Risk Exposure</v>
      </c>
      <c r="T640" t="str" cm="1">
        <f t="array" ref="T640">_xlfn.IFS(
Loans[[#This Row],[LoanStatus]]="Default","Critical",
OR(Loans[[#This Row],[LoanStatus]]="Watchlist",Loans[[#This Row],[CollateralRisk]]="Undersecured",Loans[[#This Row],[RiskCategory]]="High Risk"),"High",
TRUE,"Normal"
)</f>
        <v>High</v>
      </c>
    </row>
    <row r="641" spans="1:20" x14ac:dyDescent="0.35">
      <c r="A641" t="s">
        <v>1243</v>
      </c>
      <c r="B641" t="s">
        <v>1050</v>
      </c>
      <c r="C641" t="s">
        <v>270</v>
      </c>
      <c r="D641" t="s">
        <v>158</v>
      </c>
      <c r="E641" s="34">
        <v>3000000</v>
      </c>
      <c r="F641" s="29">
        <v>0.17169999999999999</v>
      </c>
      <c r="G641" s="30">
        <v>44877</v>
      </c>
      <c r="H641">
        <v>12</v>
      </c>
      <c r="I641">
        <v>120</v>
      </c>
      <c r="J641" s="34">
        <v>3630000</v>
      </c>
      <c r="K641" t="s">
        <v>178</v>
      </c>
      <c r="L641" s="34">
        <f>PMT(Loans[[#This Row],[InterestRate]]/12,Loans[[#This Row],[LoanTenureMonths]],-Loans[[#This Row],[LoanAmount]])</f>
        <v>273856.3442216001</v>
      </c>
      <c r="M641" s="30">
        <f>EDATE(Loans[[#This Row],[LoanStartDate]],Loans[[#This Row],[LoanTenureMonths]])</f>
        <v>45242</v>
      </c>
      <c r="N641" s="33">
        <f>IF(Loans[[#This Row],[LoanAmount]]=0,0,Loans[[#This Row],[CollateralValue]]/Loans[[#This Row],[LoanAmount]])</f>
        <v>1.21</v>
      </c>
      <c r="O641" t="str">
        <f>IF(Loans[[#This Row],[CollateralCoverageRatio]]&lt;1,"Undersecured","Secured")</f>
        <v>Secured</v>
      </c>
      <c r="P641" t="str">
        <f>_xlfn.XLOOKUP(Loans[[#This Row],[BranchCode]],BranchesTbl[BranchCode],BranchesTbl[BranchName])</f>
        <v>Nakuru</v>
      </c>
      <c r="Q641">
        <f>_xlfn.XLOOKUP(Loans[[#This Row],[CustomerID]],CustomerTbl[CustomerID],CustomerTbl[RiskScore])</f>
        <v>835</v>
      </c>
      <c r="R641" t="str">
        <f>IFERROR(INDEX(RiskTbl[Risk_Category],MATCH(Loans[[#This Row],[RiskScore]],RiskTbl[Score_Min],1)),"Unknown")</f>
        <v>Prime</v>
      </c>
      <c r="S641" t="str">
        <f>IF(OR(Loans[[#This Row],[LoanStatus]]="Default",Loans[[#This Row],[LoanStatus]]="Watchlist",Loans[[#This Row],[CollateralRisk]]="Undersecured",Loans[[#This Row],[RiskCategory]]="High Risk"),"High Risk Exposure","Normal")</f>
        <v>High Risk Exposure</v>
      </c>
      <c r="T641" t="str" cm="1">
        <f t="array" ref="T641">_xlfn.IFS(
Loans[[#This Row],[LoanStatus]]="Default","Critical",
OR(Loans[[#This Row],[LoanStatus]]="Watchlist",Loans[[#This Row],[CollateralRisk]]="Undersecured",Loans[[#This Row],[RiskCategory]]="High Risk"),"High",
TRUE,"Normal"
)</f>
        <v>Critical</v>
      </c>
    </row>
    <row r="642" spans="1:20" x14ac:dyDescent="0.35">
      <c r="A642" t="s">
        <v>1244</v>
      </c>
      <c r="B642" t="s">
        <v>189</v>
      </c>
      <c r="C642" t="s">
        <v>206</v>
      </c>
      <c r="D642" t="s">
        <v>156</v>
      </c>
      <c r="E642" s="34">
        <v>3000000</v>
      </c>
      <c r="F642" s="29">
        <v>0.17050000000000001</v>
      </c>
      <c r="G642" s="30">
        <v>44997</v>
      </c>
      <c r="H642">
        <v>72</v>
      </c>
      <c r="I642">
        <v>0</v>
      </c>
      <c r="J642" s="34">
        <v>4320000</v>
      </c>
      <c r="K642" t="s">
        <v>171</v>
      </c>
      <c r="L642" s="34">
        <f>PMT(Loans[[#This Row],[InterestRate]]/12,Loans[[#This Row],[LoanTenureMonths]],-Loans[[#This Row],[LoanAmount]])</f>
        <v>66822.119753628955</v>
      </c>
      <c r="M642" s="30">
        <f>EDATE(Loans[[#This Row],[LoanStartDate]],Loans[[#This Row],[LoanTenureMonths]])</f>
        <v>47189</v>
      </c>
      <c r="N642" s="33">
        <f>IF(Loans[[#This Row],[LoanAmount]]=0,0,Loans[[#This Row],[CollateralValue]]/Loans[[#This Row],[LoanAmount]])</f>
        <v>1.44</v>
      </c>
      <c r="O642" t="str">
        <f>IF(Loans[[#This Row],[CollateralCoverageRatio]]&lt;1,"Undersecured","Secured")</f>
        <v>Secured</v>
      </c>
      <c r="P642" t="str">
        <f>_xlfn.XLOOKUP(Loans[[#This Row],[BranchCode]],BranchesTbl[BranchCode],BranchesTbl[BranchName])</f>
        <v>Nyahururu</v>
      </c>
      <c r="Q642">
        <f>_xlfn.XLOOKUP(Loans[[#This Row],[CustomerID]],CustomerTbl[CustomerID],CustomerTbl[RiskScore])</f>
        <v>348</v>
      </c>
      <c r="R642" t="str">
        <f>IFERROR(INDEX(RiskTbl[Risk_Category],MATCH(Loans[[#This Row],[RiskScore]],RiskTbl[Score_Min],1)),"Unknown")</f>
        <v>High Risk</v>
      </c>
      <c r="S642" t="str">
        <f>IF(OR(Loans[[#This Row],[LoanStatus]]="Default",Loans[[#This Row],[LoanStatus]]="Watchlist",Loans[[#This Row],[CollateralRisk]]="Undersecured",Loans[[#This Row],[RiskCategory]]="High Risk"),"High Risk Exposure","Normal")</f>
        <v>High Risk Exposure</v>
      </c>
      <c r="T642" t="str" cm="1">
        <f t="array" ref="T642">_xlfn.IFS(
Loans[[#This Row],[LoanStatus]]="Default","Critical",
OR(Loans[[#This Row],[LoanStatus]]="Watchlist",Loans[[#This Row],[CollateralRisk]]="Undersecured",Loans[[#This Row],[RiskCategory]]="High Risk"),"High",
TRUE,"Normal"
)</f>
        <v>High</v>
      </c>
    </row>
    <row r="643" spans="1:20" x14ac:dyDescent="0.35">
      <c r="A643" t="s">
        <v>1245</v>
      </c>
      <c r="B643" t="s">
        <v>1246</v>
      </c>
      <c r="C643" t="s">
        <v>184</v>
      </c>
      <c r="D643" t="s">
        <v>157</v>
      </c>
      <c r="E643" s="34">
        <v>25000000</v>
      </c>
      <c r="F643" s="29">
        <v>0.1108</v>
      </c>
      <c r="G643" s="30">
        <v>44718</v>
      </c>
      <c r="H643">
        <v>60</v>
      </c>
      <c r="I643">
        <v>45</v>
      </c>
      <c r="J643" s="34">
        <v>22500000</v>
      </c>
      <c r="K643" t="s">
        <v>199</v>
      </c>
      <c r="L643" s="34">
        <f>PMT(Loans[[#This Row],[InterestRate]]/12,Loans[[#This Row],[LoanTenureMonths]],-Loans[[#This Row],[LoanAmount]])</f>
        <v>544558.52610830124</v>
      </c>
      <c r="M643" s="30">
        <f>EDATE(Loans[[#This Row],[LoanStartDate]],Loans[[#This Row],[LoanTenureMonths]])</f>
        <v>46544</v>
      </c>
      <c r="N643" s="33">
        <f>IF(Loans[[#This Row],[LoanAmount]]=0,0,Loans[[#This Row],[CollateralValue]]/Loans[[#This Row],[LoanAmount]])</f>
        <v>0.9</v>
      </c>
      <c r="O643" t="str">
        <f>IF(Loans[[#This Row],[CollateralCoverageRatio]]&lt;1,"Undersecured","Secured")</f>
        <v>Undersecured</v>
      </c>
      <c r="P643" t="str">
        <f>_xlfn.XLOOKUP(Loans[[#This Row],[BranchCode]],BranchesTbl[BranchCode],BranchesTbl[BranchName])</f>
        <v>Kisumu</v>
      </c>
      <c r="Q643">
        <f>_xlfn.XLOOKUP(Loans[[#This Row],[CustomerID]],CustomerTbl[CustomerID],CustomerTbl[RiskScore])</f>
        <v>309</v>
      </c>
      <c r="R643" t="str">
        <f>IFERROR(INDEX(RiskTbl[Risk_Category],MATCH(Loans[[#This Row],[RiskScore]],RiskTbl[Score_Min],1)),"Unknown")</f>
        <v>High Risk</v>
      </c>
      <c r="S643" t="str">
        <f>IF(OR(Loans[[#This Row],[LoanStatus]]="Default",Loans[[#This Row],[LoanStatus]]="Watchlist",Loans[[#This Row],[CollateralRisk]]="Undersecured",Loans[[#This Row],[RiskCategory]]="High Risk"),"High Risk Exposure","Normal")</f>
        <v>High Risk Exposure</v>
      </c>
      <c r="T643" t="str" cm="1">
        <f t="array" ref="T643">_xlfn.IFS(
Loans[[#This Row],[LoanStatus]]="Default","Critical",
OR(Loans[[#This Row],[LoanStatus]]="Watchlist",Loans[[#This Row],[CollateralRisk]]="Undersecured",Loans[[#This Row],[RiskCategory]]="High Risk"),"High",
TRUE,"Normal"
)</f>
        <v>High</v>
      </c>
    </row>
    <row r="644" spans="1:20" x14ac:dyDescent="0.35">
      <c r="A644" t="s">
        <v>1247</v>
      </c>
      <c r="B644" t="s">
        <v>1248</v>
      </c>
      <c r="C644" t="s">
        <v>170</v>
      </c>
      <c r="D644" t="s">
        <v>158</v>
      </c>
      <c r="E644" s="34">
        <v>6000000</v>
      </c>
      <c r="F644" s="29">
        <v>0.13950000000000001</v>
      </c>
      <c r="G644" s="30">
        <v>45842</v>
      </c>
      <c r="H644">
        <v>12</v>
      </c>
      <c r="I644">
        <v>90</v>
      </c>
      <c r="J644" s="34">
        <v>3000000</v>
      </c>
      <c r="K644" t="s">
        <v>199</v>
      </c>
      <c r="L644" s="34">
        <f>PMT(Loans[[#This Row],[InterestRate]]/12,Loans[[#This Row],[LoanTenureMonths]],-Loans[[#This Row],[LoanAmount]])</f>
        <v>538581.56021784386</v>
      </c>
      <c r="M644" s="30">
        <f>EDATE(Loans[[#This Row],[LoanStartDate]],Loans[[#This Row],[LoanTenureMonths]])</f>
        <v>46207</v>
      </c>
      <c r="N644" s="33">
        <f>IF(Loans[[#This Row],[LoanAmount]]=0,0,Loans[[#This Row],[CollateralValue]]/Loans[[#This Row],[LoanAmount]])</f>
        <v>0.5</v>
      </c>
      <c r="O644" t="str">
        <f>IF(Loans[[#This Row],[CollateralCoverageRatio]]&lt;1,"Undersecured","Secured")</f>
        <v>Undersecured</v>
      </c>
      <c r="P644" t="str">
        <f>_xlfn.XLOOKUP(Loans[[#This Row],[BranchCode]],BranchesTbl[BranchCode],BranchesTbl[BranchName])</f>
        <v>Thika</v>
      </c>
      <c r="Q644">
        <f>_xlfn.XLOOKUP(Loans[[#This Row],[CustomerID]],CustomerTbl[CustomerID],CustomerTbl[RiskScore])</f>
        <v>778</v>
      </c>
      <c r="R644" t="str">
        <f>IFERROR(INDEX(RiskTbl[Risk_Category],MATCH(Loans[[#This Row],[RiskScore]],RiskTbl[Score_Min],1)),"Unknown")</f>
        <v>Very Low Risk</v>
      </c>
      <c r="S644" t="str">
        <f>IF(OR(Loans[[#This Row],[LoanStatus]]="Default",Loans[[#This Row],[LoanStatus]]="Watchlist",Loans[[#This Row],[CollateralRisk]]="Undersecured",Loans[[#This Row],[RiskCategory]]="High Risk"),"High Risk Exposure","Normal")</f>
        <v>High Risk Exposure</v>
      </c>
      <c r="T644" t="str" cm="1">
        <f t="array" ref="T644">_xlfn.IFS(
Loans[[#This Row],[LoanStatus]]="Default","Critical",
OR(Loans[[#This Row],[LoanStatus]]="Watchlist",Loans[[#This Row],[CollateralRisk]]="Undersecured",Loans[[#This Row],[RiskCategory]]="High Risk"),"High",
TRUE,"Normal"
)</f>
        <v>High</v>
      </c>
    </row>
    <row r="645" spans="1:20" x14ac:dyDescent="0.35">
      <c r="A645" t="s">
        <v>1249</v>
      </c>
      <c r="B645" t="s">
        <v>854</v>
      </c>
      <c r="C645" t="s">
        <v>232</v>
      </c>
      <c r="D645" t="s">
        <v>156</v>
      </c>
      <c r="E645" s="34">
        <v>25000000</v>
      </c>
      <c r="F645" s="29">
        <v>0.2132</v>
      </c>
      <c r="G645" s="30">
        <v>44099</v>
      </c>
      <c r="H645">
        <v>72</v>
      </c>
      <c r="I645">
        <v>20</v>
      </c>
      <c r="J645" s="34">
        <v>36500000</v>
      </c>
      <c r="K645" t="s">
        <v>171</v>
      </c>
      <c r="L645" s="34">
        <f>PMT(Loans[[#This Row],[InterestRate]]/12,Loans[[#This Row],[LoanTenureMonths]],-Loans[[#This Row],[LoanAmount]])</f>
        <v>618102.15565163246</v>
      </c>
      <c r="M645" s="30">
        <f>EDATE(Loans[[#This Row],[LoanStartDate]],Loans[[#This Row],[LoanTenureMonths]])</f>
        <v>46290</v>
      </c>
      <c r="N645" s="33">
        <f>IF(Loans[[#This Row],[LoanAmount]]=0,0,Loans[[#This Row],[CollateralValue]]/Loans[[#This Row],[LoanAmount]])</f>
        <v>1.46</v>
      </c>
      <c r="O645" t="str">
        <f>IF(Loans[[#This Row],[CollateralCoverageRatio]]&lt;1,"Undersecured","Secured")</f>
        <v>Secured</v>
      </c>
      <c r="P645" t="str">
        <f>_xlfn.XLOOKUP(Loans[[#This Row],[BranchCode]],BranchesTbl[BranchCode],BranchesTbl[BranchName])</f>
        <v>Upper Hill</v>
      </c>
      <c r="Q645">
        <f>_xlfn.XLOOKUP(Loans[[#This Row],[CustomerID]],CustomerTbl[CustomerID],CustomerTbl[RiskScore])</f>
        <v>455</v>
      </c>
      <c r="R645" t="str">
        <f>IFERROR(INDEX(RiskTbl[Risk_Category],MATCH(Loans[[#This Row],[RiskScore]],RiskTbl[Score_Min],1)),"Unknown")</f>
        <v>High Risk</v>
      </c>
      <c r="S645" t="str">
        <f>IF(OR(Loans[[#This Row],[LoanStatus]]="Default",Loans[[#This Row],[LoanStatus]]="Watchlist",Loans[[#This Row],[CollateralRisk]]="Undersecured",Loans[[#This Row],[RiskCategory]]="High Risk"),"High Risk Exposure","Normal")</f>
        <v>High Risk Exposure</v>
      </c>
      <c r="T645" t="str" cm="1">
        <f t="array" ref="T645">_xlfn.IFS(
Loans[[#This Row],[LoanStatus]]="Default","Critical",
OR(Loans[[#This Row],[LoanStatus]]="Watchlist",Loans[[#This Row],[CollateralRisk]]="Undersecured",Loans[[#This Row],[RiskCategory]]="High Risk"),"High",
TRUE,"Normal"
)</f>
        <v>High</v>
      </c>
    </row>
    <row r="646" spans="1:20" x14ac:dyDescent="0.35">
      <c r="A646" t="s">
        <v>1250</v>
      </c>
      <c r="B646" t="s">
        <v>1251</v>
      </c>
      <c r="C646" t="s">
        <v>267</v>
      </c>
      <c r="D646" t="s">
        <v>158</v>
      </c>
      <c r="E646" s="34">
        <v>500000</v>
      </c>
      <c r="F646" s="29">
        <v>0.13200000000000001</v>
      </c>
      <c r="G646" s="30">
        <v>43931</v>
      </c>
      <c r="H646">
        <v>12</v>
      </c>
      <c r="I646">
        <v>10</v>
      </c>
      <c r="J646" s="34">
        <v>615000</v>
      </c>
      <c r="K646" t="s">
        <v>171</v>
      </c>
      <c r="L646" s="34">
        <f>PMT(Loans[[#This Row],[InterestRate]]/12,Loans[[#This Row],[LoanTenureMonths]],-Loans[[#This Row],[LoanAmount]])</f>
        <v>44705.567883549345</v>
      </c>
      <c r="M646" s="30">
        <f>EDATE(Loans[[#This Row],[LoanStartDate]],Loans[[#This Row],[LoanTenureMonths]])</f>
        <v>44296</v>
      </c>
      <c r="N646" s="33">
        <f>IF(Loans[[#This Row],[LoanAmount]]=0,0,Loans[[#This Row],[CollateralValue]]/Loans[[#This Row],[LoanAmount]])</f>
        <v>1.23</v>
      </c>
      <c r="O646" t="str">
        <f>IF(Loans[[#This Row],[CollateralCoverageRatio]]&lt;1,"Undersecured","Secured")</f>
        <v>Secured</v>
      </c>
      <c r="P646" t="str">
        <f>_xlfn.XLOOKUP(Loans[[#This Row],[BranchCode]],BranchesTbl[BranchCode],BranchesTbl[BranchName])</f>
        <v>Malindi</v>
      </c>
      <c r="Q646">
        <f>_xlfn.XLOOKUP(Loans[[#This Row],[CustomerID]],CustomerTbl[CustomerID],CustomerTbl[RiskScore])</f>
        <v>367</v>
      </c>
      <c r="R646" t="str">
        <f>IFERROR(INDEX(RiskTbl[Risk_Category],MATCH(Loans[[#This Row],[RiskScore]],RiskTbl[Score_Min],1)),"Unknown")</f>
        <v>High Risk</v>
      </c>
      <c r="S646" t="str">
        <f>IF(OR(Loans[[#This Row],[LoanStatus]]="Default",Loans[[#This Row],[LoanStatus]]="Watchlist",Loans[[#This Row],[CollateralRisk]]="Undersecured",Loans[[#This Row],[RiskCategory]]="High Risk"),"High Risk Exposure","Normal")</f>
        <v>High Risk Exposure</v>
      </c>
      <c r="T646" t="str" cm="1">
        <f t="array" ref="T646">_xlfn.IFS(
Loans[[#This Row],[LoanStatus]]="Default","Critical",
OR(Loans[[#This Row],[LoanStatus]]="Watchlist",Loans[[#This Row],[CollateralRisk]]="Undersecured",Loans[[#This Row],[RiskCategory]]="High Risk"),"High",
TRUE,"Normal"
)</f>
        <v>High</v>
      </c>
    </row>
    <row r="647" spans="1:20" x14ac:dyDescent="0.35">
      <c r="A647" t="s">
        <v>1252</v>
      </c>
      <c r="B647" t="s">
        <v>796</v>
      </c>
      <c r="C647" t="s">
        <v>196</v>
      </c>
      <c r="D647" t="s">
        <v>157</v>
      </c>
      <c r="E647" s="34">
        <v>25000000</v>
      </c>
      <c r="F647" s="29">
        <v>0.13550000000000001</v>
      </c>
      <c r="G647" s="30">
        <v>44287</v>
      </c>
      <c r="H647">
        <v>24</v>
      </c>
      <c r="I647">
        <v>0</v>
      </c>
      <c r="J647" s="34">
        <v>14750000</v>
      </c>
      <c r="K647" t="s">
        <v>171</v>
      </c>
      <c r="L647" s="34">
        <f>PMT(Loans[[#This Row],[InterestRate]]/12,Loans[[#This Row],[LoanTenureMonths]],-Loans[[#This Row],[LoanAmount]])</f>
        <v>1195014.2738493311</v>
      </c>
      <c r="M647" s="30">
        <f>EDATE(Loans[[#This Row],[LoanStartDate]],Loans[[#This Row],[LoanTenureMonths]])</f>
        <v>45017</v>
      </c>
      <c r="N647" s="33">
        <f>IF(Loans[[#This Row],[LoanAmount]]=0,0,Loans[[#This Row],[CollateralValue]]/Loans[[#This Row],[LoanAmount]])</f>
        <v>0.59</v>
      </c>
      <c r="O647" t="str">
        <f>IF(Loans[[#This Row],[CollateralCoverageRatio]]&lt;1,"Undersecured","Secured")</f>
        <v>Undersecured</v>
      </c>
      <c r="P647" t="str">
        <f>_xlfn.XLOOKUP(Loans[[#This Row],[BranchCode]],BranchesTbl[BranchCode],BranchesTbl[BranchName])</f>
        <v>Karen</v>
      </c>
      <c r="Q647">
        <f>_xlfn.XLOOKUP(Loans[[#This Row],[CustomerID]],CustomerTbl[CustomerID],CustomerTbl[RiskScore])</f>
        <v>549</v>
      </c>
      <c r="R647" t="str">
        <f>IFERROR(INDEX(RiskTbl[Risk_Category],MATCH(Loans[[#This Row],[RiskScore]],RiskTbl[Score_Min],1)),"Unknown")</f>
        <v>High Risk</v>
      </c>
      <c r="S647" t="str">
        <f>IF(OR(Loans[[#This Row],[LoanStatus]]="Default",Loans[[#This Row],[LoanStatus]]="Watchlist",Loans[[#This Row],[CollateralRisk]]="Undersecured",Loans[[#This Row],[RiskCategory]]="High Risk"),"High Risk Exposure","Normal")</f>
        <v>High Risk Exposure</v>
      </c>
      <c r="T647" t="str" cm="1">
        <f t="array" ref="T647">_xlfn.IFS(
Loans[[#This Row],[LoanStatus]]="Default","Critical",
OR(Loans[[#This Row],[LoanStatus]]="Watchlist",Loans[[#This Row],[CollateralRisk]]="Undersecured",Loans[[#This Row],[RiskCategory]]="High Risk"),"High",
TRUE,"Normal"
)</f>
        <v>High</v>
      </c>
    </row>
    <row r="648" spans="1:20" x14ac:dyDescent="0.35">
      <c r="A648" t="s">
        <v>1253</v>
      </c>
      <c r="B648" t="s">
        <v>859</v>
      </c>
      <c r="C648" t="s">
        <v>196</v>
      </c>
      <c r="D648" t="s">
        <v>158</v>
      </c>
      <c r="E648" s="34">
        <v>6000000</v>
      </c>
      <c r="F648" s="29">
        <v>0.12479999999999999</v>
      </c>
      <c r="G648" s="30">
        <v>44969</v>
      </c>
      <c r="H648">
        <v>72</v>
      </c>
      <c r="I648">
        <v>5</v>
      </c>
      <c r="J648" s="34">
        <v>3600000</v>
      </c>
      <c r="K648" t="s">
        <v>171</v>
      </c>
      <c r="L648" s="34">
        <f>PMT(Loans[[#This Row],[InterestRate]]/12,Loans[[#This Row],[LoanTenureMonths]],-Loans[[#This Row],[LoanAmount]])</f>
        <v>118804.21161130759</v>
      </c>
      <c r="M648" s="30">
        <f>EDATE(Loans[[#This Row],[LoanStartDate]],Loans[[#This Row],[LoanTenureMonths]])</f>
        <v>47161</v>
      </c>
      <c r="N648" s="33">
        <f>IF(Loans[[#This Row],[LoanAmount]]=0,0,Loans[[#This Row],[CollateralValue]]/Loans[[#This Row],[LoanAmount]])</f>
        <v>0.6</v>
      </c>
      <c r="O648" t="str">
        <f>IF(Loans[[#This Row],[CollateralCoverageRatio]]&lt;1,"Undersecured","Secured")</f>
        <v>Undersecured</v>
      </c>
      <c r="P648" t="str">
        <f>_xlfn.XLOOKUP(Loans[[#This Row],[BranchCode]],BranchesTbl[BranchCode],BranchesTbl[BranchName])</f>
        <v>Karen</v>
      </c>
      <c r="Q648">
        <f>_xlfn.XLOOKUP(Loans[[#This Row],[CustomerID]],CustomerTbl[CustomerID],CustomerTbl[RiskScore])</f>
        <v>816</v>
      </c>
      <c r="R648" t="str">
        <f>IFERROR(INDEX(RiskTbl[Risk_Category],MATCH(Loans[[#This Row],[RiskScore]],RiskTbl[Score_Min],1)),"Unknown")</f>
        <v>Prime</v>
      </c>
      <c r="S648" t="str">
        <f>IF(OR(Loans[[#This Row],[LoanStatus]]="Default",Loans[[#This Row],[LoanStatus]]="Watchlist",Loans[[#This Row],[CollateralRisk]]="Undersecured",Loans[[#This Row],[RiskCategory]]="High Risk"),"High Risk Exposure","Normal")</f>
        <v>High Risk Exposure</v>
      </c>
      <c r="T648" t="str" cm="1">
        <f t="array" ref="T648">_xlfn.IFS(
Loans[[#This Row],[LoanStatus]]="Default","Critical",
OR(Loans[[#This Row],[LoanStatus]]="Watchlist",Loans[[#This Row],[CollateralRisk]]="Undersecured",Loans[[#This Row],[RiskCategory]]="High Risk"),"High",
TRUE,"Normal"
)</f>
        <v>High</v>
      </c>
    </row>
    <row r="649" spans="1:20" x14ac:dyDescent="0.35">
      <c r="A649" t="s">
        <v>1254</v>
      </c>
      <c r="B649" t="s">
        <v>587</v>
      </c>
      <c r="C649" t="s">
        <v>219</v>
      </c>
      <c r="D649" t="s">
        <v>156</v>
      </c>
      <c r="E649" s="34">
        <v>25000000</v>
      </c>
      <c r="F649" s="29">
        <v>0.2223</v>
      </c>
      <c r="G649" s="30">
        <v>45456</v>
      </c>
      <c r="H649">
        <v>60</v>
      </c>
      <c r="I649">
        <v>10</v>
      </c>
      <c r="J649" s="34">
        <v>21250000</v>
      </c>
      <c r="K649" t="s">
        <v>171</v>
      </c>
      <c r="L649" s="34">
        <f>PMT(Loans[[#This Row],[InterestRate]]/12,Loans[[#This Row],[LoanTenureMonths]],-Loans[[#This Row],[LoanAmount]])</f>
        <v>693746.03169571143</v>
      </c>
      <c r="M649" s="30">
        <f>EDATE(Loans[[#This Row],[LoanStartDate]],Loans[[#This Row],[LoanTenureMonths]])</f>
        <v>47282</v>
      </c>
      <c r="N649" s="33">
        <f>IF(Loans[[#This Row],[LoanAmount]]=0,0,Loans[[#This Row],[CollateralValue]]/Loans[[#This Row],[LoanAmount]])</f>
        <v>0.85</v>
      </c>
      <c r="O649" t="str">
        <f>IF(Loans[[#This Row],[CollateralCoverageRatio]]&lt;1,"Undersecured","Secured")</f>
        <v>Undersecured</v>
      </c>
      <c r="P649" t="str">
        <f>_xlfn.XLOOKUP(Loans[[#This Row],[BranchCode]],BranchesTbl[BranchCode],BranchesTbl[BranchName])</f>
        <v>Meru</v>
      </c>
      <c r="Q649">
        <f>_xlfn.XLOOKUP(Loans[[#This Row],[CustomerID]],CustomerTbl[CustomerID],CustomerTbl[RiskScore])</f>
        <v>490</v>
      </c>
      <c r="R649" t="str">
        <f>IFERROR(INDEX(RiskTbl[Risk_Category],MATCH(Loans[[#This Row],[RiskScore]],RiskTbl[Score_Min],1)),"Unknown")</f>
        <v>High Risk</v>
      </c>
      <c r="S649" t="str">
        <f>IF(OR(Loans[[#This Row],[LoanStatus]]="Default",Loans[[#This Row],[LoanStatus]]="Watchlist",Loans[[#This Row],[CollateralRisk]]="Undersecured",Loans[[#This Row],[RiskCategory]]="High Risk"),"High Risk Exposure","Normal")</f>
        <v>High Risk Exposure</v>
      </c>
      <c r="T649" t="str" cm="1">
        <f t="array" ref="T649">_xlfn.IFS(
Loans[[#This Row],[LoanStatus]]="Default","Critical",
OR(Loans[[#This Row],[LoanStatus]]="Watchlist",Loans[[#This Row],[CollateralRisk]]="Undersecured",Loans[[#This Row],[RiskCategory]]="High Risk"),"High",
TRUE,"Normal"
)</f>
        <v>High</v>
      </c>
    </row>
    <row r="650" spans="1:20" x14ac:dyDescent="0.35">
      <c r="A650" t="s">
        <v>1255</v>
      </c>
      <c r="B650" t="s">
        <v>1256</v>
      </c>
      <c r="C650" t="s">
        <v>196</v>
      </c>
      <c r="D650" t="s">
        <v>156</v>
      </c>
      <c r="E650" s="34">
        <v>3000000</v>
      </c>
      <c r="F650" s="29">
        <v>0.2011</v>
      </c>
      <c r="G650" s="30">
        <v>45994</v>
      </c>
      <c r="H650">
        <v>72</v>
      </c>
      <c r="I650">
        <v>10</v>
      </c>
      <c r="J650" s="34">
        <v>2970000</v>
      </c>
      <c r="K650" t="s">
        <v>171</v>
      </c>
      <c r="L650" s="34">
        <f>PMT(Loans[[#This Row],[InterestRate]]/12,Loans[[#This Row],[LoanTenureMonths]],-Loans[[#This Row],[LoanAmount]])</f>
        <v>72049.892295058744</v>
      </c>
      <c r="M650" s="30">
        <f>EDATE(Loans[[#This Row],[LoanStartDate]],Loans[[#This Row],[LoanTenureMonths]])</f>
        <v>48185</v>
      </c>
      <c r="N650" s="33">
        <f>IF(Loans[[#This Row],[LoanAmount]]=0,0,Loans[[#This Row],[CollateralValue]]/Loans[[#This Row],[LoanAmount]])</f>
        <v>0.99</v>
      </c>
      <c r="O650" t="str">
        <f>IF(Loans[[#This Row],[CollateralCoverageRatio]]&lt;1,"Undersecured","Secured")</f>
        <v>Undersecured</v>
      </c>
      <c r="P650" t="str">
        <f>_xlfn.XLOOKUP(Loans[[#This Row],[BranchCode]],BranchesTbl[BranchCode],BranchesTbl[BranchName])</f>
        <v>Karen</v>
      </c>
      <c r="Q650">
        <f>_xlfn.XLOOKUP(Loans[[#This Row],[CustomerID]],CustomerTbl[CustomerID],CustomerTbl[RiskScore])</f>
        <v>304</v>
      </c>
      <c r="R650" t="str">
        <f>IFERROR(INDEX(RiskTbl[Risk_Category],MATCH(Loans[[#This Row],[RiskScore]],RiskTbl[Score_Min],1)),"Unknown")</f>
        <v>High Risk</v>
      </c>
      <c r="S650" t="str">
        <f>IF(OR(Loans[[#This Row],[LoanStatus]]="Default",Loans[[#This Row],[LoanStatus]]="Watchlist",Loans[[#This Row],[CollateralRisk]]="Undersecured",Loans[[#This Row],[RiskCategory]]="High Risk"),"High Risk Exposure","Normal")</f>
        <v>High Risk Exposure</v>
      </c>
      <c r="T650" t="str" cm="1">
        <f t="array" ref="T650">_xlfn.IFS(
Loans[[#This Row],[LoanStatus]]="Default","Critical",
OR(Loans[[#This Row],[LoanStatus]]="Watchlist",Loans[[#This Row],[CollateralRisk]]="Undersecured",Loans[[#This Row],[RiskCategory]]="High Risk"),"High",
TRUE,"Normal"
)</f>
        <v>High</v>
      </c>
    </row>
    <row r="651" spans="1:20" x14ac:dyDescent="0.35">
      <c r="A651" t="s">
        <v>1257</v>
      </c>
      <c r="B651" t="s">
        <v>901</v>
      </c>
      <c r="C651" t="s">
        <v>190</v>
      </c>
      <c r="D651" t="s">
        <v>155</v>
      </c>
      <c r="E651" s="34">
        <v>250000</v>
      </c>
      <c r="F651" s="29">
        <v>0.18659999999999999</v>
      </c>
      <c r="G651" s="30">
        <v>46014</v>
      </c>
      <c r="H651">
        <v>60</v>
      </c>
      <c r="I651">
        <v>0</v>
      </c>
      <c r="J651" s="34">
        <v>0</v>
      </c>
      <c r="K651" t="s">
        <v>171</v>
      </c>
      <c r="L651" s="34">
        <f>PMT(Loans[[#This Row],[InterestRate]]/12,Loans[[#This Row],[LoanTenureMonths]],-Loans[[#This Row],[LoanAmount]])</f>
        <v>6438.4573081247781</v>
      </c>
      <c r="M651" s="30">
        <f>EDATE(Loans[[#This Row],[LoanStartDate]],Loans[[#This Row],[LoanTenureMonths]])</f>
        <v>47840</v>
      </c>
      <c r="N651" s="33">
        <f>IF(Loans[[#This Row],[LoanAmount]]=0,0,Loans[[#This Row],[CollateralValue]]/Loans[[#This Row],[LoanAmount]])</f>
        <v>0</v>
      </c>
      <c r="O651" t="str">
        <f>IF(Loans[[#This Row],[CollateralCoverageRatio]]&lt;1,"Undersecured","Secured")</f>
        <v>Undersecured</v>
      </c>
      <c r="P651" t="str">
        <f>_xlfn.XLOOKUP(Loans[[#This Row],[BranchCode]],BranchesTbl[BranchCode],BranchesTbl[BranchName])</f>
        <v>Nyeri</v>
      </c>
      <c r="Q651">
        <f>_xlfn.XLOOKUP(Loans[[#This Row],[CustomerID]],CustomerTbl[CustomerID],CustomerTbl[RiskScore])</f>
        <v>496</v>
      </c>
      <c r="R651" t="str">
        <f>IFERROR(INDEX(RiskTbl[Risk_Category],MATCH(Loans[[#This Row],[RiskScore]],RiskTbl[Score_Min],1)),"Unknown")</f>
        <v>High Risk</v>
      </c>
      <c r="S651" t="str">
        <f>IF(OR(Loans[[#This Row],[LoanStatus]]="Default",Loans[[#This Row],[LoanStatus]]="Watchlist",Loans[[#This Row],[CollateralRisk]]="Undersecured",Loans[[#This Row],[RiskCategory]]="High Risk"),"High Risk Exposure","Normal")</f>
        <v>High Risk Exposure</v>
      </c>
      <c r="T651" t="str" cm="1">
        <f t="array" ref="T651">_xlfn.IFS(
Loans[[#This Row],[LoanStatus]]="Default","Critical",
OR(Loans[[#This Row],[LoanStatus]]="Watchlist",Loans[[#This Row],[CollateralRisk]]="Undersecured",Loans[[#This Row],[RiskCategory]]="High Risk"),"High",
TRUE,"Normal"
)</f>
        <v>High</v>
      </c>
    </row>
    <row r="652" spans="1:20" x14ac:dyDescent="0.35">
      <c r="A652" t="s">
        <v>1258</v>
      </c>
      <c r="B652" t="s">
        <v>1166</v>
      </c>
      <c r="C652" t="s">
        <v>270</v>
      </c>
      <c r="D652" t="s">
        <v>156</v>
      </c>
      <c r="E652" s="34">
        <v>25000000</v>
      </c>
      <c r="F652" s="29">
        <v>0.2094</v>
      </c>
      <c r="G652" s="30">
        <v>45574</v>
      </c>
      <c r="H652">
        <v>24</v>
      </c>
      <c r="I652">
        <v>45</v>
      </c>
      <c r="J652" s="34">
        <v>34000000</v>
      </c>
      <c r="K652" t="s">
        <v>199</v>
      </c>
      <c r="L652" s="34">
        <f>PMT(Loans[[#This Row],[InterestRate]]/12,Loans[[#This Row],[LoanTenureMonths]],-Loans[[#This Row],[LoanAmount]])</f>
        <v>1283904.6275746466</v>
      </c>
      <c r="M652" s="30">
        <f>EDATE(Loans[[#This Row],[LoanStartDate]],Loans[[#This Row],[LoanTenureMonths]])</f>
        <v>46304</v>
      </c>
      <c r="N652" s="33">
        <f>IF(Loans[[#This Row],[LoanAmount]]=0,0,Loans[[#This Row],[CollateralValue]]/Loans[[#This Row],[LoanAmount]])</f>
        <v>1.36</v>
      </c>
      <c r="O652" t="str">
        <f>IF(Loans[[#This Row],[CollateralCoverageRatio]]&lt;1,"Undersecured","Secured")</f>
        <v>Secured</v>
      </c>
      <c r="P652" t="str">
        <f>_xlfn.XLOOKUP(Loans[[#This Row],[BranchCode]],BranchesTbl[BranchCode],BranchesTbl[BranchName])</f>
        <v>Nakuru</v>
      </c>
      <c r="Q652">
        <f>_xlfn.XLOOKUP(Loans[[#This Row],[CustomerID]],CustomerTbl[CustomerID],CustomerTbl[RiskScore])</f>
        <v>618</v>
      </c>
      <c r="R652" t="str">
        <f>IFERROR(INDEX(RiskTbl[Risk_Category],MATCH(Loans[[#This Row],[RiskScore]],RiskTbl[Score_Min],1)),"Unknown")</f>
        <v>Medium Risk</v>
      </c>
      <c r="S652" t="str">
        <f>IF(OR(Loans[[#This Row],[LoanStatus]]="Default",Loans[[#This Row],[LoanStatus]]="Watchlist",Loans[[#This Row],[CollateralRisk]]="Undersecured",Loans[[#This Row],[RiskCategory]]="High Risk"),"High Risk Exposure","Normal")</f>
        <v>High Risk Exposure</v>
      </c>
      <c r="T652" t="str" cm="1">
        <f t="array" ref="T652">_xlfn.IFS(
Loans[[#This Row],[LoanStatus]]="Default","Critical",
OR(Loans[[#This Row],[LoanStatus]]="Watchlist",Loans[[#This Row],[CollateralRisk]]="Undersecured",Loans[[#This Row],[RiskCategory]]="High Risk"),"High",
TRUE,"Normal"
)</f>
        <v>High</v>
      </c>
    </row>
    <row r="653" spans="1:20" x14ac:dyDescent="0.35">
      <c r="A653" t="s">
        <v>1259</v>
      </c>
      <c r="B653" t="s">
        <v>290</v>
      </c>
      <c r="C653" t="s">
        <v>193</v>
      </c>
      <c r="D653" t="s">
        <v>157</v>
      </c>
      <c r="E653" s="34">
        <v>80000000</v>
      </c>
      <c r="F653" s="29">
        <v>0.12</v>
      </c>
      <c r="G653" s="30">
        <v>43862</v>
      </c>
      <c r="H653">
        <v>72</v>
      </c>
      <c r="I653">
        <v>45</v>
      </c>
      <c r="J653" s="34">
        <v>57600000</v>
      </c>
      <c r="K653" t="s">
        <v>199</v>
      </c>
      <c r="L653" s="34">
        <f>PMT(Loans[[#This Row],[InterestRate]]/12,Loans[[#This Row],[LoanTenureMonths]],-Loans[[#This Row],[LoanAmount]])</f>
        <v>1564015.4002159236</v>
      </c>
      <c r="M653" s="30">
        <f>EDATE(Loans[[#This Row],[LoanStartDate]],Loans[[#This Row],[LoanTenureMonths]])</f>
        <v>46054</v>
      </c>
      <c r="N653" s="33">
        <f>IF(Loans[[#This Row],[LoanAmount]]=0,0,Loans[[#This Row],[CollateralValue]]/Loans[[#This Row],[LoanAmount]])</f>
        <v>0.72</v>
      </c>
      <c r="O653" t="str">
        <f>IF(Loans[[#This Row],[CollateralCoverageRatio]]&lt;1,"Undersecured","Secured")</f>
        <v>Undersecured</v>
      </c>
      <c r="P653" t="str">
        <f>_xlfn.XLOOKUP(Loans[[#This Row],[BranchCode]],BranchesTbl[BranchCode],BranchesTbl[BranchName])</f>
        <v>Mombasa</v>
      </c>
      <c r="Q653">
        <f>_xlfn.XLOOKUP(Loans[[#This Row],[CustomerID]],CustomerTbl[CustomerID],CustomerTbl[RiskScore])</f>
        <v>572</v>
      </c>
      <c r="R653" t="str">
        <f>IFERROR(INDEX(RiskTbl[Risk_Category],MATCH(Loans[[#This Row],[RiskScore]],RiskTbl[Score_Min],1)),"Unknown")</f>
        <v>High Risk</v>
      </c>
      <c r="S653" t="str">
        <f>IF(OR(Loans[[#This Row],[LoanStatus]]="Default",Loans[[#This Row],[LoanStatus]]="Watchlist",Loans[[#This Row],[CollateralRisk]]="Undersecured",Loans[[#This Row],[RiskCategory]]="High Risk"),"High Risk Exposure","Normal")</f>
        <v>High Risk Exposure</v>
      </c>
      <c r="T653" t="str" cm="1">
        <f t="array" ref="T653">_xlfn.IFS(
Loans[[#This Row],[LoanStatus]]="Default","Critical",
OR(Loans[[#This Row],[LoanStatus]]="Watchlist",Loans[[#This Row],[CollateralRisk]]="Undersecured",Loans[[#This Row],[RiskCategory]]="High Risk"),"High",
TRUE,"Normal"
)</f>
        <v>High</v>
      </c>
    </row>
    <row r="654" spans="1:20" x14ac:dyDescent="0.35">
      <c r="A654" t="s">
        <v>1260</v>
      </c>
      <c r="B654" t="s">
        <v>1261</v>
      </c>
      <c r="C654" t="s">
        <v>219</v>
      </c>
      <c r="D654" t="s">
        <v>156</v>
      </c>
      <c r="E654" s="34">
        <v>1000000</v>
      </c>
      <c r="F654" s="29">
        <v>0.1593</v>
      </c>
      <c r="G654" s="30">
        <v>45421</v>
      </c>
      <c r="H654">
        <v>12</v>
      </c>
      <c r="I654">
        <v>45</v>
      </c>
      <c r="J654" s="34">
        <v>1500000</v>
      </c>
      <c r="K654" t="s">
        <v>199</v>
      </c>
      <c r="L654" s="34">
        <f>PMT(Loans[[#This Row],[InterestRate]]/12,Loans[[#This Row],[LoanTenureMonths]],-Loans[[#This Row],[LoanAmount]])</f>
        <v>90697.735748661522</v>
      </c>
      <c r="M654" s="30">
        <f>EDATE(Loans[[#This Row],[LoanStartDate]],Loans[[#This Row],[LoanTenureMonths]])</f>
        <v>45786</v>
      </c>
      <c r="N654" s="33">
        <f>IF(Loans[[#This Row],[LoanAmount]]=0,0,Loans[[#This Row],[CollateralValue]]/Loans[[#This Row],[LoanAmount]])</f>
        <v>1.5</v>
      </c>
      <c r="O654" t="str">
        <f>IF(Loans[[#This Row],[CollateralCoverageRatio]]&lt;1,"Undersecured","Secured")</f>
        <v>Secured</v>
      </c>
      <c r="P654" t="str">
        <f>_xlfn.XLOOKUP(Loans[[#This Row],[BranchCode]],BranchesTbl[BranchCode],BranchesTbl[BranchName])</f>
        <v>Meru</v>
      </c>
      <c r="Q654">
        <f>_xlfn.XLOOKUP(Loans[[#This Row],[CustomerID]],CustomerTbl[CustomerID],CustomerTbl[RiskScore])</f>
        <v>708</v>
      </c>
      <c r="R654" t="str">
        <f>IFERROR(INDEX(RiskTbl[Risk_Category],MATCH(Loans[[#This Row],[RiskScore]],RiskTbl[Score_Min],1)),"Unknown")</f>
        <v>Low Risk</v>
      </c>
      <c r="S654" t="str">
        <f>IF(OR(Loans[[#This Row],[LoanStatus]]="Default",Loans[[#This Row],[LoanStatus]]="Watchlist",Loans[[#This Row],[CollateralRisk]]="Undersecured",Loans[[#This Row],[RiskCategory]]="High Risk"),"High Risk Exposure","Normal")</f>
        <v>High Risk Exposure</v>
      </c>
      <c r="T654" t="str" cm="1">
        <f t="array" ref="T654">_xlfn.IFS(
Loans[[#This Row],[LoanStatus]]="Default","Critical",
OR(Loans[[#This Row],[LoanStatus]]="Watchlist",Loans[[#This Row],[CollateralRisk]]="Undersecured",Loans[[#This Row],[RiskCategory]]="High Risk"),"High",
TRUE,"Normal"
)</f>
        <v>High</v>
      </c>
    </row>
    <row r="655" spans="1:20" x14ac:dyDescent="0.35">
      <c r="A655" t="s">
        <v>1262</v>
      </c>
      <c r="B655" t="s">
        <v>1263</v>
      </c>
      <c r="C655" t="s">
        <v>174</v>
      </c>
      <c r="D655" t="s">
        <v>157</v>
      </c>
      <c r="E655" s="34">
        <v>6000000</v>
      </c>
      <c r="F655" s="29">
        <v>0.1293</v>
      </c>
      <c r="G655" s="30">
        <v>45616</v>
      </c>
      <c r="H655">
        <v>24</v>
      </c>
      <c r="I655">
        <v>0</v>
      </c>
      <c r="J655" s="34">
        <v>7980000</v>
      </c>
      <c r="K655" t="s">
        <v>171</v>
      </c>
      <c r="L655" s="34">
        <f>PMT(Loans[[#This Row],[InterestRate]]/12,Loans[[#This Row],[LoanTenureMonths]],-Loans[[#This Row],[LoanAmount]])</f>
        <v>285053.69862676918</v>
      </c>
      <c r="M655" s="30">
        <f>EDATE(Loans[[#This Row],[LoanStartDate]],Loans[[#This Row],[LoanTenureMonths]])</f>
        <v>46346</v>
      </c>
      <c r="N655" s="33">
        <f>IF(Loans[[#This Row],[LoanAmount]]=0,0,Loans[[#This Row],[CollateralValue]]/Loans[[#This Row],[LoanAmount]])</f>
        <v>1.33</v>
      </c>
      <c r="O655" t="str">
        <f>IF(Loans[[#This Row],[CollateralCoverageRatio]]&lt;1,"Undersecured","Secured")</f>
        <v>Secured</v>
      </c>
      <c r="P655" t="str">
        <f>_xlfn.XLOOKUP(Loans[[#This Row],[BranchCode]],BranchesTbl[BranchCode],BranchesTbl[BranchName])</f>
        <v>Westlands</v>
      </c>
      <c r="Q655">
        <f>_xlfn.XLOOKUP(Loans[[#This Row],[CustomerID]],CustomerTbl[CustomerID],CustomerTbl[RiskScore])</f>
        <v>486</v>
      </c>
      <c r="R655" t="str">
        <f>IFERROR(INDEX(RiskTbl[Risk_Category],MATCH(Loans[[#This Row],[RiskScore]],RiskTbl[Score_Min],1)),"Unknown")</f>
        <v>High Risk</v>
      </c>
      <c r="S655" t="str">
        <f>IF(OR(Loans[[#This Row],[LoanStatus]]="Default",Loans[[#This Row],[LoanStatus]]="Watchlist",Loans[[#This Row],[CollateralRisk]]="Undersecured",Loans[[#This Row],[RiskCategory]]="High Risk"),"High Risk Exposure","Normal")</f>
        <v>High Risk Exposure</v>
      </c>
      <c r="T655" t="str" cm="1">
        <f t="array" ref="T655">_xlfn.IFS(
Loans[[#This Row],[LoanStatus]]="Default","Critical",
OR(Loans[[#This Row],[LoanStatus]]="Watchlist",Loans[[#This Row],[CollateralRisk]]="Undersecured",Loans[[#This Row],[RiskCategory]]="High Risk"),"High",
TRUE,"Normal"
)</f>
        <v>High</v>
      </c>
    </row>
    <row r="656" spans="1:20" x14ac:dyDescent="0.35">
      <c r="A656" t="s">
        <v>1264</v>
      </c>
      <c r="B656" t="s">
        <v>571</v>
      </c>
      <c r="C656" t="s">
        <v>190</v>
      </c>
      <c r="D656" t="s">
        <v>156</v>
      </c>
      <c r="E656" s="34">
        <v>6000000</v>
      </c>
      <c r="F656" s="29">
        <v>0.22309999999999999</v>
      </c>
      <c r="G656" s="30">
        <v>46005</v>
      </c>
      <c r="H656">
        <v>48</v>
      </c>
      <c r="I656">
        <v>0</v>
      </c>
      <c r="J656" s="34">
        <v>8160000</v>
      </c>
      <c r="K656" t="s">
        <v>171</v>
      </c>
      <c r="L656" s="34">
        <f>PMT(Loans[[#This Row],[InterestRate]]/12,Loans[[#This Row],[LoanTenureMonths]],-Loans[[#This Row],[LoanAmount]])</f>
        <v>190047.69508777169</v>
      </c>
      <c r="M656" s="30">
        <f>EDATE(Loans[[#This Row],[LoanStartDate]],Loans[[#This Row],[LoanTenureMonths]])</f>
        <v>47466</v>
      </c>
      <c r="N656" s="33">
        <f>IF(Loans[[#This Row],[LoanAmount]]=0,0,Loans[[#This Row],[CollateralValue]]/Loans[[#This Row],[LoanAmount]])</f>
        <v>1.36</v>
      </c>
      <c r="O656" t="str">
        <f>IF(Loans[[#This Row],[CollateralCoverageRatio]]&lt;1,"Undersecured","Secured")</f>
        <v>Secured</v>
      </c>
      <c r="P656" t="str">
        <f>_xlfn.XLOOKUP(Loans[[#This Row],[BranchCode]],BranchesTbl[BranchCode],BranchesTbl[BranchName])</f>
        <v>Nyeri</v>
      </c>
      <c r="Q656">
        <f>_xlfn.XLOOKUP(Loans[[#This Row],[CustomerID]],CustomerTbl[CustomerID],CustomerTbl[RiskScore])</f>
        <v>544</v>
      </c>
      <c r="R656" t="str">
        <f>IFERROR(INDEX(RiskTbl[Risk_Category],MATCH(Loans[[#This Row],[RiskScore]],RiskTbl[Score_Min],1)),"Unknown")</f>
        <v>High Risk</v>
      </c>
      <c r="S656" t="str">
        <f>IF(OR(Loans[[#This Row],[LoanStatus]]="Default",Loans[[#This Row],[LoanStatus]]="Watchlist",Loans[[#This Row],[CollateralRisk]]="Undersecured",Loans[[#This Row],[RiskCategory]]="High Risk"),"High Risk Exposure","Normal")</f>
        <v>High Risk Exposure</v>
      </c>
      <c r="T656" t="str" cm="1">
        <f t="array" ref="T656">_xlfn.IFS(
Loans[[#This Row],[LoanStatus]]="Default","Critical",
OR(Loans[[#This Row],[LoanStatus]]="Watchlist",Loans[[#This Row],[CollateralRisk]]="Undersecured",Loans[[#This Row],[RiskCategory]]="High Risk"),"High",
TRUE,"Normal"
)</f>
        <v>High</v>
      </c>
    </row>
    <row r="657" spans="1:20" x14ac:dyDescent="0.35">
      <c r="A657" t="s">
        <v>1265</v>
      </c>
      <c r="B657" t="s">
        <v>574</v>
      </c>
      <c r="C657" t="s">
        <v>184</v>
      </c>
      <c r="D657" t="s">
        <v>157</v>
      </c>
      <c r="E657" s="34">
        <v>25000000</v>
      </c>
      <c r="F657" s="29">
        <v>9.6199999999999994E-2</v>
      </c>
      <c r="G657" s="30">
        <v>45028</v>
      </c>
      <c r="H657">
        <v>60</v>
      </c>
      <c r="I657">
        <v>20</v>
      </c>
      <c r="J657" s="34">
        <v>33250000</v>
      </c>
      <c r="K657" t="s">
        <v>171</v>
      </c>
      <c r="L657" s="34">
        <f>PMT(Loans[[#This Row],[InterestRate]]/12,Loans[[#This Row],[LoanTenureMonths]],-Loans[[#This Row],[LoanAmount]])</f>
        <v>526513.81355144619</v>
      </c>
      <c r="M657" s="30">
        <f>EDATE(Loans[[#This Row],[LoanStartDate]],Loans[[#This Row],[LoanTenureMonths]])</f>
        <v>46855</v>
      </c>
      <c r="N657" s="33">
        <f>IF(Loans[[#This Row],[LoanAmount]]=0,0,Loans[[#This Row],[CollateralValue]]/Loans[[#This Row],[LoanAmount]])</f>
        <v>1.33</v>
      </c>
      <c r="O657" t="str">
        <f>IF(Loans[[#This Row],[CollateralCoverageRatio]]&lt;1,"Undersecured","Secured")</f>
        <v>Secured</v>
      </c>
      <c r="P657" t="str">
        <f>_xlfn.XLOOKUP(Loans[[#This Row],[BranchCode]],BranchesTbl[BranchCode],BranchesTbl[BranchName])</f>
        <v>Kisumu</v>
      </c>
      <c r="Q657">
        <f>_xlfn.XLOOKUP(Loans[[#This Row],[CustomerID]],CustomerTbl[CustomerID],CustomerTbl[RiskScore])</f>
        <v>695</v>
      </c>
      <c r="R657" t="str">
        <f>IFERROR(INDEX(RiskTbl[Risk_Category],MATCH(Loans[[#This Row],[RiskScore]],RiskTbl[Score_Min],1)),"Unknown")</f>
        <v>Low Risk</v>
      </c>
      <c r="S657" t="str">
        <f>IF(OR(Loans[[#This Row],[LoanStatus]]="Default",Loans[[#This Row],[LoanStatus]]="Watchlist",Loans[[#This Row],[CollateralRisk]]="Undersecured",Loans[[#This Row],[RiskCategory]]="High Risk"),"High Risk Exposure","Normal")</f>
        <v>Normal</v>
      </c>
      <c r="T657" t="str" cm="1">
        <f t="array" ref="T657">_xlfn.IFS(
Loans[[#This Row],[LoanStatus]]="Default","Critical",
OR(Loans[[#This Row],[LoanStatus]]="Watchlist",Loans[[#This Row],[CollateralRisk]]="Undersecured",Loans[[#This Row],[RiskCategory]]="High Risk"),"High",
TRUE,"Normal"
)</f>
        <v>Normal</v>
      </c>
    </row>
    <row r="658" spans="1:20" x14ac:dyDescent="0.35">
      <c r="A658" t="s">
        <v>1266</v>
      </c>
      <c r="B658" t="s">
        <v>1208</v>
      </c>
      <c r="C658" t="s">
        <v>181</v>
      </c>
      <c r="D658" t="s">
        <v>158</v>
      </c>
      <c r="E658" s="34">
        <v>1000000</v>
      </c>
      <c r="F658" s="29">
        <v>0.1749</v>
      </c>
      <c r="G658" s="30">
        <v>45859</v>
      </c>
      <c r="H658">
        <v>48</v>
      </c>
      <c r="I658">
        <v>0</v>
      </c>
      <c r="J658" s="34">
        <v>610000</v>
      </c>
      <c r="K658" t="s">
        <v>171</v>
      </c>
      <c r="L658" s="34">
        <f>PMT(Loans[[#This Row],[InterestRate]]/12,Loans[[#This Row],[LoanTenureMonths]],-Loans[[#This Row],[LoanAmount]])</f>
        <v>29109.174279726449</v>
      </c>
      <c r="M658" s="30">
        <f>EDATE(Loans[[#This Row],[LoanStartDate]],Loans[[#This Row],[LoanTenureMonths]])</f>
        <v>47320</v>
      </c>
      <c r="N658" s="33">
        <f>IF(Loans[[#This Row],[LoanAmount]]=0,0,Loans[[#This Row],[CollateralValue]]/Loans[[#This Row],[LoanAmount]])</f>
        <v>0.61</v>
      </c>
      <c r="O658" t="str">
        <f>IF(Loans[[#This Row],[CollateralCoverageRatio]]&lt;1,"Undersecured","Secured")</f>
        <v>Undersecured</v>
      </c>
      <c r="P658" t="str">
        <f>_xlfn.XLOOKUP(Loans[[#This Row],[BranchCode]],BranchesTbl[BranchCode],BranchesTbl[BranchName])</f>
        <v>Kitale</v>
      </c>
      <c r="Q658">
        <f>_xlfn.XLOOKUP(Loans[[#This Row],[CustomerID]],CustomerTbl[CustomerID],CustomerTbl[RiskScore])</f>
        <v>674</v>
      </c>
      <c r="R658" t="str">
        <f>IFERROR(INDEX(RiskTbl[Risk_Category],MATCH(Loans[[#This Row],[RiskScore]],RiskTbl[Score_Min],1)),"Unknown")</f>
        <v>Low Risk</v>
      </c>
      <c r="S658" t="str">
        <f>IF(OR(Loans[[#This Row],[LoanStatus]]="Default",Loans[[#This Row],[LoanStatus]]="Watchlist",Loans[[#This Row],[CollateralRisk]]="Undersecured",Loans[[#This Row],[RiskCategory]]="High Risk"),"High Risk Exposure","Normal")</f>
        <v>High Risk Exposure</v>
      </c>
      <c r="T658" t="str" cm="1">
        <f t="array" ref="T658">_xlfn.IFS(
Loans[[#This Row],[LoanStatus]]="Default","Critical",
OR(Loans[[#This Row],[LoanStatus]]="Watchlist",Loans[[#This Row],[CollateralRisk]]="Undersecured",Loans[[#This Row],[RiskCategory]]="High Risk"),"High",
TRUE,"Normal"
)</f>
        <v>High</v>
      </c>
    </row>
    <row r="659" spans="1:20" x14ac:dyDescent="0.35">
      <c r="A659" t="s">
        <v>1267</v>
      </c>
      <c r="B659" t="s">
        <v>1268</v>
      </c>
      <c r="C659" t="s">
        <v>174</v>
      </c>
      <c r="D659" t="s">
        <v>155</v>
      </c>
      <c r="E659" s="34">
        <v>1000000</v>
      </c>
      <c r="F659" s="29">
        <v>0.23319999999999999</v>
      </c>
      <c r="G659" s="30">
        <v>44617</v>
      </c>
      <c r="H659">
        <v>60</v>
      </c>
      <c r="I659">
        <v>10</v>
      </c>
      <c r="J659" s="34">
        <v>0</v>
      </c>
      <c r="K659" t="s">
        <v>171</v>
      </c>
      <c r="L659" s="34">
        <f>PMT(Loans[[#This Row],[InterestRate]]/12,Loans[[#This Row],[LoanTenureMonths]],-Loans[[#This Row],[LoanAmount]])</f>
        <v>28374.627057873819</v>
      </c>
      <c r="M659" s="30">
        <f>EDATE(Loans[[#This Row],[LoanStartDate]],Loans[[#This Row],[LoanTenureMonths]])</f>
        <v>46443</v>
      </c>
      <c r="N659" s="33">
        <f>IF(Loans[[#This Row],[LoanAmount]]=0,0,Loans[[#This Row],[CollateralValue]]/Loans[[#This Row],[LoanAmount]])</f>
        <v>0</v>
      </c>
      <c r="O659" t="str">
        <f>IF(Loans[[#This Row],[CollateralCoverageRatio]]&lt;1,"Undersecured","Secured")</f>
        <v>Undersecured</v>
      </c>
      <c r="P659" t="str">
        <f>_xlfn.XLOOKUP(Loans[[#This Row],[BranchCode]],BranchesTbl[BranchCode],BranchesTbl[BranchName])</f>
        <v>Westlands</v>
      </c>
      <c r="Q659">
        <f>_xlfn.XLOOKUP(Loans[[#This Row],[CustomerID]],CustomerTbl[CustomerID],CustomerTbl[RiskScore])</f>
        <v>571</v>
      </c>
      <c r="R659" t="str">
        <f>IFERROR(INDEX(RiskTbl[Risk_Category],MATCH(Loans[[#This Row],[RiskScore]],RiskTbl[Score_Min],1)),"Unknown")</f>
        <v>High Risk</v>
      </c>
      <c r="S659" t="str">
        <f>IF(OR(Loans[[#This Row],[LoanStatus]]="Default",Loans[[#This Row],[LoanStatus]]="Watchlist",Loans[[#This Row],[CollateralRisk]]="Undersecured",Loans[[#This Row],[RiskCategory]]="High Risk"),"High Risk Exposure","Normal")</f>
        <v>High Risk Exposure</v>
      </c>
      <c r="T659" t="str" cm="1">
        <f t="array" ref="T659">_xlfn.IFS(
Loans[[#This Row],[LoanStatus]]="Default","Critical",
OR(Loans[[#This Row],[LoanStatus]]="Watchlist",Loans[[#This Row],[CollateralRisk]]="Undersecured",Loans[[#This Row],[RiskCategory]]="High Risk"),"High",
TRUE,"Normal"
)</f>
        <v>High</v>
      </c>
    </row>
    <row r="660" spans="1:20" x14ac:dyDescent="0.35">
      <c r="A660" t="s">
        <v>1269</v>
      </c>
      <c r="B660" t="s">
        <v>308</v>
      </c>
      <c r="C660" t="s">
        <v>232</v>
      </c>
      <c r="D660" t="s">
        <v>155</v>
      </c>
      <c r="E660" s="34">
        <v>1000000</v>
      </c>
      <c r="F660" s="29">
        <v>0.1792</v>
      </c>
      <c r="G660" s="30">
        <v>45920</v>
      </c>
      <c r="H660">
        <v>36</v>
      </c>
      <c r="I660">
        <v>45</v>
      </c>
      <c r="J660" s="34">
        <v>0</v>
      </c>
      <c r="K660" t="s">
        <v>199</v>
      </c>
      <c r="L660" s="34">
        <f>PMT(Loans[[#This Row],[InterestRate]]/12,Loans[[#This Row],[LoanTenureMonths]],-Loans[[#This Row],[LoanAmount]])</f>
        <v>36112.276267245419</v>
      </c>
      <c r="M660" s="30">
        <f>EDATE(Loans[[#This Row],[LoanStartDate]],Loans[[#This Row],[LoanTenureMonths]])</f>
        <v>47016</v>
      </c>
      <c r="N660" s="33">
        <f>IF(Loans[[#This Row],[LoanAmount]]=0,0,Loans[[#This Row],[CollateralValue]]/Loans[[#This Row],[LoanAmount]])</f>
        <v>0</v>
      </c>
      <c r="O660" t="str">
        <f>IF(Loans[[#This Row],[CollateralCoverageRatio]]&lt;1,"Undersecured","Secured")</f>
        <v>Undersecured</v>
      </c>
      <c r="P660" t="str">
        <f>_xlfn.XLOOKUP(Loans[[#This Row],[BranchCode]],BranchesTbl[BranchCode],BranchesTbl[BranchName])</f>
        <v>Upper Hill</v>
      </c>
      <c r="Q660">
        <f>_xlfn.XLOOKUP(Loans[[#This Row],[CustomerID]],CustomerTbl[CustomerID],CustomerTbl[RiskScore])</f>
        <v>477</v>
      </c>
      <c r="R660" t="str">
        <f>IFERROR(INDEX(RiskTbl[Risk_Category],MATCH(Loans[[#This Row],[RiskScore]],RiskTbl[Score_Min],1)),"Unknown")</f>
        <v>High Risk</v>
      </c>
      <c r="S660" t="str">
        <f>IF(OR(Loans[[#This Row],[LoanStatus]]="Default",Loans[[#This Row],[LoanStatus]]="Watchlist",Loans[[#This Row],[CollateralRisk]]="Undersecured",Loans[[#This Row],[RiskCategory]]="High Risk"),"High Risk Exposure","Normal")</f>
        <v>High Risk Exposure</v>
      </c>
      <c r="T660" t="str" cm="1">
        <f t="array" ref="T660">_xlfn.IFS(
Loans[[#This Row],[LoanStatus]]="Default","Critical",
OR(Loans[[#This Row],[LoanStatus]]="Watchlist",Loans[[#This Row],[CollateralRisk]]="Undersecured",Loans[[#This Row],[RiskCategory]]="High Risk"),"High",
TRUE,"Normal"
)</f>
        <v>High</v>
      </c>
    </row>
    <row r="661" spans="1:20" x14ac:dyDescent="0.35">
      <c r="A661" t="s">
        <v>1270</v>
      </c>
      <c r="B661" t="s">
        <v>205</v>
      </c>
      <c r="C661" t="s">
        <v>270</v>
      </c>
      <c r="D661" t="s">
        <v>156</v>
      </c>
      <c r="E661" s="34">
        <v>25000000</v>
      </c>
      <c r="F661" s="29">
        <v>0.20930000000000001</v>
      </c>
      <c r="G661" s="30">
        <v>45610</v>
      </c>
      <c r="H661">
        <v>36</v>
      </c>
      <c r="I661">
        <v>45</v>
      </c>
      <c r="J661" s="34">
        <v>21750000</v>
      </c>
      <c r="K661" t="s">
        <v>199</v>
      </c>
      <c r="L661" s="34">
        <f>PMT(Loans[[#This Row],[InterestRate]]/12,Loans[[#This Row],[LoanTenureMonths]],-Loans[[#This Row],[LoanAmount]])</f>
        <v>940978.40577545098</v>
      </c>
      <c r="M661" s="30">
        <f>EDATE(Loans[[#This Row],[LoanStartDate]],Loans[[#This Row],[LoanTenureMonths]])</f>
        <v>46705</v>
      </c>
      <c r="N661" s="33">
        <f>IF(Loans[[#This Row],[LoanAmount]]=0,0,Loans[[#This Row],[CollateralValue]]/Loans[[#This Row],[LoanAmount]])</f>
        <v>0.87</v>
      </c>
      <c r="O661" t="str">
        <f>IF(Loans[[#This Row],[CollateralCoverageRatio]]&lt;1,"Undersecured","Secured")</f>
        <v>Undersecured</v>
      </c>
      <c r="P661" t="str">
        <f>_xlfn.XLOOKUP(Loans[[#This Row],[BranchCode]],BranchesTbl[BranchCode],BranchesTbl[BranchName])</f>
        <v>Nakuru</v>
      </c>
      <c r="Q661">
        <f>_xlfn.XLOOKUP(Loans[[#This Row],[CustomerID]],CustomerTbl[CustomerID],CustomerTbl[RiskScore])</f>
        <v>330</v>
      </c>
      <c r="R661" t="str">
        <f>IFERROR(INDEX(RiskTbl[Risk_Category],MATCH(Loans[[#This Row],[RiskScore]],RiskTbl[Score_Min],1)),"Unknown")</f>
        <v>High Risk</v>
      </c>
      <c r="S661" t="str">
        <f>IF(OR(Loans[[#This Row],[LoanStatus]]="Default",Loans[[#This Row],[LoanStatus]]="Watchlist",Loans[[#This Row],[CollateralRisk]]="Undersecured",Loans[[#This Row],[RiskCategory]]="High Risk"),"High Risk Exposure","Normal")</f>
        <v>High Risk Exposure</v>
      </c>
      <c r="T661" t="str" cm="1">
        <f t="array" ref="T661">_xlfn.IFS(
Loans[[#This Row],[LoanStatus]]="Default","Critical",
OR(Loans[[#This Row],[LoanStatus]]="Watchlist",Loans[[#This Row],[CollateralRisk]]="Undersecured",Loans[[#This Row],[RiskCategory]]="High Risk"),"High",
TRUE,"Normal"
)</f>
        <v>High</v>
      </c>
    </row>
    <row r="662" spans="1:20" x14ac:dyDescent="0.35">
      <c r="A662" t="s">
        <v>1271</v>
      </c>
      <c r="B662" t="s">
        <v>1272</v>
      </c>
      <c r="C662" t="s">
        <v>219</v>
      </c>
      <c r="D662" t="s">
        <v>158</v>
      </c>
      <c r="E662" s="34">
        <v>1000000</v>
      </c>
      <c r="F662" s="29">
        <v>0.19769999999999999</v>
      </c>
      <c r="G662" s="30">
        <v>45821</v>
      </c>
      <c r="H662">
        <v>12</v>
      </c>
      <c r="I662">
        <v>90</v>
      </c>
      <c r="J662" s="34">
        <v>960000</v>
      </c>
      <c r="K662" t="s">
        <v>199</v>
      </c>
      <c r="L662" s="34">
        <f>PMT(Loans[[#This Row],[InterestRate]]/12,Loans[[#This Row],[LoanTenureMonths]],-Loans[[#This Row],[LoanAmount]])</f>
        <v>92524.463779693222</v>
      </c>
      <c r="M662" s="30">
        <f>EDATE(Loans[[#This Row],[LoanStartDate]],Loans[[#This Row],[LoanTenureMonths]])</f>
        <v>46186</v>
      </c>
      <c r="N662" s="33">
        <f>IF(Loans[[#This Row],[LoanAmount]]=0,0,Loans[[#This Row],[CollateralValue]]/Loans[[#This Row],[LoanAmount]])</f>
        <v>0.96</v>
      </c>
      <c r="O662" t="str">
        <f>IF(Loans[[#This Row],[CollateralCoverageRatio]]&lt;1,"Undersecured","Secured")</f>
        <v>Undersecured</v>
      </c>
      <c r="P662" t="str">
        <f>_xlfn.XLOOKUP(Loans[[#This Row],[BranchCode]],BranchesTbl[BranchCode],BranchesTbl[BranchName])</f>
        <v>Meru</v>
      </c>
      <c r="Q662">
        <f>_xlfn.XLOOKUP(Loans[[#This Row],[CustomerID]],CustomerTbl[CustomerID],CustomerTbl[RiskScore])</f>
        <v>667</v>
      </c>
      <c r="R662" t="str">
        <f>IFERROR(INDEX(RiskTbl[Risk_Category],MATCH(Loans[[#This Row],[RiskScore]],RiskTbl[Score_Min],1)),"Unknown")</f>
        <v>Medium Risk</v>
      </c>
      <c r="S662" t="str">
        <f>IF(OR(Loans[[#This Row],[LoanStatus]]="Default",Loans[[#This Row],[LoanStatus]]="Watchlist",Loans[[#This Row],[CollateralRisk]]="Undersecured",Loans[[#This Row],[RiskCategory]]="High Risk"),"High Risk Exposure","Normal")</f>
        <v>High Risk Exposure</v>
      </c>
      <c r="T662" t="str" cm="1">
        <f t="array" ref="T662">_xlfn.IFS(
Loans[[#This Row],[LoanStatus]]="Default","Critical",
OR(Loans[[#This Row],[LoanStatus]]="Watchlist",Loans[[#This Row],[CollateralRisk]]="Undersecured",Loans[[#This Row],[RiskCategory]]="High Risk"),"High",
TRUE,"Normal"
)</f>
        <v>High</v>
      </c>
    </row>
    <row r="663" spans="1:20" x14ac:dyDescent="0.35">
      <c r="A663" t="s">
        <v>1273</v>
      </c>
      <c r="B663" t="s">
        <v>534</v>
      </c>
      <c r="C663" t="s">
        <v>184</v>
      </c>
      <c r="D663" t="s">
        <v>155</v>
      </c>
      <c r="E663" s="34">
        <v>1000000</v>
      </c>
      <c r="F663" s="29">
        <v>0.26829999999999998</v>
      </c>
      <c r="G663" s="30">
        <v>44737</v>
      </c>
      <c r="H663">
        <v>24</v>
      </c>
      <c r="I663">
        <v>5</v>
      </c>
      <c r="J663" s="34">
        <v>0</v>
      </c>
      <c r="K663" t="s">
        <v>171</v>
      </c>
      <c r="L663" s="34">
        <f>PMT(Loans[[#This Row],[InterestRate]]/12,Loans[[#This Row],[LoanTenureMonths]],-Loans[[#This Row],[LoanAmount]])</f>
        <v>54294.082233485518</v>
      </c>
      <c r="M663" s="30">
        <f>EDATE(Loans[[#This Row],[LoanStartDate]],Loans[[#This Row],[LoanTenureMonths]])</f>
        <v>45468</v>
      </c>
      <c r="N663" s="33">
        <f>IF(Loans[[#This Row],[LoanAmount]]=0,0,Loans[[#This Row],[CollateralValue]]/Loans[[#This Row],[LoanAmount]])</f>
        <v>0</v>
      </c>
      <c r="O663" t="str">
        <f>IF(Loans[[#This Row],[CollateralCoverageRatio]]&lt;1,"Undersecured","Secured")</f>
        <v>Undersecured</v>
      </c>
      <c r="P663" t="str">
        <f>_xlfn.XLOOKUP(Loans[[#This Row],[BranchCode]],BranchesTbl[BranchCode],BranchesTbl[BranchName])</f>
        <v>Kisumu</v>
      </c>
      <c r="Q663">
        <f>_xlfn.XLOOKUP(Loans[[#This Row],[CustomerID]],CustomerTbl[CustomerID],CustomerTbl[RiskScore])</f>
        <v>309</v>
      </c>
      <c r="R663" t="str">
        <f>IFERROR(INDEX(RiskTbl[Risk_Category],MATCH(Loans[[#This Row],[RiskScore]],RiskTbl[Score_Min],1)),"Unknown")</f>
        <v>High Risk</v>
      </c>
      <c r="S663" t="str">
        <f>IF(OR(Loans[[#This Row],[LoanStatus]]="Default",Loans[[#This Row],[LoanStatus]]="Watchlist",Loans[[#This Row],[CollateralRisk]]="Undersecured",Loans[[#This Row],[RiskCategory]]="High Risk"),"High Risk Exposure","Normal")</f>
        <v>High Risk Exposure</v>
      </c>
      <c r="T663" t="str" cm="1">
        <f t="array" ref="T663">_xlfn.IFS(
Loans[[#This Row],[LoanStatus]]="Default","Critical",
OR(Loans[[#This Row],[LoanStatus]]="Watchlist",Loans[[#This Row],[CollateralRisk]]="Undersecured",Loans[[#This Row],[RiskCategory]]="High Risk"),"High",
TRUE,"Normal"
)</f>
        <v>High</v>
      </c>
    </row>
    <row r="664" spans="1:20" x14ac:dyDescent="0.35">
      <c r="A664" t="s">
        <v>1274</v>
      </c>
      <c r="B664" t="s">
        <v>716</v>
      </c>
      <c r="C664" t="s">
        <v>239</v>
      </c>
      <c r="D664" t="s">
        <v>158</v>
      </c>
      <c r="E664" s="34">
        <v>500000</v>
      </c>
      <c r="F664" s="29">
        <v>0.13059999999999999</v>
      </c>
      <c r="G664" s="30">
        <v>44586</v>
      </c>
      <c r="H664">
        <v>24</v>
      </c>
      <c r="I664">
        <v>0</v>
      </c>
      <c r="J664" s="34">
        <v>635000</v>
      </c>
      <c r="K664" t="s">
        <v>171</v>
      </c>
      <c r="L664" s="34">
        <f>PMT(Loans[[#This Row],[InterestRate]]/12,Loans[[#This Row],[LoanTenureMonths]],-Loans[[#This Row],[LoanAmount]])</f>
        <v>23785.004929691404</v>
      </c>
      <c r="M664" s="30">
        <f>EDATE(Loans[[#This Row],[LoanStartDate]],Loans[[#This Row],[LoanTenureMonths]])</f>
        <v>45316</v>
      </c>
      <c r="N664" s="33">
        <f>IF(Loans[[#This Row],[LoanAmount]]=0,0,Loans[[#This Row],[CollateralValue]]/Loans[[#This Row],[LoanAmount]])</f>
        <v>1.27</v>
      </c>
      <c r="O664" t="str">
        <f>IF(Loans[[#This Row],[CollateralCoverageRatio]]&lt;1,"Undersecured","Secured")</f>
        <v>Secured</v>
      </c>
      <c r="P664" t="str">
        <f>_xlfn.XLOOKUP(Loans[[#This Row],[BranchCode]],BranchesTbl[BranchCode],BranchesTbl[BranchName])</f>
        <v>Machakos</v>
      </c>
      <c r="Q664">
        <f>_xlfn.XLOOKUP(Loans[[#This Row],[CustomerID]],CustomerTbl[CustomerID],CustomerTbl[RiskScore])</f>
        <v>662</v>
      </c>
      <c r="R664" t="str">
        <f>IFERROR(INDEX(RiskTbl[Risk_Category],MATCH(Loans[[#This Row],[RiskScore]],RiskTbl[Score_Min],1)),"Unknown")</f>
        <v>Medium Risk</v>
      </c>
      <c r="S664" t="str">
        <f>IF(OR(Loans[[#This Row],[LoanStatus]]="Default",Loans[[#This Row],[LoanStatus]]="Watchlist",Loans[[#This Row],[CollateralRisk]]="Undersecured",Loans[[#This Row],[RiskCategory]]="High Risk"),"High Risk Exposure","Normal")</f>
        <v>Normal</v>
      </c>
      <c r="T664" t="str" cm="1">
        <f t="array" ref="T664">_xlfn.IFS(
Loans[[#This Row],[LoanStatus]]="Default","Critical",
OR(Loans[[#This Row],[LoanStatus]]="Watchlist",Loans[[#This Row],[CollateralRisk]]="Undersecured",Loans[[#This Row],[RiskCategory]]="High Risk"),"High",
TRUE,"Normal"
)</f>
        <v>Normal</v>
      </c>
    </row>
    <row r="665" spans="1:20" x14ac:dyDescent="0.35">
      <c r="A665" t="s">
        <v>1275</v>
      </c>
      <c r="B665" t="s">
        <v>554</v>
      </c>
      <c r="C665" t="s">
        <v>196</v>
      </c>
      <c r="D665" t="s">
        <v>157</v>
      </c>
      <c r="E665" s="34">
        <v>25000000</v>
      </c>
      <c r="F665" s="29">
        <v>0.12139999999999999</v>
      </c>
      <c r="G665" s="30">
        <v>44595</v>
      </c>
      <c r="H665">
        <v>72</v>
      </c>
      <c r="I665">
        <v>0</v>
      </c>
      <c r="J665" s="34">
        <v>25750000</v>
      </c>
      <c r="K665" t="s">
        <v>171</v>
      </c>
      <c r="L665" s="34">
        <f>PMT(Loans[[#This Row],[InterestRate]]/12,Loans[[#This Row],[LoanTenureMonths]],-Loans[[#This Row],[LoanAmount]])</f>
        <v>490576.81243823533</v>
      </c>
      <c r="M665" s="30">
        <f>EDATE(Loans[[#This Row],[LoanStartDate]],Loans[[#This Row],[LoanTenureMonths]])</f>
        <v>46786</v>
      </c>
      <c r="N665" s="33">
        <f>IF(Loans[[#This Row],[LoanAmount]]=0,0,Loans[[#This Row],[CollateralValue]]/Loans[[#This Row],[LoanAmount]])</f>
        <v>1.03</v>
      </c>
      <c r="O665" t="str">
        <f>IF(Loans[[#This Row],[CollateralCoverageRatio]]&lt;1,"Undersecured","Secured")</f>
        <v>Secured</v>
      </c>
      <c r="P665" t="str">
        <f>_xlfn.XLOOKUP(Loans[[#This Row],[BranchCode]],BranchesTbl[BranchCode],BranchesTbl[BranchName])</f>
        <v>Karen</v>
      </c>
      <c r="Q665">
        <f>_xlfn.XLOOKUP(Loans[[#This Row],[CustomerID]],CustomerTbl[CustomerID],CustomerTbl[RiskScore])</f>
        <v>506</v>
      </c>
      <c r="R665" t="str">
        <f>IFERROR(INDEX(RiskTbl[Risk_Category],MATCH(Loans[[#This Row],[RiskScore]],RiskTbl[Score_Min],1)),"Unknown")</f>
        <v>High Risk</v>
      </c>
      <c r="S665" t="str">
        <f>IF(OR(Loans[[#This Row],[LoanStatus]]="Default",Loans[[#This Row],[LoanStatus]]="Watchlist",Loans[[#This Row],[CollateralRisk]]="Undersecured",Loans[[#This Row],[RiskCategory]]="High Risk"),"High Risk Exposure","Normal")</f>
        <v>High Risk Exposure</v>
      </c>
      <c r="T665" t="str" cm="1">
        <f t="array" ref="T665">_xlfn.IFS(
Loans[[#This Row],[LoanStatus]]="Default","Critical",
OR(Loans[[#This Row],[LoanStatus]]="Watchlist",Loans[[#This Row],[CollateralRisk]]="Undersecured",Loans[[#This Row],[RiskCategory]]="High Risk"),"High",
TRUE,"Normal"
)</f>
        <v>High</v>
      </c>
    </row>
    <row r="666" spans="1:20" x14ac:dyDescent="0.35">
      <c r="A666" t="s">
        <v>1276</v>
      </c>
      <c r="B666" t="s">
        <v>850</v>
      </c>
      <c r="C666" t="s">
        <v>232</v>
      </c>
      <c r="D666" t="s">
        <v>158</v>
      </c>
      <c r="E666" s="34">
        <v>6000000</v>
      </c>
      <c r="F666" s="29">
        <v>0.12230000000000001</v>
      </c>
      <c r="G666" s="30">
        <v>44831</v>
      </c>
      <c r="H666">
        <v>48</v>
      </c>
      <c r="I666">
        <v>10</v>
      </c>
      <c r="J666" s="34">
        <v>5400000</v>
      </c>
      <c r="K666" t="s">
        <v>171</v>
      </c>
      <c r="L666" s="34">
        <f>PMT(Loans[[#This Row],[InterestRate]]/12,Loans[[#This Row],[LoanTenureMonths]],-Loans[[#This Row],[LoanAmount]])</f>
        <v>158681.42867468685</v>
      </c>
      <c r="M666" s="30">
        <f>EDATE(Loans[[#This Row],[LoanStartDate]],Loans[[#This Row],[LoanTenureMonths]])</f>
        <v>46292</v>
      </c>
      <c r="N666" s="33">
        <f>IF(Loans[[#This Row],[LoanAmount]]=0,0,Loans[[#This Row],[CollateralValue]]/Loans[[#This Row],[LoanAmount]])</f>
        <v>0.9</v>
      </c>
      <c r="O666" t="str">
        <f>IF(Loans[[#This Row],[CollateralCoverageRatio]]&lt;1,"Undersecured","Secured")</f>
        <v>Undersecured</v>
      </c>
      <c r="P666" t="str">
        <f>_xlfn.XLOOKUP(Loans[[#This Row],[BranchCode]],BranchesTbl[BranchCode],BranchesTbl[BranchName])</f>
        <v>Upper Hill</v>
      </c>
      <c r="Q666">
        <f>_xlfn.XLOOKUP(Loans[[#This Row],[CustomerID]],CustomerTbl[CustomerID],CustomerTbl[RiskScore])</f>
        <v>317</v>
      </c>
      <c r="R666" t="str">
        <f>IFERROR(INDEX(RiskTbl[Risk_Category],MATCH(Loans[[#This Row],[RiskScore]],RiskTbl[Score_Min],1)),"Unknown")</f>
        <v>High Risk</v>
      </c>
      <c r="S666" t="str">
        <f>IF(OR(Loans[[#This Row],[LoanStatus]]="Default",Loans[[#This Row],[LoanStatus]]="Watchlist",Loans[[#This Row],[CollateralRisk]]="Undersecured",Loans[[#This Row],[RiskCategory]]="High Risk"),"High Risk Exposure","Normal")</f>
        <v>High Risk Exposure</v>
      </c>
      <c r="T666" t="str" cm="1">
        <f t="array" ref="T666">_xlfn.IFS(
Loans[[#This Row],[LoanStatus]]="Default","Critical",
OR(Loans[[#This Row],[LoanStatus]]="Watchlist",Loans[[#This Row],[CollateralRisk]]="Undersecured",Loans[[#This Row],[RiskCategory]]="High Risk"),"High",
TRUE,"Normal"
)</f>
        <v>High</v>
      </c>
    </row>
    <row r="667" spans="1:20" x14ac:dyDescent="0.35">
      <c r="A667" t="s">
        <v>1277</v>
      </c>
      <c r="B667" t="s">
        <v>470</v>
      </c>
      <c r="C667" t="s">
        <v>196</v>
      </c>
      <c r="D667" t="s">
        <v>158</v>
      </c>
      <c r="E667" s="34">
        <v>1000000</v>
      </c>
      <c r="F667" s="29">
        <v>0.1303</v>
      </c>
      <c r="G667" s="30">
        <v>45537</v>
      </c>
      <c r="H667">
        <v>72</v>
      </c>
      <c r="I667">
        <v>90</v>
      </c>
      <c r="J667" s="34">
        <v>1380000</v>
      </c>
      <c r="K667" t="s">
        <v>199</v>
      </c>
      <c r="L667" s="34">
        <f>PMT(Loans[[#This Row],[InterestRate]]/12,Loans[[#This Row],[LoanTenureMonths]],-Loans[[#This Row],[LoanAmount]])</f>
        <v>20089.942284905523</v>
      </c>
      <c r="M667" s="30">
        <f>EDATE(Loans[[#This Row],[LoanStartDate]],Loans[[#This Row],[LoanTenureMonths]])</f>
        <v>47728</v>
      </c>
      <c r="N667" s="33">
        <f>IF(Loans[[#This Row],[LoanAmount]]=0,0,Loans[[#This Row],[CollateralValue]]/Loans[[#This Row],[LoanAmount]])</f>
        <v>1.38</v>
      </c>
      <c r="O667" t="str">
        <f>IF(Loans[[#This Row],[CollateralCoverageRatio]]&lt;1,"Undersecured","Secured")</f>
        <v>Secured</v>
      </c>
      <c r="P667" t="str">
        <f>_xlfn.XLOOKUP(Loans[[#This Row],[BranchCode]],BranchesTbl[BranchCode],BranchesTbl[BranchName])</f>
        <v>Karen</v>
      </c>
      <c r="Q667">
        <f>_xlfn.XLOOKUP(Loans[[#This Row],[CustomerID]],CustomerTbl[CustomerID],CustomerTbl[RiskScore])</f>
        <v>660</v>
      </c>
      <c r="R667" t="str">
        <f>IFERROR(INDEX(RiskTbl[Risk_Category],MATCH(Loans[[#This Row],[RiskScore]],RiskTbl[Score_Min],1)),"Unknown")</f>
        <v>Medium Risk</v>
      </c>
      <c r="S667" t="str">
        <f>IF(OR(Loans[[#This Row],[LoanStatus]]="Default",Loans[[#This Row],[LoanStatus]]="Watchlist",Loans[[#This Row],[CollateralRisk]]="Undersecured",Loans[[#This Row],[RiskCategory]]="High Risk"),"High Risk Exposure","Normal")</f>
        <v>High Risk Exposure</v>
      </c>
      <c r="T667" t="str" cm="1">
        <f t="array" ref="T667">_xlfn.IFS(
Loans[[#This Row],[LoanStatus]]="Default","Critical",
OR(Loans[[#This Row],[LoanStatus]]="Watchlist",Loans[[#This Row],[CollateralRisk]]="Undersecured",Loans[[#This Row],[RiskCategory]]="High Risk"),"High",
TRUE,"Normal"
)</f>
        <v>High</v>
      </c>
    </row>
    <row r="668" spans="1:20" x14ac:dyDescent="0.35">
      <c r="A668" t="s">
        <v>1278</v>
      </c>
      <c r="B668" t="s">
        <v>897</v>
      </c>
      <c r="C668" t="s">
        <v>232</v>
      </c>
      <c r="D668" t="s">
        <v>156</v>
      </c>
      <c r="E668" s="34">
        <v>1000000</v>
      </c>
      <c r="F668" s="29">
        <v>0.2324</v>
      </c>
      <c r="G668" s="30">
        <v>45610</v>
      </c>
      <c r="H668">
        <v>24</v>
      </c>
      <c r="I668">
        <v>20</v>
      </c>
      <c r="J668" s="34">
        <v>980000</v>
      </c>
      <c r="K668" t="s">
        <v>171</v>
      </c>
      <c r="L668" s="34">
        <f>PMT(Loans[[#This Row],[InterestRate]]/12,Loans[[#This Row],[LoanTenureMonths]],-Loans[[#This Row],[LoanAmount]])</f>
        <v>52492.535469562499</v>
      </c>
      <c r="M668" s="30">
        <f>EDATE(Loans[[#This Row],[LoanStartDate]],Loans[[#This Row],[LoanTenureMonths]])</f>
        <v>46340</v>
      </c>
      <c r="N668" s="33">
        <f>IF(Loans[[#This Row],[LoanAmount]]=0,0,Loans[[#This Row],[CollateralValue]]/Loans[[#This Row],[LoanAmount]])</f>
        <v>0.98</v>
      </c>
      <c r="O668" t="str">
        <f>IF(Loans[[#This Row],[CollateralCoverageRatio]]&lt;1,"Undersecured","Secured")</f>
        <v>Undersecured</v>
      </c>
      <c r="P668" t="str">
        <f>_xlfn.XLOOKUP(Loans[[#This Row],[BranchCode]],BranchesTbl[BranchCode],BranchesTbl[BranchName])</f>
        <v>Upper Hill</v>
      </c>
      <c r="Q668">
        <f>_xlfn.XLOOKUP(Loans[[#This Row],[CustomerID]],CustomerTbl[CustomerID],CustomerTbl[RiskScore])</f>
        <v>635</v>
      </c>
      <c r="R668" t="str">
        <f>IFERROR(INDEX(RiskTbl[Risk_Category],MATCH(Loans[[#This Row],[RiskScore]],RiskTbl[Score_Min],1)),"Unknown")</f>
        <v>Medium Risk</v>
      </c>
      <c r="S668" t="str">
        <f>IF(OR(Loans[[#This Row],[LoanStatus]]="Default",Loans[[#This Row],[LoanStatus]]="Watchlist",Loans[[#This Row],[CollateralRisk]]="Undersecured",Loans[[#This Row],[RiskCategory]]="High Risk"),"High Risk Exposure","Normal")</f>
        <v>High Risk Exposure</v>
      </c>
      <c r="T668" t="str" cm="1">
        <f t="array" ref="T668">_xlfn.IFS(
Loans[[#This Row],[LoanStatus]]="Default","Critical",
OR(Loans[[#This Row],[LoanStatus]]="Watchlist",Loans[[#This Row],[CollateralRisk]]="Undersecured",Loans[[#This Row],[RiskCategory]]="High Risk"),"High",
TRUE,"Normal"
)</f>
        <v>High</v>
      </c>
    </row>
    <row r="669" spans="1:20" x14ac:dyDescent="0.35">
      <c r="A669" t="s">
        <v>1279</v>
      </c>
      <c r="B669" t="s">
        <v>418</v>
      </c>
      <c r="C669" t="s">
        <v>187</v>
      </c>
      <c r="D669" t="s">
        <v>156</v>
      </c>
      <c r="E669" s="34">
        <v>1000000</v>
      </c>
      <c r="F669" s="29">
        <v>0.23230000000000001</v>
      </c>
      <c r="G669" s="30">
        <v>44216</v>
      </c>
      <c r="H669">
        <v>48</v>
      </c>
      <c r="I669">
        <v>120</v>
      </c>
      <c r="J669" s="34">
        <v>500000</v>
      </c>
      <c r="K669" t="s">
        <v>178</v>
      </c>
      <c r="L669" s="34">
        <f>PMT(Loans[[#This Row],[InterestRate]]/12,Loans[[#This Row],[LoanTenureMonths]],-Loans[[#This Row],[LoanAmount]])</f>
        <v>32177.616639229229</v>
      </c>
      <c r="M669" s="30">
        <f>EDATE(Loans[[#This Row],[LoanStartDate]],Loans[[#This Row],[LoanTenureMonths]])</f>
        <v>45677</v>
      </c>
      <c r="N669" s="33">
        <f>IF(Loans[[#This Row],[LoanAmount]]=0,0,Loans[[#This Row],[CollateralValue]]/Loans[[#This Row],[LoanAmount]])</f>
        <v>0.5</v>
      </c>
      <c r="O669" t="str">
        <f>IF(Loans[[#This Row],[CollateralCoverageRatio]]&lt;1,"Undersecured","Secured")</f>
        <v>Undersecured</v>
      </c>
      <c r="P669" t="str">
        <f>_xlfn.XLOOKUP(Loans[[#This Row],[BranchCode]],BranchesTbl[BranchCode],BranchesTbl[BranchName])</f>
        <v>Eldoret</v>
      </c>
      <c r="Q669">
        <f>_xlfn.XLOOKUP(Loans[[#This Row],[CustomerID]],CustomerTbl[CustomerID],CustomerTbl[RiskScore])</f>
        <v>485</v>
      </c>
      <c r="R669" t="str">
        <f>IFERROR(INDEX(RiskTbl[Risk_Category],MATCH(Loans[[#This Row],[RiskScore]],RiskTbl[Score_Min],1)),"Unknown")</f>
        <v>High Risk</v>
      </c>
      <c r="S669" t="str">
        <f>IF(OR(Loans[[#This Row],[LoanStatus]]="Default",Loans[[#This Row],[LoanStatus]]="Watchlist",Loans[[#This Row],[CollateralRisk]]="Undersecured",Loans[[#This Row],[RiskCategory]]="High Risk"),"High Risk Exposure","Normal")</f>
        <v>High Risk Exposure</v>
      </c>
      <c r="T669" t="str" cm="1">
        <f t="array" ref="T669">_xlfn.IFS(
Loans[[#This Row],[LoanStatus]]="Default","Critical",
OR(Loans[[#This Row],[LoanStatus]]="Watchlist",Loans[[#This Row],[CollateralRisk]]="Undersecured",Loans[[#This Row],[RiskCategory]]="High Risk"),"High",
TRUE,"Normal"
)</f>
        <v>Critical</v>
      </c>
    </row>
    <row r="670" spans="1:20" x14ac:dyDescent="0.35">
      <c r="A670" t="s">
        <v>1280</v>
      </c>
      <c r="B670" t="s">
        <v>1281</v>
      </c>
      <c r="C670" t="s">
        <v>239</v>
      </c>
      <c r="D670" t="s">
        <v>157</v>
      </c>
      <c r="E670" s="34">
        <v>25000000</v>
      </c>
      <c r="F670" s="29">
        <v>0.1361</v>
      </c>
      <c r="G670" s="30">
        <v>44137</v>
      </c>
      <c r="H670">
        <v>72</v>
      </c>
      <c r="I670">
        <v>10</v>
      </c>
      <c r="J670" s="34">
        <v>32250000</v>
      </c>
      <c r="K670" t="s">
        <v>171</v>
      </c>
      <c r="L670" s="34">
        <f>PMT(Loans[[#This Row],[InterestRate]]/12,Loans[[#This Row],[LoanTenureMonths]],-Loans[[#This Row],[LoanAmount]])</f>
        <v>509937.21933562116</v>
      </c>
      <c r="M670" s="30">
        <f>EDATE(Loans[[#This Row],[LoanStartDate]],Loans[[#This Row],[LoanTenureMonths]])</f>
        <v>46328</v>
      </c>
      <c r="N670" s="33">
        <f>IF(Loans[[#This Row],[LoanAmount]]=0,0,Loans[[#This Row],[CollateralValue]]/Loans[[#This Row],[LoanAmount]])</f>
        <v>1.29</v>
      </c>
      <c r="O670" t="str">
        <f>IF(Loans[[#This Row],[CollateralCoverageRatio]]&lt;1,"Undersecured","Secured")</f>
        <v>Secured</v>
      </c>
      <c r="P670" t="str">
        <f>_xlfn.XLOOKUP(Loans[[#This Row],[BranchCode]],BranchesTbl[BranchCode],BranchesTbl[BranchName])</f>
        <v>Machakos</v>
      </c>
      <c r="Q670">
        <f>_xlfn.XLOOKUP(Loans[[#This Row],[CustomerID]],CustomerTbl[CustomerID],CustomerTbl[RiskScore])</f>
        <v>322</v>
      </c>
      <c r="R670" t="str">
        <f>IFERROR(INDEX(RiskTbl[Risk_Category],MATCH(Loans[[#This Row],[RiskScore]],RiskTbl[Score_Min],1)),"Unknown")</f>
        <v>High Risk</v>
      </c>
      <c r="S670" t="str">
        <f>IF(OR(Loans[[#This Row],[LoanStatus]]="Default",Loans[[#This Row],[LoanStatus]]="Watchlist",Loans[[#This Row],[CollateralRisk]]="Undersecured",Loans[[#This Row],[RiskCategory]]="High Risk"),"High Risk Exposure","Normal")</f>
        <v>High Risk Exposure</v>
      </c>
      <c r="T670" t="str" cm="1">
        <f t="array" ref="T670">_xlfn.IFS(
Loans[[#This Row],[LoanStatus]]="Default","Critical",
OR(Loans[[#This Row],[LoanStatus]]="Watchlist",Loans[[#This Row],[CollateralRisk]]="Undersecured",Loans[[#This Row],[RiskCategory]]="High Risk"),"High",
TRUE,"Normal"
)</f>
        <v>High</v>
      </c>
    </row>
    <row r="671" spans="1:20" x14ac:dyDescent="0.35">
      <c r="A671" t="s">
        <v>1282</v>
      </c>
      <c r="B671" t="s">
        <v>1283</v>
      </c>
      <c r="C671" t="s">
        <v>219</v>
      </c>
      <c r="D671" t="s">
        <v>157</v>
      </c>
      <c r="E671" s="34">
        <v>6000000</v>
      </c>
      <c r="F671" s="29">
        <v>0.1099</v>
      </c>
      <c r="G671" s="30">
        <v>45141</v>
      </c>
      <c r="H671">
        <v>12</v>
      </c>
      <c r="I671">
        <v>0</v>
      </c>
      <c r="J671" s="34">
        <v>6480000</v>
      </c>
      <c r="K671" t="s">
        <v>171</v>
      </c>
      <c r="L671" s="34">
        <f>PMT(Loans[[#This Row],[InterestRate]]/12,Loans[[#This Row],[LoanTenureMonths]],-Loans[[#This Row],[LoanAmount]])</f>
        <v>530261.96447406174</v>
      </c>
      <c r="M671" s="30">
        <f>EDATE(Loans[[#This Row],[LoanStartDate]],Loans[[#This Row],[LoanTenureMonths]])</f>
        <v>45507</v>
      </c>
      <c r="N671" s="33">
        <f>IF(Loans[[#This Row],[LoanAmount]]=0,0,Loans[[#This Row],[CollateralValue]]/Loans[[#This Row],[LoanAmount]])</f>
        <v>1.08</v>
      </c>
      <c r="O671" t="str">
        <f>IF(Loans[[#This Row],[CollateralCoverageRatio]]&lt;1,"Undersecured","Secured")</f>
        <v>Secured</v>
      </c>
      <c r="P671" t="str">
        <f>_xlfn.XLOOKUP(Loans[[#This Row],[BranchCode]],BranchesTbl[BranchCode],BranchesTbl[BranchName])</f>
        <v>Meru</v>
      </c>
      <c r="Q671">
        <f>_xlfn.XLOOKUP(Loans[[#This Row],[CustomerID]],CustomerTbl[CustomerID],CustomerTbl[RiskScore])</f>
        <v>649</v>
      </c>
      <c r="R671" t="str">
        <f>IFERROR(INDEX(RiskTbl[Risk_Category],MATCH(Loans[[#This Row],[RiskScore]],RiskTbl[Score_Min],1)),"Unknown")</f>
        <v>Medium Risk</v>
      </c>
      <c r="S671" t="str">
        <f>IF(OR(Loans[[#This Row],[LoanStatus]]="Default",Loans[[#This Row],[LoanStatus]]="Watchlist",Loans[[#This Row],[CollateralRisk]]="Undersecured",Loans[[#This Row],[RiskCategory]]="High Risk"),"High Risk Exposure","Normal")</f>
        <v>Normal</v>
      </c>
      <c r="T671" t="str" cm="1">
        <f t="array" ref="T671">_xlfn.IFS(
Loans[[#This Row],[LoanStatus]]="Default","Critical",
OR(Loans[[#This Row],[LoanStatus]]="Watchlist",Loans[[#This Row],[CollateralRisk]]="Undersecured",Loans[[#This Row],[RiskCategory]]="High Risk"),"High",
TRUE,"Normal"
)</f>
        <v>Normal</v>
      </c>
    </row>
    <row r="672" spans="1:20" x14ac:dyDescent="0.35">
      <c r="A672" t="s">
        <v>1284</v>
      </c>
      <c r="B672" t="s">
        <v>212</v>
      </c>
      <c r="C672" t="s">
        <v>206</v>
      </c>
      <c r="D672" t="s">
        <v>155</v>
      </c>
      <c r="E672" s="34">
        <v>250000</v>
      </c>
      <c r="F672" s="29">
        <v>0.2717</v>
      </c>
      <c r="G672" s="30">
        <v>45005</v>
      </c>
      <c r="H672">
        <v>60</v>
      </c>
      <c r="I672">
        <v>45</v>
      </c>
      <c r="J672" s="34">
        <v>0</v>
      </c>
      <c r="K672" t="s">
        <v>199</v>
      </c>
      <c r="L672" s="34">
        <f>PMT(Loans[[#This Row],[InterestRate]]/12,Loans[[#This Row],[LoanTenureMonths]],-Loans[[#This Row],[LoanAmount]])</f>
        <v>7659.2539813074309</v>
      </c>
      <c r="M672" s="30">
        <f>EDATE(Loans[[#This Row],[LoanStartDate]],Loans[[#This Row],[LoanTenureMonths]])</f>
        <v>46832</v>
      </c>
      <c r="N672" s="33">
        <f>IF(Loans[[#This Row],[LoanAmount]]=0,0,Loans[[#This Row],[CollateralValue]]/Loans[[#This Row],[LoanAmount]])</f>
        <v>0</v>
      </c>
      <c r="O672" t="str">
        <f>IF(Loans[[#This Row],[CollateralCoverageRatio]]&lt;1,"Undersecured","Secured")</f>
        <v>Undersecured</v>
      </c>
      <c r="P672" t="str">
        <f>_xlfn.XLOOKUP(Loans[[#This Row],[BranchCode]],BranchesTbl[BranchCode],BranchesTbl[BranchName])</f>
        <v>Nyahururu</v>
      </c>
      <c r="Q672">
        <f>_xlfn.XLOOKUP(Loans[[#This Row],[CustomerID]],CustomerTbl[CustomerID],CustomerTbl[RiskScore])</f>
        <v>423</v>
      </c>
      <c r="R672" t="str">
        <f>IFERROR(INDEX(RiskTbl[Risk_Category],MATCH(Loans[[#This Row],[RiskScore]],RiskTbl[Score_Min],1)),"Unknown")</f>
        <v>High Risk</v>
      </c>
      <c r="S672" t="str">
        <f>IF(OR(Loans[[#This Row],[LoanStatus]]="Default",Loans[[#This Row],[LoanStatus]]="Watchlist",Loans[[#This Row],[CollateralRisk]]="Undersecured",Loans[[#This Row],[RiskCategory]]="High Risk"),"High Risk Exposure","Normal")</f>
        <v>High Risk Exposure</v>
      </c>
      <c r="T672" t="str" cm="1">
        <f t="array" ref="T672">_xlfn.IFS(
Loans[[#This Row],[LoanStatus]]="Default","Critical",
OR(Loans[[#This Row],[LoanStatus]]="Watchlist",Loans[[#This Row],[CollateralRisk]]="Undersecured",Loans[[#This Row],[RiskCategory]]="High Risk"),"High",
TRUE,"Normal"
)</f>
        <v>High</v>
      </c>
    </row>
    <row r="673" spans="1:20" x14ac:dyDescent="0.35">
      <c r="A673" t="s">
        <v>1285</v>
      </c>
      <c r="B673" t="s">
        <v>1286</v>
      </c>
      <c r="C673" t="s">
        <v>196</v>
      </c>
      <c r="D673" t="s">
        <v>155</v>
      </c>
      <c r="E673" s="34">
        <v>1000000</v>
      </c>
      <c r="F673" s="29">
        <v>0.23649999999999999</v>
      </c>
      <c r="G673" s="30">
        <v>44106</v>
      </c>
      <c r="H673">
        <v>48</v>
      </c>
      <c r="I673">
        <v>0</v>
      </c>
      <c r="J673" s="34">
        <v>0</v>
      </c>
      <c r="K673" t="s">
        <v>171</v>
      </c>
      <c r="L673" s="34">
        <f>PMT(Loans[[#This Row],[InterestRate]]/12,Loans[[#This Row],[LoanTenureMonths]],-Loans[[#This Row],[LoanAmount]])</f>
        <v>32408.645356908666</v>
      </c>
      <c r="M673" s="30">
        <f>EDATE(Loans[[#This Row],[LoanStartDate]],Loans[[#This Row],[LoanTenureMonths]])</f>
        <v>45567</v>
      </c>
      <c r="N673" s="33">
        <f>IF(Loans[[#This Row],[LoanAmount]]=0,0,Loans[[#This Row],[CollateralValue]]/Loans[[#This Row],[LoanAmount]])</f>
        <v>0</v>
      </c>
      <c r="O673" t="str">
        <f>IF(Loans[[#This Row],[CollateralCoverageRatio]]&lt;1,"Undersecured","Secured")</f>
        <v>Undersecured</v>
      </c>
      <c r="P673" t="str">
        <f>_xlfn.XLOOKUP(Loans[[#This Row],[BranchCode]],BranchesTbl[BranchCode],BranchesTbl[BranchName])</f>
        <v>Karen</v>
      </c>
      <c r="Q673">
        <f>_xlfn.XLOOKUP(Loans[[#This Row],[CustomerID]],CustomerTbl[CustomerID],CustomerTbl[RiskScore])</f>
        <v>760</v>
      </c>
      <c r="R673" t="str">
        <f>IFERROR(INDEX(RiskTbl[Risk_Category],MATCH(Loans[[#This Row],[RiskScore]],RiskTbl[Score_Min],1)),"Unknown")</f>
        <v>Very Low Risk</v>
      </c>
      <c r="S673" t="str">
        <f>IF(OR(Loans[[#This Row],[LoanStatus]]="Default",Loans[[#This Row],[LoanStatus]]="Watchlist",Loans[[#This Row],[CollateralRisk]]="Undersecured",Loans[[#This Row],[RiskCategory]]="High Risk"),"High Risk Exposure","Normal")</f>
        <v>High Risk Exposure</v>
      </c>
      <c r="T673" t="str" cm="1">
        <f t="array" ref="T673">_xlfn.IFS(
Loans[[#This Row],[LoanStatus]]="Default","Critical",
OR(Loans[[#This Row],[LoanStatus]]="Watchlist",Loans[[#This Row],[CollateralRisk]]="Undersecured",Loans[[#This Row],[RiskCategory]]="High Risk"),"High",
TRUE,"Normal"
)</f>
        <v>High</v>
      </c>
    </row>
    <row r="674" spans="1:20" x14ac:dyDescent="0.35">
      <c r="A674" t="s">
        <v>1287</v>
      </c>
      <c r="B674" t="s">
        <v>415</v>
      </c>
      <c r="C674" t="s">
        <v>270</v>
      </c>
      <c r="D674" t="s">
        <v>155</v>
      </c>
      <c r="E674" s="34">
        <v>100000</v>
      </c>
      <c r="F674" s="29">
        <v>0.16120000000000001</v>
      </c>
      <c r="G674" s="30">
        <v>45944</v>
      </c>
      <c r="H674">
        <v>24</v>
      </c>
      <c r="I674">
        <v>0</v>
      </c>
      <c r="J674" s="34">
        <v>0</v>
      </c>
      <c r="K674" t="s">
        <v>171</v>
      </c>
      <c r="L674" s="34">
        <f>PMT(Loans[[#This Row],[InterestRate]]/12,Loans[[#This Row],[LoanTenureMonths]],-Loans[[#This Row],[LoanAmount]])</f>
        <v>4902.0466987774871</v>
      </c>
      <c r="M674" s="30">
        <f>EDATE(Loans[[#This Row],[LoanStartDate]],Loans[[#This Row],[LoanTenureMonths]])</f>
        <v>46674</v>
      </c>
      <c r="N674" s="33">
        <f>IF(Loans[[#This Row],[LoanAmount]]=0,0,Loans[[#This Row],[CollateralValue]]/Loans[[#This Row],[LoanAmount]])</f>
        <v>0</v>
      </c>
      <c r="O674" t="str">
        <f>IF(Loans[[#This Row],[CollateralCoverageRatio]]&lt;1,"Undersecured","Secured")</f>
        <v>Undersecured</v>
      </c>
      <c r="P674" t="str">
        <f>_xlfn.XLOOKUP(Loans[[#This Row],[BranchCode]],BranchesTbl[BranchCode],BranchesTbl[BranchName])</f>
        <v>Nakuru</v>
      </c>
      <c r="Q674">
        <f>_xlfn.XLOOKUP(Loans[[#This Row],[CustomerID]],CustomerTbl[CustomerID],CustomerTbl[RiskScore])</f>
        <v>790</v>
      </c>
      <c r="R674" t="str">
        <f>IFERROR(INDEX(RiskTbl[Risk_Category],MATCH(Loans[[#This Row],[RiskScore]],RiskTbl[Score_Min],1)),"Unknown")</f>
        <v>Very Low Risk</v>
      </c>
      <c r="S674" t="str">
        <f>IF(OR(Loans[[#This Row],[LoanStatus]]="Default",Loans[[#This Row],[LoanStatus]]="Watchlist",Loans[[#This Row],[CollateralRisk]]="Undersecured",Loans[[#This Row],[RiskCategory]]="High Risk"),"High Risk Exposure","Normal")</f>
        <v>High Risk Exposure</v>
      </c>
      <c r="T674" t="str" cm="1">
        <f t="array" ref="T674">_xlfn.IFS(
Loans[[#This Row],[LoanStatus]]="Default","Critical",
OR(Loans[[#This Row],[LoanStatus]]="Watchlist",Loans[[#This Row],[CollateralRisk]]="Undersecured",Loans[[#This Row],[RiskCategory]]="High Risk"),"High",
TRUE,"Normal"
)</f>
        <v>High</v>
      </c>
    </row>
    <row r="675" spans="1:20" x14ac:dyDescent="0.35">
      <c r="A675" t="s">
        <v>1288</v>
      </c>
      <c r="B675" t="s">
        <v>205</v>
      </c>
      <c r="C675" t="s">
        <v>206</v>
      </c>
      <c r="D675" t="s">
        <v>158</v>
      </c>
      <c r="E675" s="34">
        <v>6000000</v>
      </c>
      <c r="F675" s="29">
        <v>0.13039999999999999</v>
      </c>
      <c r="G675" s="30">
        <v>44754</v>
      </c>
      <c r="H675">
        <v>72</v>
      </c>
      <c r="I675">
        <v>0</v>
      </c>
      <c r="J675" s="34">
        <v>6660000</v>
      </c>
      <c r="K675" t="s">
        <v>171</v>
      </c>
      <c r="L675" s="34">
        <f>PMT(Loans[[#This Row],[InterestRate]]/12,Loans[[#This Row],[LoanTenureMonths]],-Loans[[#This Row],[LoanAmount]])</f>
        <v>120571.33713044063</v>
      </c>
      <c r="M675" s="30">
        <f>EDATE(Loans[[#This Row],[LoanStartDate]],Loans[[#This Row],[LoanTenureMonths]])</f>
        <v>46946</v>
      </c>
      <c r="N675" s="33">
        <f>IF(Loans[[#This Row],[LoanAmount]]=0,0,Loans[[#This Row],[CollateralValue]]/Loans[[#This Row],[LoanAmount]])</f>
        <v>1.1100000000000001</v>
      </c>
      <c r="O675" t="str">
        <f>IF(Loans[[#This Row],[CollateralCoverageRatio]]&lt;1,"Undersecured","Secured")</f>
        <v>Secured</v>
      </c>
      <c r="P675" t="str">
        <f>_xlfn.XLOOKUP(Loans[[#This Row],[BranchCode]],BranchesTbl[BranchCode],BranchesTbl[BranchName])</f>
        <v>Nyahururu</v>
      </c>
      <c r="Q675">
        <f>_xlfn.XLOOKUP(Loans[[#This Row],[CustomerID]],CustomerTbl[CustomerID],CustomerTbl[RiskScore])</f>
        <v>330</v>
      </c>
      <c r="R675" t="str">
        <f>IFERROR(INDEX(RiskTbl[Risk_Category],MATCH(Loans[[#This Row],[RiskScore]],RiskTbl[Score_Min],1)),"Unknown")</f>
        <v>High Risk</v>
      </c>
      <c r="S675" t="str">
        <f>IF(OR(Loans[[#This Row],[LoanStatus]]="Default",Loans[[#This Row],[LoanStatus]]="Watchlist",Loans[[#This Row],[CollateralRisk]]="Undersecured",Loans[[#This Row],[RiskCategory]]="High Risk"),"High Risk Exposure","Normal")</f>
        <v>High Risk Exposure</v>
      </c>
      <c r="T675" t="str" cm="1">
        <f t="array" ref="T675">_xlfn.IFS(
Loans[[#This Row],[LoanStatus]]="Default","Critical",
OR(Loans[[#This Row],[LoanStatus]]="Watchlist",Loans[[#This Row],[CollateralRisk]]="Undersecured",Loans[[#This Row],[RiskCategory]]="High Risk"),"High",
TRUE,"Normal"
)</f>
        <v>High</v>
      </c>
    </row>
    <row r="676" spans="1:20" x14ac:dyDescent="0.35">
      <c r="A676" t="s">
        <v>1289</v>
      </c>
      <c r="B676" t="s">
        <v>1290</v>
      </c>
      <c r="C676" t="s">
        <v>193</v>
      </c>
      <c r="D676" t="s">
        <v>155</v>
      </c>
      <c r="E676" s="34">
        <v>500000</v>
      </c>
      <c r="F676" s="29">
        <v>0.19320000000000001</v>
      </c>
      <c r="G676" s="30">
        <v>44632</v>
      </c>
      <c r="H676">
        <v>60</v>
      </c>
      <c r="I676">
        <v>0</v>
      </c>
      <c r="J676" s="34">
        <v>0</v>
      </c>
      <c r="K676" t="s">
        <v>171</v>
      </c>
      <c r="L676" s="34">
        <f>PMT(Loans[[#This Row],[InterestRate]]/12,Loans[[#This Row],[LoanTenureMonths]],-Loans[[#This Row],[LoanAmount]])</f>
        <v>13058.472563806368</v>
      </c>
      <c r="M676" s="30">
        <f>EDATE(Loans[[#This Row],[LoanStartDate]],Loans[[#This Row],[LoanTenureMonths]])</f>
        <v>46458</v>
      </c>
      <c r="N676" s="33">
        <f>IF(Loans[[#This Row],[LoanAmount]]=0,0,Loans[[#This Row],[CollateralValue]]/Loans[[#This Row],[LoanAmount]])</f>
        <v>0</v>
      </c>
      <c r="O676" t="str">
        <f>IF(Loans[[#This Row],[CollateralCoverageRatio]]&lt;1,"Undersecured","Secured")</f>
        <v>Undersecured</v>
      </c>
      <c r="P676" t="str">
        <f>_xlfn.XLOOKUP(Loans[[#This Row],[BranchCode]],BranchesTbl[BranchCode],BranchesTbl[BranchName])</f>
        <v>Mombasa</v>
      </c>
      <c r="Q676">
        <f>_xlfn.XLOOKUP(Loans[[#This Row],[CustomerID]],CustomerTbl[CustomerID],CustomerTbl[RiskScore])</f>
        <v>559</v>
      </c>
      <c r="R676" t="str">
        <f>IFERROR(INDEX(RiskTbl[Risk_Category],MATCH(Loans[[#This Row],[RiskScore]],RiskTbl[Score_Min],1)),"Unknown")</f>
        <v>High Risk</v>
      </c>
      <c r="S676" t="str">
        <f>IF(OR(Loans[[#This Row],[LoanStatus]]="Default",Loans[[#This Row],[LoanStatus]]="Watchlist",Loans[[#This Row],[CollateralRisk]]="Undersecured",Loans[[#This Row],[RiskCategory]]="High Risk"),"High Risk Exposure","Normal")</f>
        <v>High Risk Exposure</v>
      </c>
      <c r="T676" t="str" cm="1">
        <f t="array" ref="T676">_xlfn.IFS(
Loans[[#This Row],[LoanStatus]]="Default","Critical",
OR(Loans[[#This Row],[LoanStatus]]="Watchlist",Loans[[#This Row],[CollateralRisk]]="Undersecured",Loans[[#This Row],[RiskCategory]]="High Risk"),"High",
TRUE,"Normal"
)</f>
        <v>High</v>
      </c>
    </row>
    <row r="677" spans="1:20" x14ac:dyDescent="0.35">
      <c r="A677" t="s">
        <v>1291</v>
      </c>
      <c r="B677" t="s">
        <v>1292</v>
      </c>
      <c r="C677" t="s">
        <v>206</v>
      </c>
      <c r="D677" t="s">
        <v>156</v>
      </c>
      <c r="E677" s="34">
        <v>3000000</v>
      </c>
      <c r="F677" s="29">
        <v>0.1464</v>
      </c>
      <c r="G677" s="30">
        <v>45609</v>
      </c>
      <c r="H677">
        <v>60</v>
      </c>
      <c r="I677">
        <v>10</v>
      </c>
      <c r="J677" s="34">
        <v>2970000</v>
      </c>
      <c r="K677" t="s">
        <v>171</v>
      </c>
      <c r="L677" s="34">
        <f>PMT(Loans[[#This Row],[InterestRate]]/12,Loans[[#This Row],[LoanTenureMonths]],-Loans[[#This Row],[LoanAmount]])</f>
        <v>70804.139756634788</v>
      </c>
      <c r="M677" s="30">
        <f>EDATE(Loans[[#This Row],[LoanStartDate]],Loans[[#This Row],[LoanTenureMonths]])</f>
        <v>47435</v>
      </c>
      <c r="N677" s="33">
        <f>IF(Loans[[#This Row],[LoanAmount]]=0,0,Loans[[#This Row],[CollateralValue]]/Loans[[#This Row],[LoanAmount]])</f>
        <v>0.99</v>
      </c>
      <c r="O677" t="str">
        <f>IF(Loans[[#This Row],[CollateralCoverageRatio]]&lt;1,"Undersecured","Secured")</f>
        <v>Undersecured</v>
      </c>
      <c r="P677" t="str">
        <f>_xlfn.XLOOKUP(Loans[[#This Row],[BranchCode]],BranchesTbl[BranchCode],BranchesTbl[BranchName])</f>
        <v>Nyahururu</v>
      </c>
      <c r="Q677">
        <f>_xlfn.XLOOKUP(Loans[[#This Row],[CustomerID]],CustomerTbl[CustomerID],CustomerTbl[RiskScore])</f>
        <v>813</v>
      </c>
      <c r="R677" t="str">
        <f>IFERROR(INDEX(RiskTbl[Risk_Category],MATCH(Loans[[#This Row],[RiskScore]],RiskTbl[Score_Min],1)),"Unknown")</f>
        <v>Prime</v>
      </c>
      <c r="S677" t="str">
        <f>IF(OR(Loans[[#This Row],[LoanStatus]]="Default",Loans[[#This Row],[LoanStatus]]="Watchlist",Loans[[#This Row],[CollateralRisk]]="Undersecured",Loans[[#This Row],[RiskCategory]]="High Risk"),"High Risk Exposure","Normal")</f>
        <v>High Risk Exposure</v>
      </c>
      <c r="T677" t="str" cm="1">
        <f t="array" ref="T677">_xlfn.IFS(
Loans[[#This Row],[LoanStatus]]="Default","Critical",
OR(Loans[[#This Row],[LoanStatus]]="Watchlist",Loans[[#This Row],[CollateralRisk]]="Undersecured",Loans[[#This Row],[RiskCategory]]="High Risk"),"High",
TRUE,"Normal"
)</f>
        <v>High</v>
      </c>
    </row>
    <row r="678" spans="1:20" x14ac:dyDescent="0.35">
      <c r="A678" t="s">
        <v>1293</v>
      </c>
      <c r="B678" t="s">
        <v>777</v>
      </c>
      <c r="C678" t="s">
        <v>170</v>
      </c>
      <c r="D678" t="s">
        <v>156</v>
      </c>
      <c r="E678" s="34">
        <v>1000000</v>
      </c>
      <c r="F678" s="29">
        <v>0.2175</v>
      </c>
      <c r="G678" s="30">
        <v>43946</v>
      </c>
      <c r="H678">
        <v>24</v>
      </c>
      <c r="I678">
        <v>120</v>
      </c>
      <c r="J678" s="34">
        <v>530000</v>
      </c>
      <c r="K678" t="s">
        <v>178</v>
      </c>
      <c r="L678" s="34">
        <f>PMT(Loans[[#This Row],[InterestRate]]/12,Loans[[#This Row],[LoanTenureMonths]],-Loans[[#This Row],[LoanAmount]])</f>
        <v>51754.780201361173</v>
      </c>
      <c r="M678" s="30">
        <f>EDATE(Loans[[#This Row],[LoanStartDate]],Loans[[#This Row],[LoanTenureMonths]])</f>
        <v>44676</v>
      </c>
      <c r="N678" s="33">
        <f>IF(Loans[[#This Row],[LoanAmount]]=0,0,Loans[[#This Row],[CollateralValue]]/Loans[[#This Row],[LoanAmount]])</f>
        <v>0.53</v>
      </c>
      <c r="O678" t="str">
        <f>IF(Loans[[#This Row],[CollateralCoverageRatio]]&lt;1,"Undersecured","Secured")</f>
        <v>Undersecured</v>
      </c>
      <c r="P678" t="str">
        <f>_xlfn.XLOOKUP(Loans[[#This Row],[BranchCode]],BranchesTbl[BranchCode],BranchesTbl[BranchName])</f>
        <v>Thika</v>
      </c>
      <c r="Q678">
        <f>_xlfn.XLOOKUP(Loans[[#This Row],[CustomerID]],CustomerTbl[CustomerID],CustomerTbl[RiskScore])</f>
        <v>555</v>
      </c>
      <c r="R678" t="str">
        <f>IFERROR(INDEX(RiskTbl[Risk_Category],MATCH(Loans[[#This Row],[RiskScore]],RiskTbl[Score_Min],1)),"Unknown")</f>
        <v>High Risk</v>
      </c>
      <c r="S678" t="str">
        <f>IF(OR(Loans[[#This Row],[LoanStatus]]="Default",Loans[[#This Row],[LoanStatus]]="Watchlist",Loans[[#This Row],[CollateralRisk]]="Undersecured",Loans[[#This Row],[RiskCategory]]="High Risk"),"High Risk Exposure","Normal")</f>
        <v>High Risk Exposure</v>
      </c>
      <c r="T678" t="str" cm="1">
        <f t="array" ref="T678">_xlfn.IFS(
Loans[[#This Row],[LoanStatus]]="Default","Critical",
OR(Loans[[#This Row],[LoanStatus]]="Watchlist",Loans[[#This Row],[CollateralRisk]]="Undersecured",Loans[[#This Row],[RiskCategory]]="High Risk"),"High",
TRUE,"Normal"
)</f>
        <v>Critical</v>
      </c>
    </row>
    <row r="679" spans="1:20" x14ac:dyDescent="0.35">
      <c r="A679" t="s">
        <v>1294</v>
      </c>
      <c r="B679" t="s">
        <v>978</v>
      </c>
      <c r="C679" t="s">
        <v>193</v>
      </c>
      <c r="D679" t="s">
        <v>157</v>
      </c>
      <c r="E679" s="34">
        <v>25000000</v>
      </c>
      <c r="F679" s="29">
        <v>0.13120000000000001</v>
      </c>
      <c r="G679" s="30">
        <v>45124</v>
      </c>
      <c r="H679">
        <v>36</v>
      </c>
      <c r="I679">
        <v>5</v>
      </c>
      <c r="J679" s="34">
        <v>16500000</v>
      </c>
      <c r="K679" t="s">
        <v>171</v>
      </c>
      <c r="L679" s="34">
        <f>PMT(Loans[[#This Row],[InterestRate]]/12,Loans[[#This Row],[LoanTenureMonths]],-Loans[[#This Row],[LoanAmount]])</f>
        <v>843794.51343527029</v>
      </c>
      <c r="M679" s="30">
        <f>EDATE(Loans[[#This Row],[LoanStartDate]],Loans[[#This Row],[LoanTenureMonths]])</f>
        <v>46220</v>
      </c>
      <c r="N679" s="33">
        <f>IF(Loans[[#This Row],[LoanAmount]]=0,0,Loans[[#This Row],[CollateralValue]]/Loans[[#This Row],[LoanAmount]])</f>
        <v>0.66</v>
      </c>
      <c r="O679" t="str">
        <f>IF(Loans[[#This Row],[CollateralCoverageRatio]]&lt;1,"Undersecured","Secured")</f>
        <v>Undersecured</v>
      </c>
      <c r="P679" t="str">
        <f>_xlfn.XLOOKUP(Loans[[#This Row],[BranchCode]],BranchesTbl[BranchCode],BranchesTbl[BranchName])</f>
        <v>Mombasa</v>
      </c>
      <c r="Q679">
        <f>_xlfn.XLOOKUP(Loans[[#This Row],[CustomerID]],CustomerTbl[CustomerID],CustomerTbl[RiskScore])</f>
        <v>775</v>
      </c>
      <c r="R679" t="str">
        <f>IFERROR(INDEX(RiskTbl[Risk_Category],MATCH(Loans[[#This Row],[RiskScore]],RiskTbl[Score_Min],1)),"Unknown")</f>
        <v>Very Low Risk</v>
      </c>
      <c r="S679" t="str">
        <f>IF(OR(Loans[[#This Row],[LoanStatus]]="Default",Loans[[#This Row],[LoanStatus]]="Watchlist",Loans[[#This Row],[CollateralRisk]]="Undersecured",Loans[[#This Row],[RiskCategory]]="High Risk"),"High Risk Exposure","Normal")</f>
        <v>High Risk Exposure</v>
      </c>
      <c r="T679" t="str" cm="1">
        <f t="array" ref="T679">_xlfn.IFS(
Loans[[#This Row],[LoanStatus]]="Default","Critical",
OR(Loans[[#This Row],[LoanStatus]]="Watchlist",Loans[[#This Row],[CollateralRisk]]="Undersecured",Loans[[#This Row],[RiskCategory]]="High Risk"),"High",
TRUE,"Normal"
)</f>
        <v>High</v>
      </c>
    </row>
    <row r="680" spans="1:20" x14ac:dyDescent="0.35">
      <c r="A680" t="s">
        <v>1295</v>
      </c>
      <c r="B680" t="s">
        <v>1296</v>
      </c>
      <c r="C680" t="s">
        <v>190</v>
      </c>
      <c r="D680" t="s">
        <v>155</v>
      </c>
      <c r="E680" s="34">
        <v>100000</v>
      </c>
      <c r="F680" s="29">
        <v>0.26229999999999998</v>
      </c>
      <c r="G680" s="30">
        <v>44323</v>
      </c>
      <c r="H680">
        <v>36</v>
      </c>
      <c r="I680">
        <v>0</v>
      </c>
      <c r="J680" s="34">
        <v>0</v>
      </c>
      <c r="K680" t="s">
        <v>171</v>
      </c>
      <c r="L680" s="34">
        <f>PMT(Loans[[#This Row],[InterestRate]]/12,Loans[[#This Row],[LoanTenureMonths]],-Loans[[#This Row],[LoanAmount]])</f>
        <v>4041.3241600943406</v>
      </c>
      <c r="M680" s="30">
        <f>EDATE(Loans[[#This Row],[LoanStartDate]],Loans[[#This Row],[LoanTenureMonths]])</f>
        <v>45419</v>
      </c>
      <c r="N680" s="33">
        <f>IF(Loans[[#This Row],[LoanAmount]]=0,0,Loans[[#This Row],[CollateralValue]]/Loans[[#This Row],[LoanAmount]])</f>
        <v>0</v>
      </c>
      <c r="O680" t="str">
        <f>IF(Loans[[#This Row],[CollateralCoverageRatio]]&lt;1,"Undersecured","Secured")</f>
        <v>Undersecured</v>
      </c>
      <c r="P680" t="str">
        <f>_xlfn.XLOOKUP(Loans[[#This Row],[BranchCode]],BranchesTbl[BranchCode],BranchesTbl[BranchName])</f>
        <v>Nyeri</v>
      </c>
      <c r="Q680">
        <f>_xlfn.XLOOKUP(Loans[[#This Row],[CustomerID]],CustomerTbl[CustomerID],CustomerTbl[RiskScore])</f>
        <v>571</v>
      </c>
      <c r="R680" t="str">
        <f>IFERROR(INDEX(RiskTbl[Risk_Category],MATCH(Loans[[#This Row],[RiskScore]],RiskTbl[Score_Min],1)),"Unknown")</f>
        <v>High Risk</v>
      </c>
      <c r="S680" t="str">
        <f>IF(OR(Loans[[#This Row],[LoanStatus]]="Default",Loans[[#This Row],[LoanStatus]]="Watchlist",Loans[[#This Row],[CollateralRisk]]="Undersecured",Loans[[#This Row],[RiskCategory]]="High Risk"),"High Risk Exposure","Normal")</f>
        <v>High Risk Exposure</v>
      </c>
      <c r="T680" t="str" cm="1">
        <f t="array" ref="T680">_xlfn.IFS(
Loans[[#This Row],[LoanStatus]]="Default","Critical",
OR(Loans[[#This Row],[LoanStatus]]="Watchlist",Loans[[#This Row],[CollateralRisk]]="Undersecured",Loans[[#This Row],[RiskCategory]]="High Risk"),"High",
TRUE,"Normal"
)</f>
        <v>High</v>
      </c>
    </row>
    <row r="681" spans="1:20" x14ac:dyDescent="0.35">
      <c r="A681" t="s">
        <v>1297</v>
      </c>
      <c r="B681" t="s">
        <v>569</v>
      </c>
      <c r="C681" t="s">
        <v>184</v>
      </c>
      <c r="D681" t="s">
        <v>155</v>
      </c>
      <c r="E681" s="34">
        <v>1000000</v>
      </c>
      <c r="F681" s="29">
        <v>0.1971</v>
      </c>
      <c r="G681" s="30">
        <v>45888</v>
      </c>
      <c r="H681">
        <v>36</v>
      </c>
      <c r="I681">
        <v>10</v>
      </c>
      <c r="J681" s="34">
        <v>0</v>
      </c>
      <c r="K681" t="s">
        <v>171</v>
      </c>
      <c r="L681" s="34">
        <f>PMT(Loans[[#This Row],[InterestRate]]/12,Loans[[#This Row],[LoanTenureMonths]],-Loans[[#This Row],[LoanAmount]])</f>
        <v>37015.985545458934</v>
      </c>
      <c r="M681" s="30">
        <f>EDATE(Loans[[#This Row],[LoanStartDate]],Loans[[#This Row],[LoanTenureMonths]])</f>
        <v>46984</v>
      </c>
      <c r="N681" s="33">
        <f>IF(Loans[[#This Row],[LoanAmount]]=0,0,Loans[[#This Row],[CollateralValue]]/Loans[[#This Row],[LoanAmount]])</f>
        <v>0</v>
      </c>
      <c r="O681" t="str">
        <f>IF(Loans[[#This Row],[CollateralCoverageRatio]]&lt;1,"Undersecured","Secured")</f>
        <v>Undersecured</v>
      </c>
      <c r="P681" t="str">
        <f>_xlfn.XLOOKUP(Loans[[#This Row],[BranchCode]],BranchesTbl[BranchCode],BranchesTbl[BranchName])</f>
        <v>Kisumu</v>
      </c>
      <c r="Q681">
        <f>_xlfn.XLOOKUP(Loans[[#This Row],[CustomerID]],CustomerTbl[CustomerID],CustomerTbl[RiskScore])</f>
        <v>347</v>
      </c>
      <c r="R681" t="str">
        <f>IFERROR(INDEX(RiskTbl[Risk_Category],MATCH(Loans[[#This Row],[RiskScore]],RiskTbl[Score_Min],1)),"Unknown")</f>
        <v>High Risk</v>
      </c>
      <c r="S681" t="str">
        <f>IF(OR(Loans[[#This Row],[LoanStatus]]="Default",Loans[[#This Row],[LoanStatus]]="Watchlist",Loans[[#This Row],[CollateralRisk]]="Undersecured",Loans[[#This Row],[RiskCategory]]="High Risk"),"High Risk Exposure","Normal")</f>
        <v>High Risk Exposure</v>
      </c>
      <c r="T681" t="str" cm="1">
        <f t="array" ref="T681">_xlfn.IFS(
Loans[[#This Row],[LoanStatus]]="Default","Critical",
OR(Loans[[#This Row],[LoanStatus]]="Watchlist",Loans[[#This Row],[CollateralRisk]]="Undersecured",Loans[[#This Row],[RiskCategory]]="High Risk"),"High",
TRUE,"Normal"
)</f>
        <v>High</v>
      </c>
    </row>
    <row r="682" spans="1:20" x14ac:dyDescent="0.35">
      <c r="A682" t="s">
        <v>1298</v>
      </c>
      <c r="B682" t="s">
        <v>1281</v>
      </c>
      <c r="C682" t="s">
        <v>239</v>
      </c>
      <c r="D682" t="s">
        <v>155</v>
      </c>
      <c r="E682" s="34">
        <v>250000</v>
      </c>
      <c r="F682" s="29">
        <v>0.27689999999999998</v>
      </c>
      <c r="G682" s="30">
        <v>44119</v>
      </c>
      <c r="H682">
        <v>60</v>
      </c>
      <c r="I682">
        <v>0</v>
      </c>
      <c r="J682" s="34">
        <v>0</v>
      </c>
      <c r="K682" t="s">
        <v>171</v>
      </c>
      <c r="L682" s="34">
        <f>PMT(Loans[[#This Row],[InterestRate]]/12,Loans[[#This Row],[LoanTenureMonths]],-Loans[[#This Row],[LoanAmount]])</f>
        <v>7737.2674572402657</v>
      </c>
      <c r="M682" s="30">
        <f>EDATE(Loans[[#This Row],[LoanStartDate]],Loans[[#This Row],[LoanTenureMonths]])</f>
        <v>45945</v>
      </c>
      <c r="N682" s="33">
        <f>IF(Loans[[#This Row],[LoanAmount]]=0,0,Loans[[#This Row],[CollateralValue]]/Loans[[#This Row],[LoanAmount]])</f>
        <v>0</v>
      </c>
      <c r="O682" t="str">
        <f>IF(Loans[[#This Row],[CollateralCoverageRatio]]&lt;1,"Undersecured","Secured")</f>
        <v>Undersecured</v>
      </c>
      <c r="P682" t="str">
        <f>_xlfn.XLOOKUP(Loans[[#This Row],[BranchCode]],BranchesTbl[BranchCode],BranchesTbl[BranchName])</f>
        <v>Machakos</v>
      </c>
      <c r="Q682">
        <f>_xlfn.XLOOKUP(Loans[[#This Row],[CustomerID]],CustomerTbl[CustomerID],CustomerTbl[RiskScore])</f>
        <v>322</v>
      </c>
      <c r="R682" t="str">
        <f>IFERROR(INDEX(RiskTbl[Risk_Category],MATCH(Loans[[#This Row],[RiskScore]],RiskTbl[Score_Min],1)),"Unknown")</f>
        <v>High Risk</v>
      </c>
      <c r="S682" t="str">
        <f>IF(OR(Loans[[#This Row],[LoanStatus]]="Default",Loans[[#This Row],[LoanStatus]]="Watchlist",Loans[[#This Row],[CollateralRisk]]="Undersecured",Loans[[#This Row],[RiskCategory]]="High Risk"),"High Risk Exposure","Normal")</f>
        <v>High Risk Exposure</v>
      </c>
      <c r="T682" t="str" cm="1">
        <f t="array" ref="T682">_xlfn.IFS(
Loans[[#This Row],[LoanStatus]]="Default","Critical",
OR(Loans[[#This Row],[LoanStatus]]="Watchlist",Loans[[#This Row],[CollateralRisk]]="Undersecured",Loans[[#This Row],[RiskCategory]]="High Risk"),"High",
TRUE,"Normal"
)</f>
        <v>High</v>
      </c>
    </row>
    <row r="683" spans="1:20" x14ac:dyDescent="0.35">
      <c r="A683" t="s">
        <v>1299</v>
      </c>
      <c r="B683" t="s">
        <v>256</v>
      </c>
      <c r="C683" t="s">
        <v>193</v>
      </c>
      <c r="D683" t="s">
        <v>156</v>
      </c>
      <c r="E683" s="34">
        <v>6000000</v>
      </c>
      <c r="F683" s="29">
        <v>0.1968</v>
      </c>
      <c r="G683" s="30">
        <v>44823</v>
      </c>
      <c r="H683">
        <v>24</v>
      </c>
      <c r="I683">
        <v>120</v>
      </c>
      <c r="J683" s="34">
        <v>8100000</v>
      </c>
      <c r="K683" t="s">
        <v>178</v>
      </c>
      <c r="L683" s="34">
        <f>PMT(Loans[[#This Row],[InterestRate]]/12,Loans[[#This Row],[LoanTenureMonths]],-Loans[[#This Row],[LoanAmount]])</f>
        <v>304437.67936481087</v>
      </c>
      <c r="M683" s="30">
        <f>EDATE(Loans[[#This Row],[LoanStartDate]],Loans[[#This Row],[LoanTenureMonths]])</f>
        <v>45554</v>
      </c>
      <c r="N683" s="33">
        <f>IF(Loans[[#This Row],[LoanAmount]]=0,0,Loans[[#This Row],[CollateralValue]]/Loans[[#This Row],[LoanAmount]])</f>
        <v>1.35</v>
      </c>
      <c r="O683" t="str">
        <f>IF(Loans[[#This Row],[CollateralCoverageRatio]]&lt;1,"Undersecured","Secured")</f>
        <v>Secured</v>
      </c>
      <c r="P683" t="str">
        <f>_xlfn.XLOOKUP(Loans[[#This Row],[BranchCode]],BranchesTbl[BranchCode],BranchesTbl[BranchName])</f>
        <v>Mombasa</v>
      </c>
      <c r="Q683">
        <f>_xlfn.XLOOKUP(Loans[[#This Row],[CustomerID]],CustomerTbl[CustomerID],CustomerTbl[RiskScore])</f>
        <v>659</v>
      </c>
      <c r="R683" t="str">
        <f>IFERROR(INDEX(RiskTbl[Risk_Category],MATCH(Loans[[#This Row],[RiskScore]],RiskTbl[Score_Min],1)),"Unknown")</f>
        <v>Medium Risk</v>
      </c>
      <c r="S683" t="str">
        <f>IF(OR(Loans[[#This Row],[LoanStatus]]="Default",Loans[[#This Row],[LoanStatus]]="Watchlist",Loans[[#This Row],[CollateralRisk]]="Undersecured",Loans[[#This Row],[RiskCategory]]="High Risk"),"High Risk Exposure","Normal")</f>
        <v>High Risk Exposure</v>
      </c>
      <c r="T683" t="str" cm="1">
        <f t="array" ref="T683">_xlfn.IFS(
Loans[[#This Row],[LoanStatus]]="Default","Critical",
OR(Loans[[#This Row],[LoanStatus]]="Watchlist",Loans[[#This Row],[CollateralRisk]]="Undersecured",Loans[[#This Row],[RiskCategory]]="High Risk"),"High",
TRUE,"Normal"
)</f>
        <v>Critical</v>
      </c>
    </row>
    <row r="684" spans="1:20" x14ac:dyDescent="0.35">
      <c r="A684" t="s">
        <v>1300</v>
      </c>
      <c r="B684" t="s">
        <v>585</v>
      </c>
      <c r="C684" t="s">
        <v>267</v>
      </c>
      <c r="D684" t="s">
        <v>158</v>
      </c>
      <c r="E684" s="34">
        <v>500000</v>
      </c>
      <c r="F684" s="29">
        <v>0.18740000000000001</v>
      </c>
      <c r="G684" s="30">
        <v>43946</v>
      </c>
      <c r="H684">
        <v>36</v>
      </c>
      <c r="I684">
        <v>10</v>
      </c>
      <c r="J684" s="34">
        <v>515000</v>
      </c>
      <c r="K684" t="s">
        <v>171</v>
      </c>
      <c r="L684" s="34">
        <f>PMT(Loans[[#This Row],[InterestRate]]/12,Loans[[#This Row],[LoanTenureMonths]],-Loans[[#This Row],[LoanAmount]])</f>
        <v>18262.349008489415</v>
      </c>
      <c r="M684" s="30">
        <f>EDATE(Loans[[#This Row],[LoanStartDate]],Loans[[#This Row],[LoanTenureMonths]])</f>
        <v>45041</v>
      </c>
      <c r="N684" s="33">
        <f>IF(Loans[[#This Row],[LoanAmount]]=0,0,Loans[[#This Row],[CollateralValue]]/Loans[[#This Row],[LoanAmount]])</f>
        <v>1.03</v>
      </c>
      <c r="O684" t="str">
        <f>IF(Loans[[#This Row],[CollateralCoverageRatio]]&lt;1,"Undersecured","Secured")</f>
        <v>Secured</v>
      </c>
      <c r="P684" t="str">
        <f>_xlfn.XLOOKUP(Loans[[#This Row],[BranchCode]],BranchesTbl[BranchCode],BranchesTbl[BranchName])</f>
        <v>Malindi</v>
      </c>
      <c r="Q684">
        <f>_xlfn.XLOOKUP(Loans[[#This Row],[CustomerID]],CustomerTbl[CustomerID],CustomerTbl[RiskScore])</f>
        <v>623</v>
      </c>
      <c r="R684" t="str">
        <f>IFERROR(INDEX(RiskTbl[Risk_Category],MATCH(Loans[[#This Row],[RiskScore]],RiskTbl[Score_Min],1)),"Unknown")</f>
        <v>Medium Risk</v>
      </c>
      <c r="S684" t="str">
        <f>IF(OR(Loans[[#This Row],[LoanStatus]]="Default",Loans[[#This Row],[LoanStatus]]="Watchlist",Loans[[#This Row],[CollateralRisk]]="Undersecured",Loans[[#This Row],[RiskCategory]]="High Risk"),"High Risk Exposure","Normal")</f>
        <v>Normal</v>
      </c>
      <c r="T684" t="str" cm="1">
        <f t="array" ref="T684">_xlfn.IFS(
Loans[[#This Row],[LoanStatus]]="Default","Critical",
OR(Loans[[#This Row],[LoanStatus]]="Watchlist",Loans[[#This Row],[CollateralRisk]]="Undersecured",Loans[[#This Row],[RiskCategory]]="High Risk"),"High",
TRUE,"Normal"
)</f>
        <v>Normal</v>
      </c>
    </row>
    <row r="685" spans="1:20" x14ac:dyDescent="0.35">
      <c r="A685" t="s">
        <v>1301</v>
      </c>
      <c r="B685" t="s">
        <v>1220</v>
      </c>
      <c r="C685" t="s">
        <v>196</v>
      </c>
      <c r="D685" t="s">
        <v>158</v>
      </c>
      <c r="E685" s="34">
        <v>1000000</v>
      </c>
      <c r="F685" s="29">
        <v>0.19120000000000001</v>
      </c>
      <c r="G685" s="30">
        <v>45789</v>
      </c>
      <c r="H685">
        <v>12</v>
      </c>
      <c r="I685">
        <v>0</v>
      </c>
      <c r="J685" s="34">
        <v>1410000</v>
      </c>
      <c r="K685" t="s">
        <v>171</v>
      </c>
      <c r="L685" s="34">
        <f>PMT(Loans[[#This Row],[InterestRate]]/12,Loans[[#This Row],[LoanTenureMonths]],-Loans[[#This Row],[LoanAmount]])</f>
        <v>92213.858712022222</v>
      </c>
      <c r="M685" s="30">
        <f>EDATE(Loans[[#This Row],[LoanStartDate]],Loans[[#This Row],[LoanTenureMonths]])</f>
        <v>46154</v>
      </c>
      <c r="N685" s="33">
        <f>IF(Loans[[#This Row],[LoanAmount]]=0,0,Loans[[#This Row],[CollateralValue]]/Loans[[#This Row],[LoanAmount]])</f>
        <v>1.41</v>
      </c>
      <c r="O685" t="str">
        <f>IF(Loans[[#This Row],[CollateralCoverageRatio]]&lt;1,"Undersecured","Secured")</f>
        <v>Secured</v>
      </c>
      <c r="P685" t="str">
        <f>_xlfn.XLOOKUP(Loans[[#This Row],[BranchCode]],BranchesTbl[BranchCode],BranchesTbl[BranchName])</f>
        <v>Karen</v>
      </c>
      <c r="Q685">
        <f>_xlfn.XLOOKUP(Loans[[#This Row],[CustomerID]],CustomerTbl[CustomerID],CustomerTbl[RiskScore])</f>
        <v>463</v>
      </c>
      <c r="R685" t="str">
        <f>IFERROR(INDEX(RiskTbl[Risk_Category],MATCH(Loans[[#This Row],[RiskScore]],RiskTbl[Score_Min],1)),"Unknown")</f>
        <v>High Risk</v>
      </c>
      <c r="S685" t="str">
        <f>IF(OR(Loans[[#This Row],[LoanStatus]]="Default",Loans[[#This Row],[LoanStatus]]="Watchlist",Loans[[#This Row],[CollateralRisk]]="Undersecured",Loans[[#This Row],[RiskCategory]]="High Risk"),"High Risk Exposure","Normal")</f>
        <v>High Risk Exposure</v>
      </c>
      <c r="T685" t="str" cm="1">
        <f t="array" ref="T685">_xlfn.IFS(
Loans[[#This Row],[LoanStatus]]="Default","Critical",
OR(Loans[[#This Row],[LoanStatus]]="Watchlist",Loans[[#This Row],[CollateralRisk]]="Undersecured",Loans[[#This Row],[RiskCategory]]="High Risk"),"High",
TRUE,"Normal"
)</f>
        <v>High</v>
      </c>
    </row>
    <row r="686" spans="1:20" x14ac:dyDescent="0.35">
      <c r="A686" t="s">
        <v>1302</v>
      </c>
      <c r="B686" t="s">
        <v>1303</v>
      </c>
      <c r="C686" t="s">
        <v>239</v>
      </c>
      <c r="D686" t="s">
        <v>157</v>
      </c>
      <c r="E686" s="34">
        <v>25000000</v>
      </c>
      <c r="F686" s="29">
        <v>0.1356</v>
      </c>
      <c r="G686" s="30">
        <v>45964</v>
      </c>
      <c r="H686">
        <v>24</v>
      </c>
      <c r="I686">
        <v>90</v>
      </c>
      <c r="J686" s="34">
        <v>31500000</v>
      </c>
      <c r="K686" t="s">
        <v>199</v>
      </c>
      <c r="L686" s="34">
        <f>PMT(Loans[[#This Row],[InterestRate]]/12,Loans[[#This Row],[LoanTenureMonths]],-Loans[[#This Row],[LoanAmount]])</f>
        <v>1195132.0763063508</v>
      </c>
      <c r="M686" s="30">
        <f>EDATE(Loans[[#This Row],[LoanStartDate]],Loans[[#This Row],[LoanTenureMonths]])</f>
        <v>46694</v>
      </c>
      <c r="N686" s="33">
        <f>IF(Loans[[#This Row],[LoanAmount]]=0,0,Loans[[#This Row],[CollateralValue]]/Loans[[#This Row],[LoanAmount]])</f>
        <v>1.26</v>
      </c>
      <c r="O686" t="str">
        <f>IF(Loans[[#This Row],[CollateralCoverageRatio]]&lt;1,"Undersecured","Secured")</f>
        <v>Secured</v>
      </c>
      <c r="P686" t="str">
        <f>_xlfn.XLOOKUP(Loans[[#This Row],[BranchCode]],BranchesTbl[BranchCode],BranchesTbl[BranchName])</f>
        <v>Machakos</v>
      </c>
      <c r="Q686">
        <f>_xlfn.XLOOKUP(Loans[[#This Row],[CustomerID]],CustomerTbl[CustomerID],CustomerTbl[RiskScore])</f>
        <v>539</v>
      </c>
      <c r="R686" t="str">
        <f>IFERROR(INDEX(RiskTbl[Risk_Category],MATCH(Loans[[#This Row],[RiskScore]],RiskTbl[Score_Min],1)),"Unknown")</f>
        <v>High Risk</v>
      </c>
      <c r="S686" t="str">
        <f>IF(OR(Loans[[#This Row],[LoanStatus]]="Default",Loans[[#This Row],[LoanStatus]]="Watchlist",Loans[[#This Row],[CollateralRisk]]="Undersecured",Loans[[#This Row],[RiskCategory]]="High Risk"),"High Risk Exposure","Normal")</f>
        <v>High Risk Exposure</v>
      </c>
      <c r="T686" t="str" cm="1">
        <f t="array" ref="T686">_xlfn.IFS(
Loans[[#This Row],[LoanStatus]]="Default","Critical",
OR(Loans[[#This Row],[LoanStatus]]="Watchlist",Loans[[#This Row],[CollateralRisk]]="Undersecured",Loans[[#This Row],[RiskCategory]]="High Risk"),"High",
TRUE,"Normal"
)</f>
        <v>High</v>
      </c>
    </row>
    <row r="687" spans="1:20" x14ac:dyDescent="0.35">
      <c r="A687" t="s">
        <v>1304</v>
      </c>
      <c r="B687" t="s">
        <v>639</v>
      </c>
      <c r="C687" t="s">
        <v>170</v>
      </c>
      <c r="D687" t="s">
        <v>158</v>
      </c>
      <c r="E687" s="34">
        <v>3000000</v>
      </c>
      <c r="F687" s="29">
        <v>0.16389999999999999</v>
      </c>
      <c r="G687" s="30">
        <v>45538</v>
      </c>
      <c r="H687">
        <v>36</v>
      </c>
      <c r="I687">
        <v>10</v>
      </c>
      <c r="J687" s="34">
        <v>3450000</v>
      </c>
      <c r="K687" t="s">
        <v>171</v>
      </c>
      <c r="L687" s="34">
        <f>PMT(Loans[[#This Row],[InterestRate]]/12,Loans[[#This Row],[LoanTenureMonths]],-Loans[[#This Row],[LoanAmount]])</f>
        <v>106049.64052395617</v>
      </c>
      <c r="M687" s="30">
        <f>EDATE(Loans[[#This Row],[LoanStartDate]],Loans[[#This Row],[LoanTenureMonths]])</f>
        <v>46633</v>
      </c>
      <c r="N687" s="33">
        <f>IF(Loans[[#This Row],[LoanAmount]]=0,0,Loans[[#This Row],[CollateralValue]]/Loans[[#This Row],[LoanAmount]])</f>
        <v>1.1499999999999999</v>
      </c>
      <c r="O687" t="str">
        <f>IF(Loans[[#This Row],[CollateralCoverageRatio]]&lt;1,"Undersecured","Secured")</f>
        <v>Secured</v>
      </c>
      <c r="P687" t="str">
        <f>_xlfn.XLOOKUP(Loans[[#This Row],[BranchCode]],BranchesTbl[BranchCode],BranchesTbl[BranchName])</f>
        <v>Thika</v>
      </c>
      <c r="Q687">
        <f>_xlfn.XLOOKUP(Loans[[#This Row],[CustomerID]],CustomerTbl[CustomerID],CustomerTbl[RiskScore])</f>
        <v>749</v>
      </c>
      <c r="R687" t="str">
        <f>IFERROR(INDEX(RiskTbl[Risk_Category],MATCH(Loans[[#This Row],[RiskScore]],RiskTbl[Score_Min],1)),"Unknown")</f>
        <v>Very Low Risk</v>
      </c>
      <c r="S687" t="str">
        <f>IF(OR(Loans[[#This Row],[LoanStatus]]="Default",Loans[[#This Row],[LoanStatus]]="Watchlist",Loans[[#This Row],[CollateralRisk]]="Undersecured",Loans[[#This Row],[RiskCategory]]="High Risk"),"High Risk Exposure","Normal")</f>
        <v>Normal</v>
      </c>
      <c r="T687" t="str" cm="1">
        <f t="array" ref="T687">_xlfn.IFS(
Loans[[#This Row],[LoanStatus]]="Default","Critical",
OR(Loans[[#This Row],[LoanStatus]]="Watchlist",Loans[[#This Row],[CollateralRisk]]="Undersecured",Loans[[#This Row],[RiskCategory]]="High Risk"),"High",
TRUE,"Normal"
)</f>
        <v>Normal</v>
      </c>
    </row>
    <row r="688" spans="1:20" x14ac:dyDescent="0.35">
      <c r="A688" t="s">
        <v>1305</v>
      </c>
      <c r="B688" t="s">
        <v>245</v>
      </c>
      <c r="C688" t="s">
        <v>190</v>
      </c>
      <c r="D688" t="s">
        <v>156</v>
      </c>
      <c r="E688" s="34">
        <v>6000000</v>
      </c>
      <c r="F688" s="29">
        <v>0.21129999999999999</v>
      </c>
      <c r="G688" s="30">
        <v>44259</v>
      </c>
      <c r="H688">
        <v>36</v>
      </c>
      <c r="I688">
        <v>0</v>
      </c>
      <c r="J688" s="34">
        <v>7140000</v>
      </c>
      <c r="K688" t="s">
        <v>171</v>
      </c>
      <c r="L688" s="34">
        <f>PMT(Loans[[#This Row],[InterestRate]]/12,Loans[[#This Row],[LoanTenureMonths]],-Loans[[#This Row],[LoanAmount]])</f>
        <v>226451.08350842661</v>
      </c>
      <c r="M688" s="30">
        <f>EDATE(Loans[[#This Row],[LoanStartDate]],Loans[[#This Row],[LoanTenureMonths]])</f>
        <v>45355</v>
      </c>
      <c r="N688" s="33">
        <f>IF(Loans[[#This Row],[LoanAmount]]=0,0,Loans[[#This Row],[CollateralValue]]/Loans[[#This Row],[LoanAmount]])</f>
        <v>1.19</v>
      </c>
      <c r="O688" t="str">
        <f>IF(Loans[[#This Row],[CollateralCoverageRatio]]&lt;1,"Undersecured","Secured")</f>
        <v>Secured</v>
      </c>
      <c r="P688" t="str">
        <f>_xlfn.XLOOKUP(Loans[[#This Row],[BranchCode]],BranchesTbl[BranchCode],BranchesTbl[BranchName])</f>
        <v>Nyeri</v>
      </c>
      <c r="Q688">
        <f>_xlfn.XLOOKUP(Loans[[#This Row],[CustomerID]],CustomerTbl[CustomerID],CustomerTbl[RiskScore])</f>
        <v>763</v>
      </c>
      <c r="R688" t="str">
        <f>IFERROR(INDEX(RiskTbl[Risk_Category],MATCH(Loans[[#This Row],[RiskScore]],RiskTbl[Score_Min],1)),"Unknown")</f>
        <v>Very Low Risk</v>
      </c>
      <c r="S688" t="str">
        <f>IF(OR(Loans[[#This Row],[LoanStatus]]="Default",Loans[[#This Row],[LoanStatus]]="Watchlist",Loans[[#This Row],[CollateralRisk]]="Undersecured",Loans[[#This Row],[RiskCategory]]="High Risk"),"High Risk Exposure","Normal")</f>
        <v>Normal</v>
      </c>
      <c r="T688" t="str" cm="1">
        <f t="array" ref="T688">_xlfn.IFS(
Loans[[#This Row],[LoanStatus]]="Default","Critical",
OR(Loans[[#This Row],[LoanStatus]]="Watchlist",Loans[[#This Row],[CollateralRisk]]="Undersecured",Loans[[#This Row],[RiskCategory]]="High Risk"),"High",
TRUE,"Normal"
)</f>
        <v>Normal</v>
      </c>
    </row>
    <row r="689" spans="1:20" x14ac:dyDescent="0.35">
      <c r="A689" t="s">
        <v>1306</v>
      </c>
      <c r="B689" t="s">
        <v>1307</v>
      </c>
      <c r="C689" t="s">
        <v>196</v>
      </c>
      <c r="D689" t="s">
        <v>155</v>
      </c>
      <c r="E689" s="34">
        <v>1000000</v>
      </c>
      <c r="F689" s="29">
        <v>0.24890000000000001</v>
      </c>
      <c r="G689" s="30">
        <v>45551</v>
      </c>
      <c r="H689">
        <v>72</v>
      </c>
      <c r="I689">
        <v>45</v>
      </c>
      <c r="J689" s="34">
        <v>0</v>
      </c>
      <c r="K689" t="s">
        <v>199</v>
      </c>
      <c r="L689" s="34">
        <f>PMT(Loans[[#This Row],[InterestRate]]/12,Loans[[#This Row],[LoanTenureMonths]],-Loans[[#This Row],[LoanAmount]])</f>
        <v>26869.71828710437</v>
      </c>
      <c r="M689" s="30">
        <f>EDATE(Loans[[#This Row],[LoanStartDate]],Loans[[#This Row],[LoanTenureMonths]])</f>
        <v>47742</v>
      </c>
      <c r="N689" s="33">
        <f>IF(Loans[[#This Row],[LoanAmount]]=0,0,Loans[[#This Row],[CollateralValue]]/Loans[[#This Row],[LoanAmount]])</f>
        <v>0</v>
      </c>
      <c r="O689" t="str">
        <f>IF(Loans[[#This Row],[CollateralCoverageRatio]]&lt;1,"Undersecured","Secured")</f>
        <v>Undersecured</v>
      </c>
      <c r="P689" t="str">
        <f>_xlfn.XLOOKUP(Loans[[#This Row],[BranchCode]],BranchesTbl[BranchCode],BranchesTbl[BranchName])</f>
        <v>Karen</v>
      </c>
      <c r="Q689">
        <f>_xlfn.XLOOKUP(Loans[[#This Row],[CustomerID]],CustomerTbl[CustomerID],CustomerTbl[RiskScore])</f>
        <v>655</v>
      </c>
      <c r="R689" t="str">
        <f>IFERROR(INDEX(RiskTbl[Risk_Category],MATCH(Loans[[#This Row],[RiskScore]],RiskTbl[Score_Min],1)),"Unknown")</f>
        <v>Medium Risk</v>
      </c>
      <c r="S689" t="str">
        <f>IF(OR(Loans[[#This Row],[LoanStatus]]="Default",Loans[[#This Row],[LoanStatus]]="Watchlist",Loans[[#This Row],[CollateralRisk]]="Undersecured",Loans[[#This Row],[RiskCategory]]="High Risk"),"High Risk Exposure","Normal")</f>
        <v>High Risk Exposure</v>
      </c>
      <c r="T689" t="str" cm="1">
        <f t="array" ref="T689">_xlfn.IFS(
Loans[[#This Row],[LoanStatus]]="Default","Critical",
OR(Loans[[#This Row],[LoanStatus]]="Watchlist",Loans[[#This Row],[CollateralRisk]]="Undersecured",Loans[[#This Row],[RiskCategory]]="High Risk"),"High",
TRUE,"Normal"
)</f>
        <v>High</v>
      </c>
    </row>
    <row r="690" spans="1:20" x14ac:dyDescent="0.35">
      <c r="A690" t="s">
        <v>1308</v>
      </c>
      <c r="B690" t="s">
        <v>1309</v>
      </c>
      <c r="C690" t="s">
        <v>267</v>
      </c>
      <c r="D690" t="s">
        <v>158</v>
      </c>
      <c r="E690" s="34">
        <v>1000000</v>
      </c>
      <c r="F690" s="29">
        <v>0.16109999999999999</v>
      </c>
      <c r="G690" s="30">
        <v>44016</v>
      </c>
      <c r="H690">
        <v>12</v>
      </c>
      <c r="I690">
        <v>0</v>
      </c>
      <c r="J690" s="34">
        <v>1060000</v>
      </c>
      <c r="K690" t="s">
        <v>171</v>
      </c>
      <c r="L690" s="34">
        <f>PMT(Loans[[#This Row],[InterestRate]]/12,Loans[[#This Row],[LoanTenureMonths]],-Loans[[#This Row],[LoanAmount]])</f>
        <v>90782.920241989399</v>
      </c>
      <c r="M690" s="30">
        <f>EDATE(Loans[[#This Row],[LoanStartDate]],Loans[[#This Row],[LoanTenureMonths]])</f>
        <v>44381</v>
      </c>
      <c r="N690" s="33">
        <f>IF(Loans[[#This Row],[LoanAmount]]=0,0,Loans[[#This Row],[CollateralValue]]/Loans[[#This Row],[LoanAmount]])</f>
        <v>1.06</v>
      </c>
      <c r="O690" t="str">
        <f>IF(Loans[[#This Row],[CollateralCoverageRatio]]&lt;1,"Undersecured","Secured")</f>
        <v>Secured</v>
      </c>
      <c r="P690" t="str">
        <f>_xlfn.XLOOKUP(Loans[[#This Row],[BranchCode]],BranchesTbl[BranchCode],BranchesTbl[BranchName])</f>
        <v>Malindi</v>
      </c>
      <c r="Q690">
        <f>_xlfn.XLOOKUP(Loans[[#This Row],[CustomerID]],CustomerTbl[CustomerID],CustomerTbl[RiskScore])</f>
        <v>572</v>
      </c>
      <c r="R690" t="str">
        <f>IFERROR(INDEX(RiskTbl[Risk_Category],MATCH(Loans[[#This Row],[RiskScore]],RiskTbl[Score_Min],1)),"Unknown")</f>
        <v>High Risk</v>
      </c>
      <c r="S690" t="str">
        <f>IF(OR(Loans[[#This Row],[LoanStatus]]="Default",Loans[[#This Row],[LoanStatus]]="Watchlist",Loans[[#This Row],[CollateralRisk]]="Undersecured",Loans[[#This Row],[RiskCategory]]="High Risk"),"High Risk Exposure","Normal")</f>
        <v>High Risk Exposure</v>
      </c>
      <c r="T690" t="str" cm="1">
        <f t="array" ref="T690">_xlfn.IFS(
Loans[[#This Row],[LoanStatus]]="Default","Critical",
OR(Loans[[#This Row],[LoanStatus]]="Watchlist",Loans[[#This Row],[CollateralRisk]]="Undersecured",Loans[[#This Row],[RiskCategory]]="High Risk"),"High",
TRUE,"Normal"
)</f>
        <v>High</v>
      </c>
    </row>
    <row r="691" spans="1:20" x14ac:dyDescent="0.35">
      <c r="A691" t="s">
        <v>1310</v>
      </c>
      <c r="B691" t="s">
        <v>1311</v>
      </c>
      <c r="C691" t="s">
        <v>206</v>
      </c>
      <c r="D691" t="s">
        <v>155</v>
      </c>
      <c r="E691" s="34">
        <v>250000</v>
      </c>
      <c r="F691" s="29">
        <v>0.2346</v>
      </c>
      <c r="G691" s="30">
        <v>44192</v>
      </c>
      <c r="H691">
        <v>48</v>
      </c>
      <c r="I691">
        <v>0</v>
      </c>
      <c r="J691" s="34">
        <v>0</v>
      </c>
      <c r="K691" t="s">
        <v>171</v>
      </c>
      <c r="L691" s="34">
        <f>PMT(Loans[[#This Row],[InterestRate]]/12,Loans[[#This Row],[LoanTenureMonths]],-Loans[[#This Row],[LoanAmount]])</f>
        <v>8076.0060415410335</v>
      </c>
      <c r="M691" s="30">
        <f>EDATE(Loans[[#This Row],[LoanStartDate]],Loans[[#This Row],[LoanTenureMonths]])</f>
        <v>45653</v>
      </c>
      <c r="N691" s="33">
        <f>IF(Loans[[#This Row],[LoanAmount]]=0,0,Loans[[#This Row],[CollateralValue]]/Loans[[#This Row],[LoanAmount]])</f>
        <v>0</v>
      </c>
      <c r="O691" t="str">
        <f>IF(Loans[[#This Row],[CollateralCoverageRatio]]&lt;1,"Undersecured","Secured")</f>
        <v>Undersecured</v>
      </c>
      <c r="P691" t="str">
        <f>_xlfn.XLOOKUP(Loans[[#This Row],[BranchCode]],BranchesTbl[BranchCode],BranchesTbl[BranchName])</f>
        <v>Nyahururu</v>
      </c>
      <c r="Q691">
        <f>_xlfn.XLOOKUP(Loans[[#This Row],[CustomerID]],CustomerTbl[CustomerID],CustomerTbl[RiskScore])</f>
        <v>501</v>
      </c>
      <c r="R691" t="str">
        <f>IFERROR(INDEX(RiskTbl[Risk_Category],MATCH(Loans[[#This Row],[RiskScore]],RiskTbl[Score_Min],1)),"Unknown")</f>
        <v>High Risk</v>
      </c>
      <c r="S691" t="str">
        <f>IF(OR(Loans[[#This Row],[LoanStatus]]="Default",Loans[[#This Row],[LoanStatus]]="Watchlist",Loans[[#This Row],[CollateralRisk]]="Undersecured",Loans[[#This Row],[RiskCategory]]="High Risk"),"High Risk Exposure","Normal")</f>
        <v>High Risk Exposure</v>
      </c>
      <c r="T691" t="str" cm="1">
        <f t="array" ref="T691">_xlfn.IFS(
Loans[[#This Row],[LoanStatus]]="Default","Critical",
OR(Loans[[#This Row],[LoanStatus]]="Watchlist",Loans[[#This Row],[CollateralRisk]]="Undersecured",Loans[[#This Row],[RiskCategory]]="High Risk"),"High",
TRUE,"Normal"
)</f>
        <v>High</v>
      </c>
    </row>
    <row r="692" spans="1:20" x14ac:dyDescent="0.35">
      <c r="A692" t="s">
        <v>1312</v>
      </c>
      <c r="B692" t="s">
        <v>1313</v>
      </c>
      <c r="C692" t="s">
        <v>193</v>
      </c>
      <c r="D692" t="s">
        <v>155</v>
      </c>
      <c r="E692" s="34">
        <v>1000000</v>
      </c>
      <c r="F692" s="29">
        <v>0.26829999999999998</v>
      </c>
      <c r="G692" s="30">
        <v>44621</v>
      </c>
      <c r="H692">
        <v>48</v>
      </c>
      <c r="I692">
        <v>0</v>
      </c>
      <c r="J692" s="34">
        <v>0</v>
      </c>
      <c r="K692" t="s">
        <v>171</v>
      </c>
      <c r="L692" s="34">
        <f>PMT(Loans[[#This Row],[InterestRate]]/12,Loans[[#This Row],[LoanTenureMonths]],-Loans[[#This Row],[LoanAmount]])</f>
        <v>34185.934575332263</v>
      </c>
      <c r="M692" s="30">
        <f>EDATE(Loans[[#This Row],[LoanStartDate]],Loans[[#This Row],[LoanTenureMonths]])</f>
        <v>46082</v>
      </c>
      <c r="N692" s="33">
        <f>IF(Loans[[#This Row],[LoanAmount]]=0,0,Loans[[#This Row],[CollateralValue]]/Loans[[#This Row],[LoanAmount]])</f>
        <v>0</v>
      </c>
      <c r="O692" t="str">
        <f>IF(Loans[[#This Row],[CollateralCoverageRatio]]&lt;1,"Undersecured","Secured")</f>
        <v>Undersecured</v>
      </c>
      <c r="P692" t="str">
        <f>_xlfn.XLOOKUP(Loans[[#This Row],[BranchCode]],BranchesTbl[BranchCode],BranchesTbl[BranchName])</f>
        <v>Mombasa</v>
      </c>
      <c r="Q692">
        <f>_xlfn.XLOOKUP(Loans[[#This Row],[CustomerID]],CustomerTbl[CustomerID],CustomerTbl[RiskScore])</f>
        <v>652</v>
      </c>
      <c r="R692" t="str">
        <f>IFERROR(INDEX(RiskTbl[Risk_Category],MATCH(Loans[[#This Row],[RiskScore]],RiskTbl[Score_Min],1)),"Unknown")</f>
        <v>Medium Risk</v>
      </c>
      <c r="S692" t="str">
        <f>IF(OR(Loans[[#This Row],[LoanStatus]]="Default",Loans[[#This Row],[LoanStatus]]="Watchlist",Loans[[#This Row],[CollateralRisk]]="Undersecured",Loans[[#This Row],[RiskCategory]]="High Risk"),"High Risk Exposure","Normal")</f>
        <v>High Risk Exposure</v>
      </c>
      <c r="T692" t="str" cm="1">
        <f t="array" ref="T692">_xlfn.IFS(
Loans[[#This Row],[LoanStatus]]="Default","Critical",
OR(Loans[[#This Row],[LoanStatus]]="Watchlist",Loans[[#This Row],[CollateralRisk]]="Undersecured",Loans[[#This Row],[RiskCategory]]="High Risk"),"High",
TRUE,"Normal"
)</f>
        <v>High</v>
      </c>
    </row>
    <row r="693" spans="1:20" x14ac:dyDescent="0.35">
      <c r="A693" t="s">
        <v>1314</v>
      </c>
      <c r="B693" t="s">
        <v>893</v>
      </c>
      <c r="C693" t="s">
        <v>219</v>
      </c>
      <c r="D693" t="s">
        <v>156</v>
      </c>
      <c r="E693" s="34">
        <v>25000000</v>
      </c>
      <c r="F693" s="29">
        <v>0.2361</v>
      </c>
      <c r="G693" s="30">
        <v>45121</v>
      </c>
      <c r="H693">
        <v>24</v>
      </c>
      <c r="I693">
        <v>120</v>
      </c>
      <c r="J693" s="34">
        <v>23500000</v>
      </c>
      <c r="K693" t="s">
        <v>178</v>
      </c>
      <c r="L693" s="34">
        <f>PMT(Loans[[#This Row],[InterestRate]]/12,Loans[[#This Row],[LoanTenureMonths]],-Loans[[#This Row],[LoanAmount]])</f>
        <v>1316916.1293848506</v>
      </c>
      <c r="M693" s="30">
        <f>EDATE(Loans[[#This Row],[LoanStartDate]],Loans[[#This Row],[LoanTenureMonths]])</f>
        <v>45852</v>
      </c>
      <c r="N693" s="33">
        <f>IF(Loans[[#This Row],[LoanAmount]]=0,0,Loans[[#This Row],[CollateralValue]]/Loans[[#This Row],[LoanAmount]])</f>
        <v>0.94</v>
      </c>
      <c r="O693" t="str">
        <f>IF(Loans[[#This Row],[CollateralCoverageRatio]]&lt;1,"Undersecured","Secured")</f>
        <v>Undersecured</v>
      </c>
      <c r="P693" t="str">
        <f>_xlfn.XLOOKUP(Loans[[#This Row],[BranchCode]],BranchesTbl[BranchCode],BranchesTbl[BranchName])</f>
        <v>Meru</v>
      </c>
      <c r="Q693">
        <f>_xlfn.XLOOKUP(Loans[[#This Row],[CustomerID]],CustomerTbl[CustomerID],CustomerTbl[RiskScore])</f>
        <v>764</v>
      </c>
      <c r="R693" t="str">
        <f>IFERROR(INDEX(RiskTbl[Risk_Category],MATCH(Loans[[#This Row],[RiskScore]],RiskTbl[Score_Min],1)),"Unknown")</f>
        <v>Very Low Risk</v>
      </c>
      <c r="S693" t="str">
        <f>IF(OR(Loans[[#This Row],[LoanStatus]]="Default",Loans[[#This Row],[LoanStatus]]="Watchlist",Loans[[#This Row],[CollateralRisk]]="Undersecured",Loans[[#This Row],[RiskCategory]]="High Risk"),"High Risk Exposure","Normal")</f>
        <v>High Risk Exposure</v>
      </c>
      <c r="T693" t="str" cm="1">
        <f t="array" ref="T693">_xlfn.IFS(
Loans[[#This Row],[LoanStatus]]="Default","Critical",
OR(Loans[[#This Row],[LoanStatus]]="Watchlist",Loans[[#This Row],[CollateralRisk]]="Undersecured",Loans[[#This Row],[RiskCategory]]="High Risk"),"High",
TRUE,"Normal"
)</f>
        <v>Critical</v>
      </c>
    </row>
    <row r="694" spans="1:20" x14ac:dyDescent="0.35">
      <c r="A694" t="s">
        <v>1315</v>
      </c>
      <c r="B694" t="s">
        <v>400</v>
      </c>
      <c r="C694" t="s">
        <v>181</v>
      </c>
      <c r="D694" t="s">
        <v>157</v>
      </c>
      <c r="E694" s="34">
        <v>6000000</v>
      </c>
      <c r="F694" s="29">
        <v>0.1333</v>
      </c>
      <c r="G694" s="30">
        <v>44584</v>
      </c>
      <c r="H694">
        <v>60</v>
      </c>
      <c r="I694">
        <v>0</v>
      </c>
      <c r="J694" s="34">
        <v>3060000</v>
      </c>
      <c r="K694" t="s">
        <v>171</v>
      </c>
      <c r="L694" s="34">
        <f>PMT(Loans[[#This Row],[InterestRate]]/12,Loans[[#This Row],[LoanTenureMonths]],-Loans[[#This Row],[LoanAmount]])</f>
        <v>137534.15875547938</v>
      </c>
      <c r="M694" s="30">
        <f>EDATE(Loans[[#This Row],[LoanStartDate]],Loans[[#This Row],[LoanTenureMonths]])</f>
        <v>46410</v>
      </c>
      <c r="N694" s="33">
        <f>IF(Loans[[#This Row],[LoanAmount]]=0,0,Loans[[#This Row],[CollateralValue]]/Loans[[#This Row],[LoanAmount]])</f>
        <v>0.51</v>
      </c>
      <c r="O694" t="str">
        <f>IF(Loans[[#This Row],[CollateralCoverageRatio]]&lt;1,"Undersecured","Secured")</f>
        <v>Undersecured</v>
      </c>
      <c r="P694" t="str">
        <f>_xlfn.XLOOKUP(Loans[[#This Row],[BranchCode]],BranchesTbl[BranchCode],BranchesTbl[BranchName])</f>
        <v>Kitale</v>
      </c>
      <c r="Q694">
        <f>_xlfn.XLOOKUP(Loans[[#This Row],[CustomerID]],CustomerTbl[CustomerID],CustomerTbl[RiskScore])</f>
        <v>724</v>
      </c>
      <c r="R694" t="str">
        <f>IFERROR(INDEX(RiskTbl[Risk_Category],MATCH(Loans[[#This Row],[RiskScore]],RiskTbl[Score_Min],1)),"Unknown")</f>
        <v>Low Risk</v>
      </c>
      <c r="S694" t="str">
        <f>IF(OR(Loans[[#This Row],[LoanStatus]]="Default",Loans[[#This Row],[LoanStatus]]="Watchlist",Loans[[#This Row],[CollateralRisk]]="Undersecured",Loans[[#This Row],[RiskCategory]]="High Risk"),"High Risk Exposure","Normal")</f>
        <v>High Risk Exposure</v>
      </c>
      <c r="T694" t="str" cm="1">
        <f t="array" ref="T694">_xlfn.IFS(
Loans[[#This Row],[LoanStatus]]="Default","Critical",
OR(Loans[[#This Row],[LoanStatus]]="Watchlist",Loans[[#This Row],[CollateralRisk]]="Undersecured",Loans[[#This Row],[RiskCategory]]="High Risk"),"High",
TRUE,"Normal"
)</f>
        <v>High</v>
      </c>
    </row>
    <row r="695" spans="1:20" x14ac:dyDescent="0.35">
      <c r="A695" t="s">
        <v>1316</v>
      </c>
      <c r="B695" t="s">
        <v>428</v>
      </c>
      <c r="C695" t="s">
        <v>196</v>
      </c>
      <c r="D695" t="s">
        <v>158</v>
      </c>
      <c r="E695" s="34">
        <v>500000</v>
      </c>
      <c r="F695" s="29">
        <v>0.1701</v>
      </c>
      <c r="G695" s="30">
        <v>45544</v>
      </c>
      <c r="H695">
        <v>48</v>
      </c>
      <c r="I695">
        <v>0</v>
      </c>
      <c r="J695" s="34">
        <v>575000</v>
      </c>
      <c r="K695" t="s">
        <v>171</v>
      </c>
      <c r="L695" s="34">
        <f>PMT(Loans[[#This Row],[InterestRate]]/12,Loans[[#This Row],[LoanTenureMonths]],-Loans[[#This Row],[LoanAmount]])</f>
        <v>14430.108108801929</v>
      </c>
      <c r="M695" s="30">
        <f>EDATE(Loans[[#This Row],[LoanStartDate]],Loans[[#This Row],[LoanTenureMonths]])</f>
        <v>47005</v>
      </c>
      <c r="N695" s="33">
        <f>IF(Loans[[#This Row],[LoanAmount]]=0,0,Loans[[#This Row],[CollateralValue]]/Loans[[#This Row],[LoanAmount]])</f>
        <v>1.1499999999999999</v>
      </c>
      <c r="O695" t="str">
        <f>IF(Loans[[#This Row],[CollateralCoverageRatio]]&lt;1,"Undersecured","Secured")</f>
        <v>Secured</v>
      </c>
      <c r="P695" t="str">
        <f>_xlfn.XLOOKUP(Loans[[#This Row],[BranchCode]],BranchesTbl[BranchCode],BranchesTbl[BranchName])</f>
        <v>Karen</v>
      </c>
      <c r="Q695">
        <f>_xlfn.XLOOKUP(Loans[[#This Row],[CustomerID]],CustomerTbl[CustomerID],CustomerTbl[RiskScore])</f>
        <v>502</v>
      </c>
      <c r="R695" t="str">
        <f>IFERROR(INDEX(RiskTbl[Risk_Category],MATCH(Loans[[#This Row],[RiskScore]],RiskTbl[Score_Min],1)),"Unknown")</f>
        <v>High Risk</v>
      </c>
      <c r="S695" t="str">
        <f>IF(OR(Loans[[#This Row],[LoanStatus]]="Default",Loans[[#This Row],[LoanStatus]]="Watchlist",Loans[[#This Row],[CollateralRisk]]="Undersecured",Loans[[#This Row],[RiskCategory]]="High Risk"),"High Risk Exposure","Normal")</f>
        <v>High Risk Exposure</v>
      </c>
      <c r="T695" t="str" cm="1">
        <f t="array" ref="T695">_xlfn.IFS(
Loans[[#This Row],[LoanStatus]]="Default","Critical",
OR(Loans[[#This Row],[LoanStatus]]="Watchlist",Loans[[#This Row],[CollateralRisk]]="Undersecured",Loans[[#This Row],[RiskCategory]]="High Risk"),"High",
TRUE,"Normal"
)</f>
        <v>High</v>
      </c>
    </row>
    <row r="696" spans="1:20" x14ac:dyDescent="0.35">
      <c r="A696" t="s">
        <v>1317</v>
      </c>
      <c r="B696" t="s">
        <v>910</v>
      </c>
      <c r="C696" t="s">
        <v>177</v>
      </c>
      <c r="D696" t="s">
        <v>156</v>
      </c>
      <c r="E696" s="34">
        <v>3000000</v>
      </c>
      <c r="F696" s="29">
        <v>0.2271</v>
      </c>
      <c r="G696" s="30">
        <v>44751</v>
      </c>
      <c r="H696">
        <v>48</v>
      </c>
      <c r="I696">
        <v>0</v>
      </c>
      <c r="J696" s="34">
        <v>3240000</v>
      </c>
      <c r="K696" t="s">
        <v>171</v>
      </c>
      <c r="L696" s="34">
        <f>PMT(Loans[[#This Row],[InterestRate]]/12,Loans[[#This Row],[LoanTenureMonths]],-Loans[[#This Row],[LoanAmount]])</f>
        <v>95678.381583275055</v>
      </c>
      <c r="M696" s="30">
        <f>EDATE(Loans[[#This Row],[LoanStartDate]],Loans[[#This Row],[LoanTenureMonths]])</f>
        <v>46212</v>
      </c>
      <c r="N696" s="33">
        <f>IF(Loans[[#This Row],[LoanAmount]]=0,0,Loans[[#This Row],[CollateralValue]]/Loans[[#This Row],[LoanAmount]])</f>
        <v>1.08</v>
      </c>
      <c r="O696" t="str">
        <f>IF(Loans[[#This Row],[CollateralCoverageRatio]]&lt;1,"Undersecured","Secured")</f>
        <v>Secured</v>
      </c>
      <c r="P696" t="str">
        <f>_xlfn.XLOOKUP(Loans[[#This Row],[BranchCode]],BranchesTbl[BranchCode],BranchesTbl[BranchName])</f>
        <v>Naivasha</v>
      </c>
      <c r="Q696">
        <f>_xlfn.XLOOKUP(Loans[[#This Row],[CustomerID]],CustomerTbl[CustomerID],CustomerTbl[RiskScore])</f>
        <v>518</v>
      </c>
      <c r="R696" t="str">
        <f>IFERROR(INDEX(RiskTbl[Risk_Category],MATCH(Loans[[#This Row],[RiskScore]],RiskTbl[Score_Min],1)),"Unknown")</f>
        <v>High Risk</v>
      </c>
      <c r="S696" t="str">
        <f>IF(OR(Loans[[#This Row],[LoanStatus]]="Default",Loans[[#This Row],[LoanStatus]]="Watchlist",Loans[[#This Row],[CollateralRisk]]="Undersecured",Loans[[#This Row],[RiskCategory]]="High Risk"),"High Risk Exposure","Normal")</f>
        <v>High Risk Exposure</v>
      </c>
      <c r="T696" t="str" cm="1">
        <f t="array" ref="T696">_xlfn.IFS(
Loans[[#This Row],[LoanStatus]]="Default","Critical",
OR(Loans[[#This Row],[LoanStatus]]="Watchlist",Loans[[#This Row],[CollateralRisk]]="Undersecured",Loans[[#This Row],[RiskCategory]]="High Risk"),"High",
TRUE,"Normal"
)</f>
        <v>High</v>
      </c>
    </row>
    <row r="697" spans="1:20" x14ac:dyDescent="0.35">
      <c r="A697" t="s">
        <v>1318</v>
      </c>
      <c r="B697" t="s">
        <v>625</v>
      </c>
      <c r="C697" t="s">
        <v>239</v>
      </c>
      <c r="D697" t="s">
        <v>157</v>
      </c>
      <c r="E697" s="34">
        <v>25000000</v>
      </c>
      <c r="F697" s="29">
        <v>0.1295</v>
      </c>
      <c r="G697" s="30">
        <v>45704</v>
      </c>
      <c r="H697">
        <v>24</v>
      </c>
      <c r="I697">
        <v>0</v>
      </c>
      <c r="J697" s="34">
        <v>37250000</v>
      </c>
      <c r="K697" t="s">
        <v>171</v>
      </c>
      <c r="L697" s="34">
        <f>PMT(Loans[[#This Row],[InterestRate]]/12,Loans[[#This Row],[LoanTenureMonths]],-Loans[[#This Row],[LoanAmount]])</f>
        <v>1187958.5162340319</v>
      </c>
      <c r="M697" s="30">
        <f>EDATE(Loans[[#This Row],[LoanStartDate]],Loans[[#This Row],[LoanTenureMonths]])</f>
        <v>46434</v>
      </c>
      <c r="N697" s="33">
        <f>IF(Loans[[#This Row],[LoanAmount]]=0,0,Loans[[#This Row],[CollateralValue]]/Loans[[#This Row],[LoanAmount]])</f>
        <v>1.49</v>
      </c>
      <c r="O697" t="str">
        <f>IF(Loans[[#This Row],[CollateralCoverageRatio]]&lt;1,"Undersecured","Secured")</f>
        <v>Secured</v>
      </c>
      <c r="P697" t="str">
        <f>_xlfn.XLOOKUP(Loans[[#This Row],[BranchCode]],BranchesTbl[BranchCode],BranchesTbl[BranchName])</f>
        <v>Machakos</v>
      </c>
      <c r="Q697">
        <f>_xlfn.XLOOKUP(Loans[[#This Row],[CustomerID]],CustomerTbl[CustomerID],CustomerTbl[RiskScore])</f>
        <v>787</v>
      </c>
      <c r="R697" t="str">
        <f>IFERROR(INDEX(RiskTbl[Risk_Category],MATCH(Loans[[#This Row],[RiskScore]],RiskTbl[Score_Min],1)),"Unknown")</f>
        <v>Very Low Risk</v>
      </c>
      <c r="S697" t="str">
        <f>IF(OR(Loans[[#This Row],[LoanStatus]]="Default",Loans[[#This Row],[LoanStatus]]="Watchlist",Loans[[#This Row],[CollateralRisk]]="Undersecured",Loans[[#This Row],[RiskCategory]]="High Risk"),"High Risk Exposure","Normal")</f>
        <v>Normal</v>
      </c>
      <c r="T697" t="str" cm="1">
        <f t="array" ref="T697">_xlfn.IFS(
Loans[[#This Row],[LoanStatus]]="Default","Critical",
OR(Loans[[#This Row],[LoanStatus]]="Watchlist",Loans[[#This Row],[CollateralRisk]]="Undersecured",Loans[[#This Row],[RiskCategory]]="High Risk"),"High",
TRUE,"Normal"
)</f>
        <v>Normal</v>
      </c>
    </row>
    <row r="698" spans="1:20" x14ac:dyDescent="0.35">
      <c r="A698" t="s">
        <v>1319</v>
      </c>
      <c r="B698" t="s">
        <v>1320</v>
      </c>
      <c r="C698" t="s">
        <v>270</v>
      </c>
      <c r="D698" t="s">
        <v>156</v>
      </c>
      <c r="E698" s="34">
        <v>25000000</v>
      </c>
      <c r="F698" s="29">
        <v>0.21809999999999999</v>
      </c>
      <c r="G698" s="30">
        <v>45214</v>
      </c>
      <c r="H698">
        <v>24</v>
      </c>
      <c r="I698">
        <v>20</v>
      </c>
      <c r="J698" s="34">
        <v>34500000</v>
      </c>
      <c r="K698" t="s">
        <v>171</v>
      </c>
      <c r="L698" s="34">
        <f>PMT(Loans[[#This Row],[InterestRate]]/12,Loans[[#This Row],[LoanTenureMonths]],-Loans[[#This Row],[LoanAmount]])</f>
        <v>1294609.3742518893</v>
      </c>
      <c r="M698" s="30">
        <f>EDATE(Loans[[#This Row],[LoanStartDate]],Loans[[#This Row],[LoanTenureMonths]])</f>
        <v>45945</v>
      </c>
      <c r="N698" s="33">
        <f>IF(Loans[[#This Row],[LoanAmount]]=0,0,Loans[[#This Row],[CollateralValue]]/Loans[[#This Row],[LoanAmount]])</f>
        <v>1.38</v>
      </c>
      <c r="O698" t="str">
        <f>IF(Loans[[#This Row],[CollateralCoverageRatio]]&lt;1,"Undersecured","Secured")</f>
        <v>Secured</v>
      </c>
      <c r="P698" t="str">
        <f>_xlfn.XLOOKUP(Loans[[#This Row],[BranchCode]],BranchesTbl[BranchCode],BranchesTbl[BranchName])</f>
        <v>Nakuru</v>
      </c>
      <c r="Q698">
        <f>_xlfn.XLOOKUP(Loans[[#This Row],[CustomerID]],CustomerTbl[CustomerID],CustomerTbl[RiskScore])</f>
        <v>627</v>
      </c>
      <c r="R698" t="str">
        <f>IFERROR(INDEX(RiskTbl[Risk_Category],MATCH(Loans[[#This Row],[RiskScore]],RiskTbl[Score_Min],1)),"Unknown")</f>
        <v>Medium Risk</v>
      </c>
      <c r="S698" t="str">
        <f>IF(OR(Loans[[#This Row],[LoanStatus]]="Default",Loans[[#This Row],[LoanStatus]]="Watchlist",Loans[[#This Row],[CollateralRisk]]="Undersecured",Loans[[#This Row],[RiskCategory]]="High Risk"),"High Risk Exposure","Normal")</f>
        <v>Normal</v>
      </c>
      <c r="T698" t="str" cm="1">
        <f t="array" ref="T698">_xlfn.IFS(
Loans[[#This Row],[LoanStatus]]="Default","Critical",
OR(Loans[[#This Row],[LoanStatus]]="Watchlist",Loans[[#This Row],[CollateralRisk]]="Undersecured",Loans[[#This Row],[RiskCategory]]="High Risk"),"High",
TRUE,"Normal"
)</f>
        <v>Normal</v>
      </c>
    </row>
    <row r="699" spans="1:20" x14ac:dyDescent="0.35">
      <c r="A699" t="s">
        <v>1321</v>
      </c>
      <c r="B699" t="s">
        <v>596</v>
      </c>
      <c r="C699" t="s">
        <v>174</v>
      </c>
      <c r="D699" t="s">
        <v>158</v>
      </c>
      <c r="E699" s="34">
        <v>500000</v>
      </c>
      <c r="F699" s="29">
        <v>0.13289999999999999</v>
      </c>
      <c r="G699" s="30">
        <v>45849</v>
      </c>
      <c r="H699">
        <v>72</v>
      </c>
      <c r="I699">
        <v>0</v>
      </c>
      <c r="J699" s="34">
        <v>515000</v>
      </c>
      <c r="K699" t="s">
        <v>171</v>
      </c>
      <c r="L699" s="34">
        <f>PMT(Loans[[#This Row],[InterestRate]]/12,Loans[[#This Row],[LoanTenureMonths]],-Loans[[#This Row],[LoanAmount]])</f>
        <v>10113.743879730984</v>
      </c>
      <c r="M699" s="30">
        <f>EDATE(Loans[[#This Row],[LoanStartDate]],Loans[[#This Row],[LoanTenureMonths]])</f>
        <v>48040</v>
      </c>
      <c r="N699" s="33">
        <f>IF(Loans[[#This Row],[LoanAmount]]=0,0,Loans[[#This Row],[CollateralValue]]/Loans[[#This Row],[LoanAmount]])</f>
        <v>1.03</v>
      </c>
      <c r="O699" t="str">
        <f>IF(Loans[[#This Row],[CollateralCoverageRatio]]&lt;1,"Undersecured","Secured")</f>
        <v>Secured</v>
      </c>
      <c r="P699" t="str">
        <f>_xlfn.XLOOKUP(Loans[[#This Row],[BranchCode]],BranchesTbl[BranchCode],BranchesTbl[BranchName])</f>
        <v>Westlands</v>
      </c>
      <c r="Q699">
        <f>_xlfn.XLOOKUP(Loans[[#This Row],[CustomerID]],CustomerTbl[CustomerID],CustomerTbl[RiskScore])</f>
        <v>444</v>
      </c>
      <c r="R699" t="str">
        <f>IFERROR(INDEX(RiskTbl[Risk_Category],MATCH(Loans[[#This Row],[RiskScore]],RiskTbl[Score_Min],1)),"Unknown")</f>
        <v>High Risk</v>
      </c>
      <c r="S699" t="str">
        <f>IF(OR(Loans[[#This Row],[LoanStatus]]="Default",Loans[[#This Row],[LoanStatus]]="Watchlist",Loans[[#This Row],[CollateralRisk]]="Undersecured",Loans[[#This Row],[RiskCategory]]="High Risk"),"High Risk Exposure","Normal")</f>
        <v>High Risk Exposure</v>
      </c>
      <c r="T699" t="str" cm="1">
        <f t="array" ref="T699">_xlfn.IFS(
Loans[[#This Row],[LoanStatus]]="Default","Critical",
OR(Loans[[#This Row],[LoanStatus]]="Watchlist",Loans[[#This Row],[CollateralRisk]]="Undersecured",Loans[[#This Row],[RiskCategory]]="High Risk"),"High",
TRUE,"Normal"
)</f>
        <v>High</v>
      </c>
    </row>
    <row r="700" spans="1:20" x14ac:dyDescent="0.35">
      <c r="A700" t="s">
        <v>1322</v>
      </c>
      <c r="B700" t="s">
        <v>272</v>
      </c>
      <c r="C700" t="s">
        <v>174</v>
      </c>
      <c r="D700" t="s">
        <v>155</v>
      </c>
      <c r="E700" s="34">
        <v>250000</v>
      </c>
      <c r="F700" s="29">
        <v>0.17399999999999999</v>
      </c>
      <c r="G700" s="30">
        <v>45854</v>
      </c>
      <c r="H700">
        <v>60</v>
      </c>
      <c r="I700">
        <v>90</v>
      </c>
      <c r="J700" s="34">
        <v>0</v>
      </c>
      <c r="K700" t="s">
        <v>199</v>
      </c>
      <c r="L700" s="34">
        <f>PMT(Loans[[#This Row],[InterestRate]]/12,Loans[[#This Row],[LoanTenureMonths]],-Loans[[#This Row],[LoanAmount]])</f>
        <v>6267.0399580072262</v>
      </c>
      <c r="M700" s="30">
        <f>EDATE(Loans[[#This Row],[LoanStartDate]],Loans[[#This Row],[LoanTenureMonths]])</f>
        <v>47680</v>
      </c>
      <c r="N700" s="33">
        <f>IF(Loans[[#This Row],[LoanAmount]]=0,0,Loans[[#This Row],[CollateralValue]]/Loans[[#This Row],[LoanAmount]])</f>
        <v>0</v>
      </c>
      <c r="O700" t="str">
        <f>IF(Loans[[#This Row],[CollateralCoverageRatio]]&lt;1,"Undersecured","Secured")</f>
        <v>Undersecured</v>
      </c>
      <c r="P700" t="str">
        <f>_xlfn.XLOOKUP(Loans[[#This Row],[BranchCode]],BranchesTbl[BranchCode],BranchesTbl[BranchName])</f>
        <v>Westlands</v>
      </c>
      <c r="Q700">
        <f>_xlfn.XLOOKUP(Loans[[#This Row],[CustomerID]],CustomerTbl[CustomerID],CustomerTbl[RiskScore])</f>
        <v>661</v>
      </c>
      <c r="R700" t="str">
        <f>IFERROR(INDEX(RiskTbl[Risk_Category],MATCH(Loans[[#This Row],[RiskScore]],RiskTbl[Score_Min],1)),"Unknown")</f>
        <v>Medium Risk</v>
      </c>
      <c r="S700" t="str">
        <f>IF(OR(Loans[[#This Row],[LoanStatus]]="Default",Loans[[#This Row],[LoanStatus]]="Watchlist",Loans[[#This Row],[CollateralRisk]]="Undersecured",Loans[[#This Row],[RiskCategory]]="High Risk"),"High Risk Exposure","Normal")</f>
        <v>High Risk Exposure</v>
      </c>
      <c r="T700" t="str" cm="1">
        <f t="array" ref="T700">_xlfn.IFS(
Loans[[#This Row],[LoanStatus]]="Default","Critical",
OR(Loans[[#This Row],[LoanStatus]]="Watchlist",Loans[[#This Row],[CollateralRisk]]="Undersecured",Loans[[#This Row],[RiskCategory]]="High Risk"),"High",
TRUE,"Normal"
)</f>
        <v>High</v>
      </c>
    </row>
    <row r="701" spans="1:20" x14ac:dyDescent="0.35">
      <c r="A701" t="s">
        <v>1323</v>
      </c>
      <c r="B701" t="s">
        <v>320</v>
      </c>
      <c r="C701" t="s">
        <v>181</v>
      </c>
      <c r="D701" t="s">
        <v>158</v>
      </c>
      <c r="E701" s="34">
        <v>500000</v>
      </c>
      <c r="F701" s="29">
        <v>0.12889999999999999</v>
      </c>
      <c r="G701" s="30">
        <v>44122</v>
      </c>
      <c r="H701">
        <v>60</v>
      </c>
      <c r="I701">
        <v>120</v>
      </c>
      <c r="J701" s="34">
        <v>450000</v>
      </c>
      <c r="K701" t="s">
        <v>178</v>
      </c>
      <c r="L701" s="34">
        <f>PMT(Loans[[#This Row],[InterestRate]]/12,Loans[[#This Row],[LoanTenureMonths]],-Loans[[#This Row],[LoanAmount]])</f>
        <v>11348.401307069953</v>
      </c>
      <c r="M701" s="30">
        <f>EDATE(Loans[[#This Row],[LoanStartDate]],Loans[[#This Row],[LoanTenureMonths]])</f>
        <v>45948</v>
      </c>
      <c r="N701" s="33">
        <f>IF(Loans[[#This Row],[LoanAmount]]=0,0,Loans[[#This Row],[CollateralValue]]/Loans[[#This Row],[LoanAmount]])</f>
        <v>0.9</v>
      </c>
      <c r="O701" t="str">
        <f>IF(Loans[[#This Row],[CollateralCoverageRatio]]&lt;1,"Undersecured","Secured")</f>
        <v>Undersecured</v>
      </c>
      <c r="P701" t="str">
        <f>_xlfn.XLOOKUP(Loans[[#This Row],[BranchCode]],BranchesTbl[BranchCode],BranchesTbl[BranchName])</f>
        <v>Kitale</v>
      </c>
      <c r="Q701">
        <f>_xlfn.XLOOKUP(Loans[[#This Row],[CustomerID]],CustomerTbl[CustomerID],CustomerTbl[RiskScore])</f>
        <v>406</v>
      </c>
      <c r="R701" t="str">
        <f>IFERROR(INDEX(RiskTbl[Risk_Category],MATCH(Loans[[#This Row],[RiskScore]],RiskTbl[Score_Min],1)),"Unknown")</f>
        <v>High Risk</v>
      </c>
      <c r="S701" t="str">
        <f>IF(OR(Loans[[#This Row],[LoanStatus]]="Default",Loans[[#This Row],[LoanStatus]]="Watchlist",Loans[[#This Row],[CollateralRisk]]="Undersecured",Loans[[#This Row],[RiskCategory]]="High Risk"),"High Risk Exposure","Normal")</f>
        <v>High Risk Exposure</v>
      </c>
      <c r="T701" t="str" cm="1">
        <f t="array" ref="T701">_xlfn.IFS(
Loans[[#This Row],[LoanStatus]]="Default","Critical",
OR(Loans[[#This Row],[LoanStatus]]="Watchlist",Loans[[#This Row],[CollateralRisk]]="Undersecured",Loans[[#This Row],[RiskCategory]]="High Risk"),"High",
TRUE,"Normal"
)</f>
        <v>Critical</v>
      </c>
    </row>
    <row r="702" spans="1:20" x14ac:dyDescent="0.35">
      <c r="A702" t="s">
        <v>1324</v>
      </c>
      <c r="B702" t="s">
        <v>1325</v>
      </c>
      <c r="C702" t="s">
        <v>174</v>
      </c>
      <c r="D702" t="s">
        <v>156</v>
      </c>
      <c r="E702" s="34">
        <v>25000000</v>
      </c>
      <c r="F702" s="29">
        <v>0.1623</v>
      </c>
      <c r="G702" s="30">
        <v>44860</v>
      </c>
      <c r="H702">
        <v>60</v>
      </c>
      <c r="I702">
        <v>10</v>
      </c>
      <c r="J702" s="34">
        <v>14250000</v>
      </c>
      <c r="K702" t="s">
        <v>171</v>
      </c>
      <c r="L702" s="34">
        <f>PMT(Loans[[#This Row],[InterestRate]]/12,Loans[[#This Row],[LoanTenureMonths]],-Loans[[#This Row],[LoanAmount]])</f>
        <v>611010.81293592206</v>
      </c>
      <c r="M702" s="30">
        <f>EDATE(Loans[[#This Row],[LoanStartDate]],Loans[[#This Row],[LoanTenureMonths]])</f>
        <v>46686</v>
      </c>
      <c r="N702" s="33">
        <f>IF(Loans[[#This Row],[LoanAmount]]=0,0,Loans[[#This Row],[CollateralValue]]/Loans[[#This Row],[LoanAmount]])</f>
        <v>0.56999999999999995</v>
      </c>
      <c r="O702" t="str">
        <f>IF(Loans[[#This Row],[CollateralCoverageRatio]]&lt;1,"Undersecured","Secured")</f>
        <v>Undersecured</v>
      </c>
      <c r="P702" t="str">
        <f>_xlfn.XLOOKUP(Loans[[#This Row],[BranchCode]],BranchesTbl[BranchCode],BranchesTbl[BranchName])</f>
        <v>Westlands</v>
      </c>
      <c r="Q702">
        <f>_xlfn.XLOOKUP(Loans[[#This Row],[CustomerID]],CustomerTbl[CustomerID],CustomerTbl[RiskScore])</f>
        <v>439</v>
      </c>
      <c r="R702" t="str">
        <f>IFERROR(INDEX(RiskTbl[Risk_Category],MATCH(Loans[[#This Row],[RiskScore]],RiskTbl[Score_Min],1)),"Unknown")</f>
        <v>High Risk</v>
      </c>
      <c r="S702" t="str">
        <f>IF(OR(Loans[[#This Row],[LoanStatus]]="Default",Loans[[#This Row],[LoanStatus]]="Watchlist",Loans[[#This Row],[CollateralRisk]]="Undersecured",Loans[[#This Row],[RiskCategory]]="High Risk"),"High Risk Exposure","Normal")</f>
        <v>High Risk Exposure</v>
      </c>
      <c r="T702" t="str" cm="1">
        <f t="array" ref="T702">_xlfn.IFS(
Loans[[#This Row],[LoanStatus]]="Default","Critical",
OR(Loans[[#This Row],[LoanStatus]]="Watchlist",Loans[[#This Row],[CollateralRisk]]="Undersecured",Loans[[#This Row],[RiskCategory]]="High Risk"),"High",
TRUE,"Normal"
)</f>
        <v>High</v>
      </c>
    </row>
    <row r="703" spans="1:20" x14ac:dyDescent="0.35">
      <c r="A703" t="s">
        <v>1326</v>
      </c>
      <c r="B703" t="s">
        <v>1327</v>
      </c>
      <c r="C703" t="s">
        <v>190</v>
      </c>
      <c r="D703" t="s">
        <v>155</v>
      </c>
      <c r="E703" s="34">
        <v>1000000</v>
      </c>
      <c r="F703" s="29">
        <v>0.2137</v>
      </c>
      <c r="G703" s="30">
        <v>45422</v>
      </c>
      <c r="H703">
        <v>12</v>
      </c>
      <c r="I703">
        <v>0</v>
      </c>
      <c r="J703" s="34">
        <v>0</v>
      </c>
      <c r="K703" t="s">
        <v>171</v>
      </c>
      <c r="L703" s="34">
        <f>PMT(Loans[[#This Row],[InterestRate]]/12,Loans[[#This Row],[LoanTenureMonths]],-Loans[[#This Row],[LoanAmount]])</f>
        <v>93291.44210911222</v>
      </c>
      <c r="M703" s="30">
        <f>EDATE(Loans[[#This Row],[LoanStartDate]],Loans[[#This Row],[LoanTenureMonths]])</f>
        <v>45787</v>
      </c>
      <c r="N703" s="33">
        <f>IF(Loans[[#This Row],[LoanAmount]]=0,0,Loans[[#This Row],[CollateralValue]]/Loans[[#This Row],[LoanAmount]])</f>
        <v>0</v>
      </c>
      <c r="O703" t="str">
        <f>IF(Loans[[#This Row],[CollateralCoverageRatio]]&lt;1,"Undersecured","Secured")</f>
        <v>Undersecured</v>
      </c>
      <c r="P703" t="str">
        <f>_xlfn.XLOOKUP(Loans[[#This Row],[BranchCode]],BranchesTbl[BranchCode],BranchesTbl[BranchName])</f>
        <v>Nyeri</v>
      </c>
      <c r="Q703">
        <f>_xlfn.XLOOKUP(Loans[[#This Row],[CustomerID]],CustomerTbl[CustomerID],CustomerTbl[RiskScore])</f>
        <v>342</v>
      </c>
      <c r="R703" t="str">
        <f>IFERROR(INDEX(RiskTbl[Risk_Category],MATCH(Loans[[#This Row],[RiskScore]],RiskTbl[Score_Min],1)),"Unknown")</f>
        <v>High Risk</v>
      </c>
      <c r="S703" t="str">
        <f>IF(OR(Loans[[#This Row],[LoanStatus]]="Default",Loans[[#This Row],[LoanStatus]]="Watchlist",Loans[[#This Row],[CollateralRisk]]="Undersecured",Loans[[#This Row],[RiskCategory]]="High Risk"),"High Risk Exposure","Normal")</f>
        <v>High Risk Exposure</v>
      </c>
      <c r="T703" t="str" cm="1">
        <f t="array" ref="T703">_xlfn.IFS(
Loans[[#This Row],[LoanStatus]]="Default","Critical",
OR(Loans[[#This Row],[LoanStatus]]="Watchlist",Loans[[#This Row],[CollateralRisk]]="Undersecured",Loans[[#This Row],[RiskCategory]]="High Risk"),"High",
TRUE,"Normal"
)</f>
        <v>High</v>
      </c>
    </row>
    <row r="704" spans="1:20" x14ac:dyDescent="0.35">
      <c r="A704" t="s">
        <v>1328</v>
      </c>
      <c r="B704" t="s">
        <v>1313</v>
      </c>
      <c r="C704" t="s">
        <v>206</v>
      </c>
      <c r="D704" t="s">
        <v>156</v>
      </c>
      <c r="E704" s="34">
        <v>3000000</v>
      </c>
      <c r="F704" s="29">
        <v>0.21829999999999999</v>
      </c>
      <c r="G704" s="30">
        <v>45307</v>
      </c>
      <c r="H704">
        <v>24</v>
      </c>
      <c r="I704">
        <v>0</v>
      </c>
      <c r="J704" s="34">
        <v>4380000</v>
      </c>
      <c r="K704" t="s">
        <v>171</v>
      </c>
      <c r="L704" s="34">
        <f>PMT(Loans[[#This Row],[InterestRate]]/12,Loans[[#This Row],[LoanTenureMonths]],-Loans[[#This Row],[LoanAmount]])</f>
        <v>155382.72603722135</v>
      </c>
      <c r="M704" s="30">
        <f>EDATE(Loans[[#This Row],[LoanStartDate]],Loans[[#This Row],[LoanTenureMonths]])</f>
        <v>46038</v>
      </c>
      <c r="N704" s="33">
        <f>IF(Loans[[#This Row],[LoanAmount]]=0,0,Loans[[#This Row],[CollateralValue]]/Loans[[#This Row],[LoanAmount]])</f>
        <v>1.46</v>
      </c>
      <c r="O704" t="str">
        <f>IF(Loans[[#This Row],[CollateralCoverageRatio]]&lt;1,"Undersecured","Secured")</f>
        <v>Secured</v>
      </c>
      <c r="P704" t="str">
        <f>_xlfn.XLOOKUP(Loans[[#This Row],[BranchCode]],BranchesTbl[BranchCode],BranchesTbl[BranchName])</f>
        <v>Nyahururu</v>
      </c>
      <c r="Q704">
        <f>_xlfn.XLOOKUP(Loans[[#This Row],[CustomerID]],CustomerTbl[CustomerID],CustomerTbl[RiskScore])</f>
        <v>652</v>
      </c>
      <c r="R704" t="str">
        <f>IFERROR(INDEX(RiskTbl[Risk_Category],MATCH(Loans[[#This Row],[RiskScore]],RiskTbl[Score_Min],1)),"Unknown")</f>
        <v>Medium Risk</v>
      </c>
      <c r="S704" t="str">
        <f>IF(OR(Loans[[#This Row],[LoanStatus]]="Default",Loans[[#This Row],[LoanStatus]]="Watchlist",Loans[[#This Row],[CollateralRisk]]="Undersecured",Loans[[#This Row],[RiskCategory]]="High Risk"),"High Risk Exposure","Normal")</f>
        <v>Normal</v>
      </c>
      <c r="T704" t="str" cm="1">
        <f t="array" ref="T704">_xlfn.IFS(
Loans[[#This Row],[LoanStatus]]="Default","Critical",
OR(Loans[[#This Row],[LoanStatus]]="Watchlist",Loans[[#This Row],[CollateralRisk]]="Undersecured",Loans[[#This Row],[RiskCategory]]="High Risk"),"High",
TRUE,"Normal"
)</f>
        <v>Normal</v>
      </c>
    </row>
    <row r="705" spans="1:20" x14ac:dyDescent="0.35">
      <c r="A705" t="s">
        <v>1329</v>
      </c>
      <c r="B705" t="s">
        <v>934</v>
      </c>
      <c r="C705" t="s">
        <v>187</v>
      </c>
      <c r="D705" t="s">
        <v>156</v>
      </c>
      <c r="E705" s="34">
        <v>3000000</v>
      </c>
      <c r="F705" s="29">
        <v>0.21329999999999999</v>
      </c>
      <c r="G705" s="30">
        <v>44452</v>
      </c>
      <c r="H705">
        <v>60</v>
      </c>
      <c r="I705">
        <v>120</v>
      </c>
      <c r="J705" s="34">
        <v>4020000</v>
      </c>
      <c r="K705" t="s">
        <v>178</v>
      </c>
      <c r="L705" s="34">
        <f>PMT(Loans[[#This Row],[InterestRate]]/12,Loans[[#This Row],[LoanTenureMonths]],-Loans[[#This Row],[LoanAmount]])</f>
        <v>81717.971048588777</v>
      </c>
      <c r="M705" s="30">
        <f>EDATE(Loans[[#This Row],[LoanStartDate]],Loans[[#This Row],[LoanTenureMonths]])</f>
        <v>46278</v>
      </c>
      <c r="N705" s="33">
        <f>IF(Loans[[#This Row],[LoanAmount]]=0,0,Loans[[#This Row],[CollateralValue]]/Loans[[#This Row],[LoanAmount]])</f>
        <v>1.34</v>
      </c>
      <c r="O705" t="str">
        <f>IF(Loans[[#This Row],[CollateralCoverageRatio]]&lt;1,"Undersecured","Secured")</f>
        <v>Secured</v>
      </c>
      <c r="P705" t="str">
        <f>_xlfn.XLOOKUP(Loans[[#This Row],[BranchCode]],BranchesTbl[BranchCode],BranchesTbl[BranchName])</f>
        <v>Eldoret</v>
      </c>
      <c r="Q705">
        <f>_xlfn.XLOOKUP(Loans[[#This Row],[CustomerID]],CustomerTbl[CustomerID],CustomerTbl[RiskScore])</f>
        <v>847</v>
      </c>
      <c r="R705" t="str">
        <f>IFERROR(INDEX(RiskTbl[Risk_Category],MATCH(Loans[[#This Row],[RiskScore]],RiskTbl[Score_Min],1)),"Unknown")</f>
        <v>Prime</v>
      </c>
      <c r="S705" t="str">
        <f>IF(OR(Loans[[#This Row],[LoanStatus]]="Default",Loans[[#This Row],[LoanStatus]]="Watchlist",Loans[[#This Row],[CollateralRisk]]="Undersecured",Loans[[#This Row],[RiskCategory]]="High Risk"),"High Risk Exposure","Normal")</f>
        <v>High Risk Exposure</v>
      </c>
      <c r="T705" t="str" cm="1">
        <f t="array" ref="T705">_xlfn.IFS(
Loans[[#This Row],[LoanStatus]]="Default","Critical",
OR(Loans[[#This Row],[LoanStatus]]="Watchlist",Loans[[#This Row],[CollateralRisk]]="Undersecured",Loans[[#This Row],[RiskCategory]]="High Risk"),"High",
TRUE,"Normal"
)</f>
        <v>Critical</v>
      </c>
    </row>
    <row r="706" spans="1:20" x14ac:dyDescent="0.35">
      <c r="A706" t="s">
        <v>1330</v>
      </c>
      <c r="B706" t="s">
        <v>1237</v>
      </c>
      <c r="C706" t="s">
        <v>177</v>
      </c>
      <c r="D706" t="s">
        <v>157</v>
      </c>
      <c r="E706" s="34">
        <v>80000000</v>
      </c>
      <c r="F706" s="29">
        <v>9.3200000000000005E-2</v>
      </c>
      <c r="G706" s="30">
        <v>45063</v>
      </c>
      <c r="H706">
        <v>48</v>
      </c>
      <c r="I706">
        <v>0</v>
      </c>
      <c r="J706" s="34">
        <v>64800000</v>
      </c>
      <c r="K706" t="s">
        <v>171</v>
      </c>
      <c r="L706" s="34">
        <f>PMT(Loans[[#This Row],[InterestRate]]/12,Loans[[#This Row],[LoanTenureMonths]],-Loans[[#This Row],[LoanAmount]])</f>
        <v>2002981.3416566504</v>
      </c>
      <c r="M706" s="30">
        <f>EDATE(Loans[[#This Row],[LoanStartDate]],Loans[[#This Row],[LoanTenureMonths]])</f>
        <v>46524</v>
      </c>
      <c r="N706" s="33">
        <f>IF(Loans[[#This Row],[LoanAmount]]=0,0,Loans[[#This Row],[CollateralValue]]/Loans[[#This Row],[LoanAmount]])</f>
        <v>0.81</v>
      </c>
      <c r="O706" t="str">
        <f>IF(Loans[[#This Row],[CollateralCoverageRatio]]&lt;1,"Undersecured","Secured")</f>
        <v>Undersecured</v>
      </c>
      <c r="P706" t="str">
        <f>_xlfn.XLOOKUP(Loans[[#This Row],[BranchCode]],BranchesTbl[BranchCode],BranchesTbl[BranchName])</f>
        <v>Naivasha</v>
      </c>
      <c r="Q706">
        <f>_xlfn.XLOOKUP(Loans[[#This Row],[CustomerID]],CustomerTbl[CustomerID],CustomerTbl[RiskScore])</f>
        <v>512</v>
      </c>
      <c r="R706" t="str">
        <f>IFERROR(INDEX(RiskTbl[Risk_Category],MATCH(Loans[[#This Row],[RiskScore]],RiskTbl[Score_Min],1)),"Unknown")</f>
        <v>High Risk</v>
      </c>
      <c r="S706" t="str">
        <f>IF(OR(Loans[[#This Row],[LoanStatus]]="Default",Loans[[#This Row],[LoanStatus]]="Watchlist",Loans[[#This Row],[CollateralRisk]]="Undersecured",Loans[[#This Row],[RiskCategory]]="High Risk"),"High Risk Exposure","Normal")</f>
        <v>High Risk Exposure</v>
      </c>
      <c r="T706" t="str" cm="1">
        <f t="array" ref="T706">_xlfn.IFS(
Loans[[#This Row],[LoanStatus]]="Default","Critical",
OR(Loans[[#This Row],[LoanStatus]]="Watchlist",Loans[[#This Row],[CollateralRisk]]="Undersecured",Loans[[#This Row],[RiskCategory]]="High Risk"),"High",
TRUE,"Normal"
)</f>
        <v>High</v>
      </c>
    </row>
    <row r="707" spans="1:20" x14ac:dyDescent="0.35">
      <c r="A707" t="s">
        <v>1331</v>
      </c>
      <c r="B707" t="s">
        <v>542</v>
      </c>
      <c r="C707" t="s">
        <v>190</v>
      </c>
      <c r="D707" t="s">
        <v>155</v>
      </c>
      <c r="E707" s="34">
        <v>100000</v>
      </c>
      <c r="F707" s="29">
        <v>0.16689999999999999</v>
      </c>
      <c r="G707" s="30">
        <v>44961</v>
      </c>
      <c r="H707">
        <v>60</v>
      </c>
      <c r="I707">
        <v>90</v>
      </c>
      <c r="J707" s="34">
        <v>0</v>
      </c>
      <c r="K707" t="s">
        <v>199</v>
      </c>
      <c r="L707" s="34">
        <f>PMT(Loans[[#This Row],[InterestRate]]/12,Loans[[#This Row],[LoanTenureMonths]],-Loans[[#This Row],[LoanAmount]])</f>
        <v>2468.6194885695463</v>
      </c>
      <c r="M707" s="30">
        <f>EDATE(Loans[[#This Row],[LoanStartDate]],Loans[[#This Row],[LoanTenureMonths]])</f>
        <v>46787</v>
      </c>
      <c r="N707" s="33">
        <f>IF(Loans[[#This Row],[LoanAmount]]=0,0,Loans[[#This Row],[CollateralValue]]/Loans[[#This Row],[LoanAmount]])</f>
        <v>0</v>
      </c>
      <c r="O707" t="str">
        <f>IF(Loans[[#This Row],[CollateralCoverageRatio]]&lt;1,"Undersecured","Secured")</f>
        <v>Undersecured</v>
      </c>
      <c r="P707" t="str">
        <f>_xlfn.XLOOKUP(Loans[[#This Row],[BranchCode]],BranchesTbl[BranchCode],BranchesTbl[BranchName])</f>
        <v>Nyeri</v>
      </c>
      <c r="Q707">
        <f>_xlfn.XLOOKUP(Loans[[#This Row],[CustomerID]],CustomerTbl[CustomerID],CustomerTbl[RiskScore])</f>
        <v>466</v>
      </c>
      <c r="R707" t="str">
        <f>IFERROR(INDEX(RiskTbl[Risk_Category],MATCH(Loans[[#This Row],[RiskScore]],RiskTbl[Score_Min],1)),"Unknown")</f>
        <v>High Risk</v>
      </c>
      <c r="S707" t="str">
        <f>IF(OR(Loans[[#This Row],[LoanStatus]]="Default",Loans[[#This Row],[LoanStatus]]="Watchlist",Loans[[#This Row],[CollateralRisk]]="Undersecured",Loans[[#This Row],[RiskCategory]]="High Risk"),"High Risk Exposure","Normal")</f>
        <v>High Risk Exposure</v>
      </c>
      <c r="T707" t="str" cm="1">
        <f t="array" ref="T707">_xlfn.IFS(
Loans[[#This Row],[LoanStatus]]="Default","Critical",
OR(Loans[[#This Row],[LoanStatus]]="Watchlist",Loans[[#This Row],[CollateralRisk]]="Undersecured",Loans[[#This Row],[RiskCategory]]="High Risk"),"High",
TRUE,"Normal"
)</f>
        <v>High</v>
      </c>
    </row>
    <row r="708" spans="1:20" x14ac:dyDescent="0.35">
      <c r="A708" t="s">
        <v>1332</v>
      </c>
      <c r="B708" t="s">
        <v>1333</v>
      </c>
      <c r="C708" t="s">
        <v>193</v>
      </c>
      <c r="D708" t="s">
        <v>158</v>
      </c>
      <c r="E708" s="34">
        <v>1000000</v>
      </c>
      <c r="F708" s="29">
        <v>0.19850000000000001</v>
      </c>
      <c r="G708" s="30">
        <v>44113</v>
      </c>
      <c r="H708">
        <v>60</v>
      </c>
      <c r="I708">
        <v>20</v>
      </c>
      <c r="J708" s="34">
        <v>1010000</v>
      </c>
      <c r="K708" t="s">
        <v>171</v>
      </c>
      <c r="L708" s="34">
        <f>PMT(Loans[[#This Row],[InterestRate]]/12,Loans[[#This Row],[LoanTenureMonths]],-Loans[[#This Row],[LoanAmount]])</f>
        <v>26410.490559508849</v>
      </c>
      <c r="M708" s="30">
        <f>EDATE(Loans[[#This Row],[LoanStartDate]],Loans[[#This Row],[LoanTenureMonths]])</f>
        <v>45939</v>
      </c>
      <c r="N708" s="33">
        <f>IF(Loans[[#This Row],[LoanAmount]]=0,0,Loans[[#This Row],[CollateralValue]]/Loans[[#This Row],[LoanAmount]])</f>
        <v>1.01</v>
      </c>
      <c r="O708" t="str">
        <f>IF(Loans[[#This Row],[CollateralCoverageRatio]]&lt;1,"Undersecured","Secured")</f>
        <v>Secured</v>
      </c>
      <c r="P708" t="str">
        <f>_xlfn.XLOOKUP(Loans[[#This Row],[BranchCode]],BranchesTbl[BranchCode],BranchesTbl[BranchName])</f>
        <v>Mombasa</v>
      </c>
      <c r="Q708">
        <f>_xlfn.XLOOKUP(Loans[[#This Row],[CustomerID]],CustomerTbl[CustomerID],CustomerTbl[RiskScore])</f>
        <v>734</v>
      </c>
      <c r="R708" t="str">
        <f>IFERROR(INDEX(RiskTbl[Risk_Category],MATCH(Loans[[#This Row],[RiskScore]],RiskTbl[Score_Min],1)),"Unknown")</f>
        <v>Low Risk</v>
      </c>
      <c r="S708" t="str">
        <f>IF(OR(Loans[[#This Row],[LoanStatus]]="Default",Loans[[#This Row],[LoanStatus]]="Watchlist",Loans[[#This Row],[CollateralRisk]]="Undersecured",Loans[[#This Row],[RiskCategory]]="High Risk"),"High Risk Exposure","Normal")</f>
        <v>Normal</v>
      </c>
      <c r="T708" t="str" cm="1">
        <f t="array" ref="T708">_xlfn.IFS(
Loans[[#This Row],[LoanStatus]]="Default","Critical",
OR(Loans[[#This Row],[LoanStatus]]="Watchlist",Loans[[#This Row],[CollateralRisk]]="Undersecured",Loans[[#This Row],[RiskCategory]]="High Risk"),"High",
TRUE,"Normal"
)</f>
        <v>Normal</v>
      </c>
    </row>
    <row r="709" spans="1:20" x14ac:dyDescent="0.35">
      <c r="A709" t="s">
        <v>1334</v>
      </c>
      <c r="B709" t="s">
        <v>241</v>
      </c>
      <c r="C709" t="s">
        <v>190</v>
      </c>
      <c r="D709" t="s">
        <v>157</v>
      </c>
      <c r="E709" s="34">
        <v>25000000</v>
      </c>
      <c r="F709" s="29">
        <v>0.11609999999999999</v>
      </c>
      <c r="G709" s="30">
        <v>43929</v>
      </c>
      <c r="H709">
        <v>12</v>
      </c>
      <c r="I709">
        <v>20</v>
      </c>
      <c r="J709" s="34">
        <v>23000000</v>
      </c>
      <c r="K709" t="s">
        <v>171</v>
      </c>
      <c r="L709" s="34">
        <f>PMT(Loans[[#This Row],[InterestRate]]/12,Loans[[#This Row],[LoanTenureMonths]],-Loans[[#This Row],[LoanAmount]])</f>
        <v>2216661.1601663483</v>
      </c>
      <c r="M709" s="30">
        <f>EDATE(Loans[[#This Row],[LoanStartDate]],Loans[[#This Row],[LoanTenureMonths]])</f>
        <v>44294</v>
      </c>
      <c r="N709" s="33">
        <f>IF(Loans[[#This Row],[LoanAmount]]=0,0,Loans[[#This Row],[CollateralValue]]/Loans[[#This Row],[LoanAmount]])</f>
        <v>0.92</v>
      </c>
      <c r="O709" t="str">
        <f>IF(Loans[[#This Row],[CollateralCoverageRatio]]&lt;1,"Undersecured","Secured")</f>
        <v>Undersecured</v>
      </c>
      <c r="P709" t="str">
        <f>_xlfn.XLOOKUP(Loans[[#This Row],[BranchCode]],BranchesTbl[BranchCode],BranchesTbl[BranchName])</f>
        <v>Nyeri</v>
      </c>
      <c r="Q709">
        <f>_xlfn.XLOOKUP(Loans[[#This Row],[CustomerID]],CustomerTbl[CustomerID],CustomerTbl[RiskScore])</f>
        <v>648</v>
      </c>
      <c r="R709" t="str">
        <f>IFERROR(INDEX(RiskTbl[Risk_Category],MATCH(Loans[[#This Row],[RiskScore]],RiskTbl[Score_Min],1)),"Unknown")</f>
        <v>Medium Risk</v>
      </c>
      <c r="S709" t="str">
        <f>IF(OR(Loans[[#This Row],[LoanStatus]]="Default",Loans[[#This Row],[LoanStatus]]="Watchlist",Loans[[#This Row],[CollateralRisk]]="Undersecured",Loans[[#This Row],[RiskCategory]]="High Risk"),"High Risk Exposure","Normal")</f>
        <v>High Risk Exposure</v>
      </c>
      <c r="T709" t="str" cm="1">
        <f t="array" ref="T709">_xlfn.IFS(
Loans[[#This Row],[LoanStatus]]="Default","Critical",
OR(Loans[[#This Row],[LoanStatus]]="Watchlist",Loans[[#This Row],[CollateralRisk]]="Undersecured",Loans[[#This Row],[RiskCategory]]="High Risk"),"High",
TRUE,"Normal"
)</f>
        <v>High</v>
      </c>
    </row>
    <row r="710" spans="1:20" x14ac:dyDescent="0.35">
      <c r="A710" t="s">
        <v>1335</v>
      </c>
      <c r="B710" t="s">
        <v>928</v>
      </c>
      <c r="C710" t="s">
        <v>170</v>
      </c>
      <c r="D710" t="s">
        <v>156</v>
      </c>
      <c r="E710" s="34">
        <v>3000000</v>
      </c>
      <c r="F710" s="29">
        <v>0.17330000000000001</v>
      </c>
      <c r="G710" s="30">
        <v>45789</v>
      </c>
      <c r="H710">
        <v>24</v>
      </c>
      <c r="I710">
        <v>90</v>
      </c>
      <c r="J710" s="34">
        <v>3690000</v>
      </c>
      <c r="K710" t="s">
        <v>199</v>
      </c>
      <c r="L710" s="34">
        <f>PMT(Loans[[#This Row],[InterestRate]]/12,Loans[[#This Row],[LoanTenureMonths]],-Loans[[#This Row],[LoanAmount]])</f>
        <v>148802.92252108274</v>
      </c>
      <c r="M710" s="30">
        <f>EDATE(Loans[[#This Row],[LoanStartDate]],Loans[[#This Row],[LoanTenureMonths]])</f>
        <v>46519</v>
      </c>
      <c r="N710" s="33">
        <f>IF(Loans[[#This Row],[LoanAmount]]=0,0,Loans[[#This Row],[CollateralValue]]/Loans[[#This Row],[LoanAmount]])</f>
        <v>1.23</v>
      </c>
      <c r="O710" t="str">
        <f>IF(Loans[[#This Row],[CollateralCoverageRatio]]&lt;1,"Undersecured","Secured")</f>
        <v>Secured</v>
      </c>
      <c r="P710" t="str">
        <f>_xlfn.XLOOKUP(Loans[[#This Row],[BranchCode]],BranchesTbl[BranchCode],BranchesTbl[BranchName])</f>
        <v>Thika</v>
      </c>
      <c r="Q710">
        <f>_xlfn.XLOOKUP(Loans[[#This Row],[CustomerID]],CustomerTbl[CustomerID],CustomerTbl[RiskScore])</f>
        <v>844</v>
      </c>
      <c r="R710" t="str">
        <f>IFERROR(INDEX(RiskTbl[Risk_Category],MATCH(Loans[[#This Row],[RiskScore]],RiskTbl[Score_Min],1)),"Unknown")</f>
        <v>Prime</v>
      </c>
      <c r="S710" t="str">
        <f>IF(OR(Loans[[#This Row],[LoanStatus]]="Default",Loans[[#This Row],[LoanStatus]]="Watchlist",Loans[[#This Row],[CollateralRisk]]="Undersecured",Loans[[#This Row],[RiskCategory]]="High Risk"),"High Risk Exposure","Normal")</f>
        <v>High Risk Exposure</v>
      </c>
      <c r="T710" t="str" cm="1">
        <f t="array" ref="T710">_xlfn.IFS(
Loans[[#This Row],[LoanStatus]]="Default","Critical",
OR(Loans[[#This Row],[LoanStatus]]="Watchlist",Loans[[#This Row],[CollateralRisk]]="Undersecured",Loans[[#This Row],[RiskCategory]]="High Risk"),"High",
TRUE,"Normal"
)</f>
        <v>High</v>
      </c>
    </row>
    <row r="711" spans="1:20" x14ac:dyDescent="0.35">
      <c r="A711" t="s">
        <v>1336</v>
      </c>
      <c r="B711" t="s">
        <v>1337</v>
      </c>
      <c r="C711" t="s">
        <v>190</v>
      </c>
      <c r="D711" t="s">
        <v>158</v>
      </c>
      <c r="E711" s="34">
        <v>3000000</v>
      </c>
      <c r="F711" s="29">
        <v>0.12520000000000001</v>
      </c>
      <c r="G711" s="30">
        <v>45135</v>
      </c>
      <c r="H711">
        <v>24</v>
      </c>
      <c r="I711">
        <v>0</v>
      </c>
      <c r="J711" s="34">
        <v>1740000</v>
      </c>
      <c r="K711" t="s">
        <v>171</v>
      </c>
      <c r="L711" s="34">
        <f>PMT(Loans[[#This Row],[InterestRate]]/12,Loans[[#This Row],[LoanTenureMonths]],-Loans[[#This Row],[LoanAmount]])</f>
        <v>141950.02737146558</v>
      </c>
      <c r="M711" s="30">
        <f>EDATE(Loans[[#This Row],[LoanStartDate]],Loans[[#This Row],[LoanTenureMonths]])</f>
        <v>45866</v>
      </c>
      <c r="N711" s="33">
        <f>IF(Loans[[#This Row],[LoanAmount]]=0,0,Loans[[#This Row],[CollateralValue]]/Loans[[#This Row],[LoanAmount]])</f>
        <v>0.57999999999999996</v>
      </c>
      <c r="O711" t="str">
        <f>IF(Loans[[#This Row],[CollateralCoverageRatio]]&lt;1,"Undersecured","Secured")</f>
        <v>Undersecured</v>
      </c>
      <c r="P711" t="str">
        <f>_xlfn.XLOOKUP(Loans[[#This Row],[BranchCode]],BranchesTbl[BranchCode],BranchesTbl[BranchName])</f>
        <v>Nyeri</v>
      </c>
      <c r="Q711">
        <f>_xlfn.XLOOKUP(Loans[[#This Row],[CustomerID]],CustomerTbl[CustomerID],CustomerTbl[RiskScore])</f>
        <v>406</v>
      </c>
      <c r="R711" t="str">
        <f>IFERROR(INDEX(RiskTbl[Risk_Category],MATCH(Loans[[#This Row],[RiskScore]],RiskTbl[Score_Min],1)),"Unknown")</f>
        <v>High Risk</v>
      </c>
      <c r="S711" t="str">
        <f>IF(OR(Loans[[#This Row],[LoanStatus]]="Default",Loans[[#This Row],[LoanStatus]]="Watchlist",Loans[[#This Row],[CollateralRisk]]="Undersecured",Loans[[#This Row],[RiskCategory]]="High Risk"),"High Risk Exposure","Normal")</f>
        <v>High Risk Exposure</v>
      </c>
      <c r="T711" t="str" cm="1">
        <f t="array" ref="T711">_xlfn.IFS(
Loans[[#This Row],[LoanStatus]]="Default","Critical",
OR(Loans[[#This Row],[LoanStatus]]="Watchlist",Loans[[#This Row],[CollateralRisk]]="Undersecured",Loans[[#This Row],[RiskCategory]]="High Risk"),"High",
TRUE,"Normal"
)</f>
        <v>High</v>
      </c>
    </row>
    <row r="712" spans="1:20" x14ac:dyDescent="0.35">
      <c r="A712" t="s">
        <v>1338</v>
      </c>
      <c r="B712" t="s">
        <v>438</v>
      </c>
      <c r="C712" t="s">
        <v>196</v>
      </c>
      <c r="D712" t="s">
        <v>157</v>
      </c>
      <c r="E712" s="34">
        <v>6000000</v>
      </c>
      <c r="F712" s="29">
        <v>0.1147</v>
      </c>
      <c r="G712" s="30">
        <v>44836</v>
      </c>
      <c r="H712">
        <v>60</v>
      </c>
      <c r="I712">
        <v>0</v>
      </c>
      <c r="J712" s="34">
        <v>8940000</v>
      </c>
      <c r="K712" t="s">
        <v>171</v>
      </c>
      <c r="L712" s="34">
        <f>PMT(Loans[[#This Row],[InterestRate]]/12,Loans[[#This Row],[LoanTenureMonths]],-Loans[[#This Row],[LoanAmount]])</f>
        <v>131865.29736394127</v>
      </c>
      <c r="M712" s="30">
        <f>EDATE(Loans[[#This Row],[LoanStartDate]],Loans[[#This Row],[LoanTenureMonths]])</f>
        <v>46662</v>
      </c>
      <c r="N712" s="33">
        <f>IF(Loans[[#This Row],[LoanAmount]]=0,0,Loans[[#This Row],[CollateralValue]]/Loans[[#This Row],[LoanAmount]])</f>
        <v>1.49</v>
      </c>
      <c r="O712" t="str">
        <f>IF(Loans[[#This Row],[CollateralCoverageRatio]]&lt;1,"Undersecured","Secured")</f>
        <v>Secured</v>
      </c>
      <c r="P712" t="str">
        <f>_xlfn.XLOOKUP(Loans[[#This Row],[BranchCode]],BranchesTbl[BranchCode],BranchesTbl[BranchName])</f>
        <v>Karen</v>
      </c>
      <c r="Q712">
        <f>_xlfn.XLOOKUP(Loans[[#This Row],[CustomerID]],CustomerTbl[CustomerID],CustomerTbl[RiskScore])</f>
        <v>654</v>
      </c>
      <c r="R712" t="str">
        <f>IFERROR(INDEX(RiskTbl[Risk_Category],MATCH(Loans[[#This Row],[RiskScore]],RiskTbl[Score_Min],1)),"Unknown")</f>
        <v>Medium Risk</v>
      </c>
      <c r="S712" t="str">
        <f>IF(OR(Loans[[#This Row],[LoanStatus]]="Default",Loans[[#This Row],[LoanStatus]]="Watchlist",Loans[[#This Row],[CollateralRisk]]="Undersecured",Loans[[#This Row],[RiskCategory]]="High Risk"),"High Risk Exposure","Normal")</f>
        <v>Normal</v>
      </c>
      <c r="T712" t="str" cm="1">
        <f t="array" ref="T712">_xlfn.IFS(
Loans[[#This Row],[LoanStatus]]="Default","Critical",
OR(Loans[[#This Row],[LoanStatus]]="Watchlist",Loans[[#This Row],[CollateralRisk]]="Undersecured",Loans[[#This Row],[RiskCategory]]="High Risk"),"High",
TRUE,"Normal"
)</f>
        <v>Normal</v>
      </c>
    </row>
    <row r="713" spans="1:20" x14ac:dyDescent="0.35">
      <c r="A713" t="s">
        <v>1339</v>
      </c>
      <c r="B713" t="s">
        <v>1340</v>
      </c>
      <c r="C713" t="s">
        <v>196</v>
      </c>
      <c r="D713" t="s">
        <v>158</v>
      </c>
      <c r="E713" s="34">
        <v>3000000</v>
      </c>
      <c r="F713" s="29">
        <v>0.14330000000000001</v>
      </c>
      <c r="G713" s="30">
        <v>44970</v>
      </c>
      <c r="H713">
        <v>24</v>
      </c>
      <c r="I713">
        <v>10</v>
      </c>
      <c r="J713" s="34">
        <v>1680000</v>
      </c>
      <c r="K713" t="s">
        <v>171</v>
      </c>
      <c r="L713" s="34">
        <f>PMT(Loans[[#This Row],[InterestRate]]/12,Loans[[#This Row],[LoanTenureMonths]],-Loans[[#This Row],[LoanAmount]])</f>
        <v>144506.78105196453</v>
      </c>
      <c r="M713" s="30">
        <f>EDATE(Loans[[#This Row],[LoanStartDate]],Loans[[#This Row],[LoanTenureMonths]])</f>
        <v>45701</v>
      </c>
      <c r="N713" s="33">
        <f>IF(Loans[[#This Row],[LoanAmount]]=0,0,Loans[[#This Row],[CollateralValue]]/Loans[[#This Row],[LoanAmount]])</f>
        <v>0.56000000000000005</v>
      </c>
      <c r="O713" t="str">
        <f>IF(Loans[[#This Row],[CollateralCoverageRatio]]&lt;1,"Undersecured","Secured")</f>
        <v>Undersecured</v>
      </c>
      <c r="P713" t="str">
        <f>_xlfn.XLOOKUP(Loans[[#This Row],[BranchCode]],BranchesTbl[BranchCode],BranchesTbl[BranchName])</f>
        <v>Karen</v>
      </c>
      <c r="Q713">
        <f>_xlfn.XLOOKUP(Loans[[#This Row],[CustomerID]],CustomerTbl[CustomerID],CustomerTbl[RiskScore])</f>
        <v>325</v>
      </c>
      <c r="R713" t="str">
        <f>IFERROR(INDEX(RiskTbl[Risk_Category],MATCH(Loans[[#This Row],[RiskScore]],RiskTbl[Score_Min],1)),"Unknown")</f>
        <v>High Risk</v>
      </c>
      <c r="S713" t="str">
        <f>IF(OR(Loans[[#This Row],[LoanStatus]]="Default",Loans[[#This Row],[LoanStatus]]="Watchlist",Loans[[#This Row],[CollateralRisk]]="Undersecured",Loans[[#This Row],[RiskCategory]]="High Risk"),"High Risk Exposure","Normal")</f>
        <v>High Risk Exposure</v>
      </c>
      <c r="T713" t="str" cm="1">
        <f t="array" ref="T713">_xlfn.IFS(
Loans[[#This Row],[LoanStatus]]="Default","Critical",
OR(Loans[[#This Row],[LoanStatus]]="Watchlist",Loans[[#This Row],[CollateralRisk]]="Undersecured",Loans[[#This Row],[RiskCategory]]="High Risk"),"High",
TRUE,"Normal"
)</f>
        <v>High</v>
      </c>
    </row>
    <row r="714" spans="1:20" x14ac:dyDescent="0.35">
      <c r="A714" t="s">
        <v>1341</v>
      </c>
      <c r="B714" t="s">
        <v>730</v>
      </c>
      <c r="C714" t="s">
        <v>190</v>
      </c>
      <c r="D714" t="s">
        <v>158</v>
      </c>
      <c r="E714" s="34">
        <v>6000000</v>
      </c>
      <c r="F714" s="29">
        <v>0.17979999999999999</v>
      </c>
      <c r="G714" s="30">
        <v>45249</v>
      </c>
      <c r="H714">
        <v>24</v>
      </c>
      <c r="I714">
        <v>0</v>
      </c>
      <c r="J714" s="34">
        <v>3600000</v>
      </c>
      <c r="K714" t="s">
        <v>171</v>
      </c>
      <c r="L714" s="34">
        <f>PMT(Loans[[#This Row],[InterestRate]]/12,Loans[[#This Row],[LoanTenureMonths]],-Loans[[#This Row],[LoanAmount]])</f>
        <v>299486.63370167889</v>
      </c>
      <c r="M714" s="30">
        <f>EDATE(Loans[[#This Row],[LoanStartDate]],Loans[[#This Row],[LoanTenureMonths]])</f>
        <v>45980</v>
      </c>
      <c r="N714" s="33">
        <f>IF(Loans[[#This Row],[LoanAmount]]=0,0,Loans[[#This Row],[CollateralValue]]/Loans[[#This Row],[LoanAmount]])</f>
        <v>0.6</v>
      </c>
      <c r="O714" t="str">
        <f>IF(Loans[[#This Row],[CollateralCoverageRatio]]&lt;1,"Undersecured","Secured")</f>
        <v>Undersecured</v>
      </c>
      <c r="P714" t="str">
        <f>_xlfn.XLOOKUP(Loans[[#This Row],[BranchCode]],BranchesTbl[BranchCode],BranchesTbl[BranchName])</f>
        <v>Nyeri</v>
      </c>
      <c r="Q714">
        <f>_xlfn.XLOOKUP(Loans[[#This Row],[CustomerID]],CustomerTbl[CustomerID],CustomerTbl[RiskScore])</f>
        <v>537</v>
      </c>
      <c r="R714" t="str">
        <f>IFERROR(INDEX(RiskTbl[Risk_Category],MATCH(Loans[[#This Row],[RiskScore]],RiskTbl[Score_Min],1)),"Unknown")</f>
        <v>High Risk</v>
      </c>
      <c r="S714" t="str">
        <f>IF(OR(Loans[[#This Row],[LoanStatus]]="Default",Loans[[#This Row],[LoanStatus]]="Watchlist",Loans[[#This Row],[CollateralRisk]]="Undersecured",Loans[[#This Row],[RiskCategory]]="High Risk"),"High Risk Exposure","Normal")</f>
        <v>High Risk Exposure</v>
      </c>
      <c r="T714" t="str" cm="1">
        <f t="array" ref="T714">_xlfn.IFS(
Loans[[#This Row],[LoanStatus]]="Default","Critical",
OR(Loans[[#This Row],[LoanStatus]]="Watchlist",Loans[[#This Row],[CollateralRisk]]="Undersecured",Loans[[#This Row],[RiskCategory]]="High Risk"),"High",
TRUE,"Normal"
)</f>
        <v>High</v>
      </c>
    </row>
    <row r="715" spans="1:20" x14ac:dyDescent="0.35">
      <c r="A715" t="s">
        <v>1342</v>
      </c>
      <c r="B715" t="s">
        <v>1196</v>
      </c>
      <c r="C715" t="s">
        <v>219</v>
      </c>
      <c r="D715" t="s">
        <v>157</v>
      </c>
      <c r="E715" s="34">
        <v>6000000</v>
      </c>
      <c r="F715" s="29">
        <v>0.1019</v>
      </c>
      <c r="G715" s="30">
        <v>44666</v>
      </c>
      <c r="H715">
        <v>72</v>
      </c>
      <c r="I715">
        <v>0</v>
      </c>
      <c r="J715" s="34">
        <v>8220000</v>
      </c>
      <c r="K715" t="s">
        <v>171</v>
      </c>
      <c r="L715" s="34">
        <f>PMT(Loans[[#This Row],[InterestRate]]/12,Loans[[#This Row],[LoanTenureMonths]],-Loans[[#This Row],[LoanAmount]])</f>
        <v>111730.76758335753</v>
      </c>
      <c r="M715" s="30">
        <f>EDATE(Loans[[#This Row],[LoanStartDate]],Loans[[#This Row],[LoanTenureMonths]])</f>
        <v>46858</v>
      </c>
      <c r="N715" s="33">
        <f>IF(Loans[[#This Row],[LoanAmount]]=0,0,Loans[[#This Row],[CollateralValue]]/Loans[[#This Row],[LoanAmount]])</f>
        <v>1.37</v>
      </c>
      <c r="O715" t="str">
        <f>IF(Loans[[#This Row],[CollateralCoverageRatio]]&lt;1,"Undersecured","Secured")</f>
        <v>Secured</v>
      </c>
      <c r="P715" t="str">
        <f>_xlfn.XLOOKUP(Loans[[#This Row],[BranchCode]],BranchesTbl[BranchCode],BranchesTbl[BranchName])</f>
        <v>Meru</v>
      </c>
      <c r="Q715">
        <f>_xlfn.XLOOKUP(Loans[[#This Row],[CustomerID]],CustomerTbl[CustomerID],CustomerTbl[RiskScore])</f>
        <v>657</v>
      </c>
      <c r="R715" t="str">
        <f>IFERROR(INDEX(RiskTbl[Risk_Category],MATCH(Loans[[#This Row],[RiskScore]],RiskTbl[Score_Min],1)),"Unknown")</f>
        <v>Medium Risk</v>
      </c>
      <c r="S715" t="str">
        <f>IF(OR(Loans[[#This Row],[LoanStatus]]="Default",Loans[[#This Row],[LoanStatus]]="Watchlist",Loans[[#This Row],[CollateralRisk]]="Undersecured",Loans[[#This Row],[RiskCategory]]="High Risk"),"High Risk Exposure","Normal")</f>
        <v>Normal</v>
      </c>
      <c r="T715" t="str" cm="1">
        <f t="array" ref="T715">_xlfn.IFS(
Loans[[#This Row],[LoanStatus]]="Default","Critical",
OR(Loans[[#This Row],[LoanStatus]]="Watchlist",Loans[[#This Row],[CollateralRisk]]="Undersecured",Loans[[#This Row],[RiskCategory]]="High Risk"),"High",
TRUE,"Normal"
)</f>
        <v>Normal</v>
      </c>
    </row>
    <row r="716" spans="1:20" x14ac:dyDescent="0.35">
      <c r="A716" t="s">
        <v>1343</v>
      </c>
      <c r="B716" t="s">
        <v>351</v>
      </c>
      <c r="C716" t="s">
        <v>190</v>
      </c>
      <c r="D716" t="s">
        <v>155</v>
      </c>
      <c r="E716" s="34">
        <v>250000</v>
      </c>
      <c r="F716" s="29">
        <v>0.20180000000000001</v>
      </c>
      <c r="G716" s="30">
        <v>45122</v>
      </c>
      <c r="H716">
        <v>72</v>
      </c>
      <c r="I716">
        <v>120</v>
      </c>
      <c r="J716" s="34">
        <v>0</v>
      </c>
      <c r="K716" t="s">
        <v>178</v>
      </c>
      <c r="L716" s="34">
        <f>PMT(Loans[[#This Row],[InterestRate]]/12,Loans[[#This Row],[LoanTenureMonths]],-Loans[[#This Row],[LoanAmount]])</f>
        <v>6014.3195555509992</v>
      </c>
      <c r="M716" s="30">
        <f>EDATE(Loans[[#This Row],[LoanStartDate]],Loans[[#This Row],[LoanTenureMonths]])</f>
        <v>47314</v>
      </c>
      <c r="N716" s="33">
        <f>IF(Loans[[#This Row],[LoanAmount]]=0,0,Loans[[#This Row],[CollateralValue]]/Loans[[#This Row],[LoanAmount]])</f>
        <v>0</v>
      </c>
      <c r="O716" t="str">
        <f>IF(Loans[[#This Row],[CollateralCoverageRatio]]&lt;1,"Undersecured","Secured")</f>
        <v>Undersecured</v>
      </c>
      <c r="P716" t="str">
        <f>_xlfn.XLOOKUP(Loans[[#This Row],[BranchCode]],BranchesTbl[BranchCode],BranchesTbl[BranchName])</f>
        <v>Nyeri</v>
      </c>
      <c r="Q716">
        <f>_xlfn.XLOOKUP(Loans[[#This Row],[CustomerID]],CustomerTbl[CustomerID],CustomerTbl[RiskScore])</f>
        <v>494</v>
      </c>
      <c r="R716" t="str">
        <f>IFERROR(INDEX(RiskTbl[Risk_Category],MATCH(Loans[[#This Row],[RiskScore]],RiskTbl[Score_Min],1)),"Unknown")</f>
        <v>High Risk</v>
      </c>
      <c r="S716" t="str">
        <f>IF(OR(Loans[[#This Row],[LoanStatus]]="Default",Loans[[#This Row],[LoanStatus]]="Watchlist",Loans[[#This Row],[CollateralRisk]]="Undersecured",Loans[[#This Row],[RiskCategory]]="High Risk"),"High Risk Exposure","Normal")</f>
        <v>High Risk Exposure</v>
      </c>
      <c r="T716" t="str" cm="1">
        <f t="array" ref="T716">_xlfn.IFS(
Loans[[#This Row],[LoanStatus]]="Default","Critical",
OR(Loans[[#This Row],[LoanStatus]]="Watchlist",Loans[[#This Row],[CollateralRisk]]="Undersecured",Loans[[#This Row],[RiskCategory]]="High Risk"),"High",
TRUE,"Normal"
)</f>
        <v>Critical</v>
      </c>
    </row>
    <row r="717" spans="1:20" x14ac:dyDescent="0.35">
      <c r="A717" t="s">
        <v>1344</v>
      </c>
      <c r="B717" t="s">
        <v>1345</v>
      </c>
      <c r="C717" t="s">
        <v>190</v>
      </c>
      <c r="D717" t="s">
        <v>157</v>
      </c>
      <c r="E717" s="34">
        <v>6000000</v>
      </c>
      <c r="F717" s="29">
        <v>0.1042</v>
      </c>
      <c r="G717" s="30">
        <v>45842</v>
      </c>
      <c r="H717">
        <v>24</v>
      </c>
      <c r="I717">
        <v>0</v>
      </c>
      <c r="J717" s="34">
        <v>4380000</v>
      </c>
      <c r="K717" t="s">
        <v>171</v>
      </c>
      <c r="L717" s="34">
        <f>PMT(Loans[[#This Row],[InterestRate]]/12,Loans[[#This Row],[LoanTenureMonths]],-Loans[[#This Row],[LoanAmount]])</f>
        <v>278034.10435461072</v>
      </c>
      <c r="M717" s="30">
        <f>EDATE(Loans[[#This Row],[LoanStartDate]],Loans[[#This Row],[LoanTenureMonths]])</f>
        <v>46572</v>
      </c>
      <c r="N717" s="33">
        <f>IF(Loans[[#This Row],[LoanAmount]]=0,0,Loans[[#This Row],[CollateralValue]]/Loans[[#This Row],[LoanAmount]])</f>
        <v>0.73</v>
      </c>
      <c r="O717" t="str">
        <f>IF(Loans[[#This Row],[CollateralCoverageRatio]]&lt;1,"Undersecured","Secured")</f>
        <v>Undersecured</v>
      </c>
      <c r="P717" t="str">
        <f>_xlfn.XLOOKUP(Loans[[#This Row],[BranchCode]],BranchesTbl[BranchCode],BranchesTbl[BranchName])</f>
        <v>Nyeri</v>
      </c>
      <c r="Q717">
        <f>_xlfn.XLOOKUP(Loans[[#This Row],[CustomerID]],CustomerTbl[CustomerID],CustomerTbl[RiskScore])</f>
        <v>501</v>
      </c>
      <c r="R717" t="str">
        <f>IFERROR(INDEX(RiskTbl[Risk_Category],MATCH(Loans[[#This Row],[RiskScore]],RiskTbl[Score_Min],1)),"Unknown")</f>
        <v>High Risk</v>
      </c>
      <c r="S717" t="str">
        <f>IF(OR(Loans[[#This Row],[LoanStatus]]="Default",Loans[[#This Row],[LoanStatus]]="Watchlist",Loans[[#This Row],[CollateralRisk]]="Undersecured",Loans[[#This Row],[RiskCategory]]="High Risk"),"High Risk Exposure","Normal")</f>
        <v>High Risk Exposure</v>
      </c>
      <c r="T717" t="str" cm="1">
        <f t="array" ref="T717">_xlfn.IFS(
Loans[[#This Row],[LoanStatus]]="Default","Critical",
OR(Loans[[#This Row],[LoanStatus]]="Watchlist",Loans[[#This Row],[CollateralRisk]]="Undersecured",Loans[[#This Row],[RiskCategory]]="High Risk"),"High",
TRUE,"Normal"
)</f>
        <v>High</v>
      </c>
    </row>
    <row r="718" spans="1:20" x14ac:dyDescent="0.35">
      <c r="A718" t="s">
        <v>1346</v>
      </c>
      <c r="B718" t="s">
        <v>1347</v>
      </c>
      <c r="C718" t="s">
        <v>206</v>
      </c>
      <c r="D718" t="s">
        <v>157</v>
      </c>
      <c r="E718" s="34">
        <v>80000000</v>
      </c>
      <c r="F718" s="29">
        <v>0.1201</v>
      </c>
      <c r="G718" s="30">
        <v>44998</v>
      </c>
      <c r="H718">
        <v>60</v>
      </c>
      <c r="I718">
        <v>5</v>
      </c>
      <c r="J718" s="34">
        <v>53600000</v>
      </c>
      <c r="K718" t="s">
        <v>171</v>
      </c>
      <c r="L718" s="34">
        <f>PMT(Loans[[#This Row],[InterestRate]]/12,Loans[[#This Row],[LoanTenureMonths]],-Loans[[#This Row],[LoanAmount]])</f>
        <v>1779960.1074399464</v>
      </c>
      <c r="M718" s="30">
        <f>EDATE(Loans[[#This Row],[LoanStartDate]],Loans[[#This Row],[LoanTenureMonths]])</f>
        <v>46825</v>
      </c>
      <c r="N718" s="33">
        <f>IF(Loans[[#This Row],[LoanAmount]]=0,0,Loans[[#This Row],[CollateralValue]]/Loans[[#This Row],[LoanAmount]])</f>
        <v>0.67</v>
      </c>
      <c r="O718" t="str">
        <f>IF(Loans[[#This Row],[CollateralCoverageRatio]]&lt;1,"Undersecured","Secured")</f>
        <v>Undersecured</v>
      </c>
      <c r="P718" t="str">
        <f>_xlfn.XLOOKUP(Loans[[#This Row],[BranchCode]],BranchesTbl[BranchCode],BranchesTbl[BranchName])</f>
        <v>Nyahururu</v>
      </c>
      <c r="Q718">
        <f>_xlfn.XLOOKUP(Loans[[#This Row],[CustomerID]],CustomerTbl[CustomerID],CustomerTbl[RiskScore])</f>
        <v>511</v>
      </c>
      <c r="R718" t="str">
        <f>IFERROR(INDEX(RiskTbl[Risk_Category],MATCH(Loans[[#This Row],[RiskScore]],RiskTbl[Score_Min],1)),"Unknown")</f>
        <v>High Risk</v>
      </c>
      <c r="S718" t="str">
        <f>IF(OR(Loans[[#This Row],[LoanStatus]]="Default",Loans[[#This Row],[LoanStatus]]="Watchlist",Loans[[#This Row],[CollateralRisk]]="Undersecured",Loans[[#This Row],[RiskCategory]]="High Risk"),"High Risk Exposure","Normal")</f>
        <v>High Risk Exposure</v>
      </c>
      <c r="T718" t="str" cm="1">
        <f t="array" ref="T718">_xlfn.IFS(
Loans[[#This Row],[LoanStatus]]="Default","Critical",
OR(Loans[[#This Row],[LoanStatus]]="Watchlist",Loans[[#This Row],[CollateralRisk]]="Undersecured",Loans[[#This Row],[RiskCategory]]="High Risk"),"High",
TRUE,"Normal"
)</f>
        <v>High</v>
      </c>
    </row>
    <row r="719" spans="1:20" x14ac:dyDescent="0.35">
      <c r="A719" t="s">
        <v>1348</v>
      </c>
      <c r="B719" t="s">
        <v>1349</v>
      </c>
      <c r="C719" t="s">
        <v>270</v>
      </c>
      <c r="D719" t="s">
        <v>156</v>
      </c>
      <c r="E719" s="34">
        <v>3000000</v>
      </c>
      <c r="F719" s="29">
        <v>0.1552</v>
      </c>
      <c r="G719" s="30">
        <v>44901</v>
      </c>
      <c r="H719">
        <v>36</v>
      </c>
      <c r="I719">
        <v>0</v>
      </c>
      <c r="J719" s="34">
        <v>3330000</v>
      </c>
      <c r="K719" t="s">
        <v>171</v>
      </c>
      <c r="L719" s="34">
        <f>PMT(Loans[[#This Row],[InterestRate]]/12,Loans[[#This Row],[LoanTenureMonths]],-Loans[[#This Row],[LoanAmount]])</f>
        <v>104761.54777562508</v>
      </c>
      <c r="M719" s="30">
        <f>EDATE(Loans[[#This Row],[LoanStartDate]],Loans[[#This Row],[LoanTenureMonths]])</f>
        <v>45997</v>
      </c>
      <c r="N719" s="33">
        <f>IF(Loans[[#This Row],[LoanAmount]]=0,0,Loans[[#This Row],[CollateralValue]]/Loans[[#This Row],[LoanAmount]])</f>
        <v>1.1100000000000001</v>
      </c>
      <c r="O719" t="str">
        <f>IF(Loans[[#This Row],[CollateralCoverageRatio]]&lt;1,"Undersecured","Secured")</f>
        <v>Secured</v>
      </c>
      <c r="P719" t="str">
        <f>_xlfn.XLOOKUP(Loans[[#This Row],[BranchCode]],BranchesTbl[BranchCode],BranchesTbl[BranchName])</f>
        <v>Nakuru</v>
      </c>
      <c r="Q719">
        <f>_xlfn.XLOOKUP(Loans[[#This Row],[CustomerID]],CustomerTbl[CustomerID],CustomerTbl[RiskScore])</f>
        <v>334</v>
      </c>
      <c r="R719" t="str">
        <f>IFERROR(INDEX(RiskTbl[Risk_Category],MATCH(Loans[[#This Row],[RiskScore]],RiskTbl[Score_Min],1)),"Unknown")</f>
        <v>High Risk</v>
      </c>
      <c r="S719" t="str">
        <f>IF(OR(Loans[[#This Row],[LoanStatus]]="Default",Loans[[#This Row],[LoanStatus]]="Watchlist",Loans[[#This Row],[CollateralRisk]]="Undersecured",Loans[[#This Row],[RiskCategory]]="High Risk"),"High Risk Exposure","Normal")</f>
        <v>High Risk Exposure</v>
      </c>
      <c r="T719" t="str" cm="1">
        <f t="array" ref="T719">_xlfn.IFS(
Loans[[#This Row],[LoanStatus]]="Default","Critical",
OR(Loans[[#This Row],[LoanStatus]]="Watchlist",Loans[[#This Row],[CollateralRisk]]="Undersecured",Loans[[#This Row],[RiskCategory]]="High Risk"),"High",
TRUE,"Normal"
)</f>
        <v>High</v>
      </c>
    </row>
    <row r="720" spans="1:20" x14ac:dyDescent="0.35">
      <c r="A720" t="s">
        <v>1350</v>
      </c>
      <c r="B720" t="s">
        <v>371</v>
      </c>
      <c r="C720" t="s">
        <v>170</v>
      </c>
      <c r="D720" t="s">
        <v>155</v>
      </c>
      <c r="E720" s="34">
        <v>500000</v>
      </c>
      <c r="F720" s="29">
        <v>0.27489999999999998</v>
      </c>
      <c r="G720" s="30">
        <v>45880</v>
      </c>
      <c r="H720">
        <v>48</v>
      </c>
      <c r="I720">
        <v>0</v>
      </c>
      <c r="J720" s="34">
        <v>0</v>
      </c>
      <c r="K720" t="s">
        <v>171</v>
      </c>
      <c r="L720" s="34">
        <f>PMT(Loans[[#This Row],[InterestRate]]/12,Loans[[#This Row],[LoanTenureMonths]],-Loans[[#This Row],[LoanAmount]])</f>
        <v>17280.471168091815</v>
      </c>
      <c r="M720" s="30">
        <f>EDATE(Loans[[#This Row],[LoanStartDate]],Loans[[#This Row],[LoanTenureMonths]])</f>
        <v>47341</v>
      </c>
      <c r="N720" s="33">
        <f>IF(Loans[[#This Row],[LoanAmount]]=0,0,Loans[[#This Row],[CollateralValue]]/Loans[[#This Row],[LoanAmount]])</f>
        <v>0</v>
      </c>
      <c r="O720" t="str">
        <f>IF(Loans[[#This Row],[CollateralCoverageRatio]]&lt;1,"Undersecured","Secured")</f>
        <v>Undersecured</v>
      </c>
      <c r="P720" t="str">
        <f>_xlfn.XLOOKUP(Loans[[#This Row],[BranchCode]],BranchesTbl[BranchCode],BranchesTbl[BranchName])</f>
        <v>Thika</v>
      </c>
      <c r="Q720">
        <f>_xlfn.XLOOKUP(Loans[[#This Row],[CustomerID]],CustomerTbl[CustomerID],CustomerTbl[RiskScore])</f>
        <v>426</v>
      </c>
      <c r="R720" t="str">
        <f>IFERROR(INDEX(RiskTbl[Risk_Category],MATCH(Loans[[#This Row],[RiskScore]],RiskTbl[Score_Min],1)),"Unknown")</f>
        <v>High Risk</v>
      </c>
      <c r="S720" t="str">
        <f>IF(OR(Loans[[#This Row],[LoanStatus]]="Default",Loans[[#This Row],[LoanStatus]]="Watchlist",Loans[[#This Row],[CollateralRisk]]="Undersecured",Loans[[#This Row],[RiskCategory]]="High Risk"),"High Risk Exposure","Normal")</f>
        <v>High Risk Exposure</v>
      </c>
      <c r="T720" t="str" cm="1">
        <f t="array" ref="T720">_xlfn.IFS(
Loans[[#This Row],[LoanStatus]]="Default","Critical",
OR(Loans[[#This Row],[LoanStatus]]="Watchlist",Loans[[#This Row],[CollateralRisk]]="Undersecured",Loans[[#This Row],[RiskCategory]]="High Risk"),"High",
TRUE,"Normal"
)</f>
        <v>High</v>
      </c>
    </row>
    <row r="721" spans="1:20" x14ac:dyDescent="0.35">
      <c r="A721" t="s">
        <v>1351</v>
      </c>
      <c r="B721" t="s">
        <v>1352</v>
      </c>
      <c r="C721" t="s">
        <v>206</v>
      </c>
      <c r="D721" t="s">
        <v>158</v>
      </c>
      <c r="E721" s="34">
        <v>3000000</v>
      </c>
      <c r="F721" s="29">
        <v>0.13900000000000001</v>
      </c>
      <c r="G721" s="30">
        <v>44339</v>
      </c>
      <c r="H721">
        <v>60</v>
      </c>
      <c r="I721">
        <v>120</v>
      </c>
      <c r="J721" s="34">
        <v>3360000</v>
      </c>
      <c r="K721" t="s">
        <v>178</v>
      </c>
      <c r="L721" s="34">
        <f>PMT(Loans[[#This Row],[InterestRate]]/12,Loans[[#This Row],[LoanTenureMonths]],-Loans[[#This Row],[LoanAmount]])</f>
        <v>69649.318925525455</v>
      </c>
      <c r="M721" s="30">
        <f>EDATE(Loans[[#This Row],[LoanStartDate]],Loans[[#This Row],[LoanTenureMonths]])</f>
        <v>46165</v>
      </c>
      <c r="N721" s="33">
        <f>IF(Loans[[#This Row],[LoanAmount]]=0,0,Loans[[#This Row],[CollateralValue]]/Loans[[#This Row],[LoanAmount]])</f>
        <v>1.1200000000000001</v>
      </c>
      <c r="O721" t="str">
        <f>IF(Loans[[#This Row],[CollateralCoverageRatio]]&lt;1,"Undersecured","Secured")</f>
        <v>Secured</v>
      </c>
      <c r="P721" t="str">
        <f>_xlfn.XLOOKUP(Loans[[#This Row],[BranchCode]],BranchesTbl[BranchCode],BranchesTbl[BranchName])</f>
        <v>Nyahururu</v>
      </c>
      <c r="Q721">
        <f>_xlfn.XLOOKUP(Loans[[#This Row],[CustomerID]],CustomerTbl[CustomerID],CustomerTbl[RiskScore])</f>
        <v>622</v>
      </c>
      <c r="R721" t="str">
        <f>IFERROR(INDEX(RiskTbl[Risk_Category],MATCH(Loans[[#This Row],[RiskScore]],RiskTbl[Score_Min],1)),"Unknown")</f>
        <v>Medium Risk</v>
      </c>
      <c r="S721" t="str">
        <f>IF(OR(Loans[[#This Row],[LoanStatus]]="Default",Loans[[#This Row],[LoanStatus]]="Watchlist",Loans[[#This Row],[CollateralRisk]]="Undersecured",Loans[[#This Row],[RiskCategory]]="High Risk"),"High Risk Exposure","Normal")</f>
        <v>High Risk Exposure</v>
      </c>
      <c r="T721" t="str" cm="1">
        <f t="array" ref="T721">_xlfn.IFS(
Loans[[#This Row],[LoanStatus]]="Default","Critical",
OR(Loans[[#This Row],[LoanStatus]]="Watchlist",Loans[[#This Row],[CollateralRisk]]="Undersecured",Loans[[#This Row],[RiskCategory]]="High Risk"),"High",
TRUE,"Normal"
)</f>
        <v>Critical</v>
      </c>
    </row>
    <row r="722" spans="1:20" x14ac:dyDescent="0.35">
      <c r="A722" t="s">
        <v>1353</v>
      </c>
      <c r="B722" t="s">
        <v>1354</v>
      </c>
      <c r="C722" t="s">
        <v>219</v>
      </c>
      <c r="D722" t="s">
        <v>156</v>
      </c>
      <c r="E722" s="34">
        <v>3000000</v>
      </c>
      <c r="F722" s="29">
        <v>0.17810000000000001</v>
      </c>
      <c r="G722" s="30">
        <v>44759</v>
      </c>
      <c r="H722">
        <v>72</v>
      </c>
      <c r="I722">
        <v>20</v>
      </c>
      <c r="J722" s="34">
        <v>4320000</v>
      </c>
      <c r="K722" t="s">
        <v>171</v>
      </c>
      <c r="L722" s="34">
        <f>PMT(Loans[[#This Row],[InterestRate]]/12,Loans[[#This Row],[LoanTenureMonths]],-Loans[[#This Row],[LoanAmount]])</f>
        <v>68101.539298189062</v>
      </c>
      <c r="M722" s="30">
        <f>EDATE(Loans[[#This Row],[LoanStartDate]],Loans[[#This Row],[LoanTenureMonths]])</f>
        <v>46951</v>
      </c>
      <c r="N722" s="33">
        <f>IF(Loans[[#This Row],[LoanAmount]]=0,0,Loans[[#This Row],[CollateralValue]]/Loans[[#This Row],[LoanAmount]])</f>
        <v>1.44</v>
      </c>
      <c r="O722" t="str">
        <f>IF(Loans[[#This Row],[CollateralCoverageRatio]]&lt;1,"Undersecured","Secured")</f>
        <v>Secured</v>
      </c>
      <c r="P722" t="str">
        <f>_xlfn.XLOOKUP(Loans[[#This Row],[BranchCode]],BranchesTbl[BranchCode],BranchesTbl[BranchName])</f>
        <v>Meru</v>
      </c>
      <c r="Q722">
        <f>_xlfn.XLOOKUP(Loans[[#This Row],[CustomerID]],CustomerTbl[CustomerID],CustomerTbl[RiskScore])</f>
        <v>708</v>
      </c>
      <c r="R722" t="str">
        <f>IFERROR(INDEX(RiskTbl[Risk_Category],MATCH(Loans[[#This Row],[RiskScore]],RiskTbl[Score_Min],1)),"Unknown")</f>
        <v>Low Risk</v>
      </c>
      <c r="S722" t="str">
        <f>IF(OR(Loans[[#This Row],[LoanStatus]]="Default",Loans[[#This Row],[LoanStatus]]="Watchlist",Loans[[#This Row],[CollateralRisk]]="Undersecured",Loans[[#This Row],[RiskCategory]]="High Risk"),"High Risk Exposure","Normal")</f>
        <v>Normal</v>
      </c>
      <c r="T722" t="str" cm="1">
        <f t="array" ref="T722">_xlfn.IFS(
Loans[[#This Row],[LoanStatus]]="Default","Critical",
OR(Loans[[#This Row],[LoanStatus]]="Watchlist",Loans[[#This Row],[CollateralRisk]]="Undersecured",Loans[[#This Row],[RiskCategory]]="High Risk"),"High",
TRUE,"Normal"
)</f>
        <v>Normal</v>
      </c>
    </row>
    <row r="723" spans="1:20" x14ac:dyDescent="0.35">
      <c r="A723" t="s">
        <v>1355</v>
      </c>
      <c r="B723" t="s">
        <v>511</v>
      </c>
      <c r="C723" t="s">
        <v>196</v>
      </c>
      <c r="D723" t="s">
        <v>155</v>
      </c>
      <c r="E723" s="34">
        <v>1000000</v>
      </c>
      <c r="F723" s="29">
        <v>0.18010000000000001</v>
      </c>
      <c r="G723" s="30">
        <v>45415</v>
      </c>
      <c r="H723">
        <v>36</v>
      </c>
      <c r="I723">
        <v>120</v>
      </c>
      <c r="J723" s="34">
        <v>0</v>
      </c>
      <c r="K723" t="s">
        <v>178</v>
      </c>
      <c r="L723" s="34">
        <f>PMT(Loans[[#This Row],[InterestRate]]/12,Loans[[#This Row],[LoanTenureMonths]],-Loans[[#This Row],[LoanAmount]])</f>
        <v>36157.412225120119</v>
      </c>
      <c r="M723" s="30">
        <f>EDATE(Loans[[#This Row],[LoanStartDate]],Loans[[#This Row],[LoanTenureMonths]])</f>
        <v>46510</v>
      </c>
      <c r="N723" s="33">
        <f>IF(Loans[[#This Row],[LoanAmount]]=0,0,Loans[[#This Row],[CollateralValue]]/Loans[[#This Row],[LoanAmount]])</f>
        <v>0</v>
      </c>
      <c r="O723" t="str">
        <f>IF(Loans[[#This Row],[CollateralCoverageRatio]]&lt;1,"Undersecured","Secured")</f>
        <v>Undersecured</v>
      </c>
      <c r="P723" t="str">
        <f>_xlfn.XLOOKUP(Loans[[#This Row],[BranchCode]],BranchesTbl[BranchCode],BranchesTbl[BranchName])</f>
        <v>Karen</v>
      </c>
      <c r="Q723">
        <f>_xlfn.XLOOKUP(Loans[[#This Row],[CustomerID]],CustomerTbl[CustomerID],CustomerTbl[RiskScore])</f>
        <v>625</v>
      </c>
      <c r="R723" t="str">
        <f>IFERROR(INDEX(RiskTbl[Risk_Category],MATCH(Loans[[#This Row],[RiskScore]],RiskTbl[Score_Min],1)),"Unknown")</f>
        <v>Medium Risk</v>
      </c>
      <c r="S723" t="str">
        <f>IF(OR(Loans[[#This Row],[LoanStatus]]="Default",Loans[[#This Row],[LoanStatus]]="Watchlist",Loans[[#This Row],[CollateralRisk]]="Undersecured",Loans[[#This Row],[RiskCategory]]="High Risk"),"High Risk Exposure","Normal")</f>
        <v>High Risk Exposure</v>
      </c>
      <c r="T723" t="str" cm="1">
        <f t="array" ref="T723">_xlfn.IFS(
Loans[[#This Row],[LoanStatus]]="Default","Critical",
OR(Loans[[#This Row],[LoanStatus]]="Watchlist",Loans[[#This Row],[CollateralRisk]]="Undersecured",Loans[[#This Row],[RiskCategory]]="High Risk"),"High",
TRUE,"Normal"
)</f>
        <v>Critical</v>
      </c>
    </row>
    <row r="724" spans="1:20" x14ac:dyDescent="0.35">
      <c r="A724" t="s">
        <v>1356</v>
      </c>
      <c r="B724" t="s">
        <v>1357</v>
      </c>
      <c r="C724" t="s">
        <v>196</v>
      </c>
      <c r="D724" t="s">
        <v>156</v>
      </c>
      <c r="E724" s="34">
        <v>3000000</v>
      </c>
      <c r="F724" s="29">
        <v>0.21840000000000001</v>
      </c>
      <c r="G724" s="30">
        <v>45280</v>
      </c>
      <c r="H724">
        <v>36</v>
      </c>
      <c r="I724">
        <v>90</v>
      </c>
      <c r="J724" s="34">
        <v>2820000</v>
      </c>
      <c r="K724" t="s">
        <v>199</v>
      </c>
      <c r="L724" s="34">
        <f>PMT(Loans[[#This Row],[InterestRate]]/12,Loans[[#This Row],[LoanTenureMonths]],-Loans[[#This Row],[LoanAmount]])</f>
        <v>114323.19008453951</v>
      </c>
      <c r="M724" s="30">
        <f>EDATE(Loans[[#This Row],[LoanStartDate]],Loans[[#This Row],[LoanTenureMonths]])</f>
        <v>46376</v>
      </c>
      <c r="N724" s="33">
        <f>IF(Loans[[#This Row],[LoanAmount]]=0,0,Loans[[#This Row],[CollateralValue]]/Loans[[#This Row],[LoanAmount]])</f>
        <v>0.94</v>
      </c>
      <c r="O724" t="str">
        <f>IF(Loans[[#This Row],[CollateralCoverageRatio]]&lt;1,"Undersecured","Secured")</f>
        <v>Undersecured</v>
      </c>
      <c r="P724" t="str">
        <f>_xlfn.XLOOKUP(Loans[[#This Row],[BranchCode]],BranchesTbl[BranchCode],BranchesTbl[BranchName])</f>
        <v>Karen</v>
      </c>
      <c r="Q724">
        <f>_xlfn.XLOOKUP(Loans[[#This Row],[CustomerID]],CustomerTbl[CustomerID],CustomerTbl[RiskScore])</f>
        <v>311</v>
      </c>
      <c r="R724" t="str">
        <f>IFERROR(INDEX(RiskTbl[Risk_Category],MATCH(Loans[[#This Row],[RiskScore]],RiskTbl[Score_Min],1)),"Unknown")</f>
        <v>High Risk</v>
      </c>
      <c r="S724" t="str">
        <f>IF(OR(Loans[[#This Row],[LoanStatus]]="Default",Loans[[#This Row],[LoanStatus]]="Watchlist",Loans[[#This Row],[CollateralRisk]]="Undersecured",Loans[[#This Row],[RiskCategory]]="High Risk"),"High Risk Exposure","Normal")</f>
        <v>High Risk Exposure</v>
      </c>
      <c r="T724" t="str" cm="1">
        <f t="array" ref="T724">_xlfn.IFS(
Loans[[#This Row],[LoanStatus]]="Default","Critical",
OR(Loans[[#This Row],[LoanStatus]]="Watchlist",Loans[[#This Row],[CollateralRisk]]="Undersecured",Loans[[#This Row],[RiskCategory]]="High Risk"),"High",
TRUE,"Normal"
)</f>
        <v>High</v>
      </c>
    </row>
    <row r="725" spans="1:20" x14ac:dyDescent="0.35">
      <c r="A725" t="s">
        <v>1358</v>
      </c>
      <c r="B725" t="s">
        <v>1303</v>
      </c>
      <c r="C725" t="s">
        <v>174</v>
      </c>
      <c r="D725" t="s">
        <v>157</v>
      </c>
      <c r="E725" s="34">
        <v>25000000</v>
      </c>
      <c r="F725" s="29">
        <v>0.12470000000000001</v>
      </c>
      <c r="G725" s="30">
        <v>45003</v>
      </c>
      <c r="H725">
        <v>24</v>
      </c>
      <c r="I725">
        <v>0</v>
      </c>
      <c r="J725" s="34">
        <v>32750000</v>
      </c>
      <c r="K725" t="s">
        <v>171</v>
      </c>
      <c r="L725" s="34">
        <f>PMT(Loans[[#This Row],[InterestRate]]/12,Loans[[#This Row],[LoanTenureMonths]],-Loans[[#This Row],[LoanAmount]])</f>
        <v>1182331.473451406</v>
      </c>
      <c r="M725" s="30">
        <f>EDATE(Loans[[#This Row],[LoanStartDate]],Loans[[#This Row],[LoanTenureMonths]])</f>
        <v>45734</v>
      </c>
      <c r="N725" s="33">
        <f>IF(Loans[[#This Row],[LoanAmount]]=0,0,Loans[[#This Row],[CollateralValue]]/Loans[[#This Row],[LoanAmount]])</f>
        <v>1.31</v>
      </c>
      <c r="O725" t="str">
        <f>IF(Loans[[#This Row],[CollateralCoverageRatio]]&lt;1,"Undersecured","Secured")</f>
        <v>Secured</v>
      </c>
      <c r="P725" t="str">
        <f>_xlfn.XLOOKUP(Loans[[#This Row],[BranchCode]],BranchesTbl[BranchCode],BranchesTbl[BranchName])</f>
        <v>Westlands</v>
      </c>
      <c r="Q725">
        <f>_xlfn.XLOOKUP(Loans[[#This Row],[CustomerID]],CustomerTbl[CustomerID],CustomerTbl[RiskScore])</f>
        <v>539</v>
      </c>
      <c r="R725" t="str">
        <f>IFERROR(INDEX(RiskTbl[Risk_Category],MATCH(Loans[[#This Row],[RiskScore]],RiskTbl[Score_Min],1)),"Unknown")</f>
        <v>High Risk</v>
      </c>
      <c r="S725" t="str">
        <f>IF(OR(Loans[[#This Row],[LoanStatus]]="Default",Loans[[#This Row],[LoanStatus]]="Watchlist",Loans[[#This Row],[CollateralRisk]]="Undersecured",Loans[[#This Row],[RiskCategory]]="High Risk"),"High Risk Exposure","Normal")</f>
        <v>High Risk Exposure</v>
      </c>
      <c r="T725" t="str" cm="1">
        <f t="array" ref="T725">_xlfn.IFS(
Loans[[#This Row],[LoanStatus]]="Default","Critical",
OR(Loans[[#This Row],[LoanStatus]]="Watchlist",Loans[[#This Row],[CollateralRisk]]="Undersecured",Loans[[#This Row],[RiskCategory]]="High Risk"),"High",
TRUE,"Normal"
)</f>
        <v>High</v>
      </c>
    </row>
    <row r="726" spans="1:20" x14ac:dyDescent="0.35">
      <c r="A726" t="s">
        <v>1359</v>
      </c>
      <c r="B726" t="s">
        <v>1360</v>
      </c>
      <c r="C726" t="s">
        <v>181</v>
      </c>
      <c r="D726" t="s">
        <v>158</v>
      </c>
      <c r="E726" s="34">
        <v>6000000</v>
      </c>
      <c r="F726" s="29">
        <v>0.15129999999999999</v>
      </c>
      <c r="G726" s="30">
        <v>44647</v>
      </c>
      <c r="H726">
        <v>24</v>
      </c>
      <c r="I726">
        <v>0</v>
      </c>
      <c r="J726" s="34">
        <v>4320000</v>
      </c>
      <c r="K726" t="s">
        <v>171</v>
      </c>
      <c r="L726" s="34">
        <f>PMT(Loans[[#This Row],[InterestRate]]/12,Loans[[#This Row],[LoanTenureMonths]],-Loans[[#This Row],[LoanAmount]])</f>
        <v>291290.61451353616</v>
      </c>
      <c r="M726" s="30">
        <f>EDATE(Loans[[#This Row],[LoanStartDate]],Loans[[#This Row],[LoanTenureMonths]])</f>
        <v>45378</v>
      </c>
      <c r="N726" s="33">
        <f>IF(Loans[[#This Row],[LoanAmount]]=0,0,Loans[[#This Row],[CollateralValue]]/Loans[[#This Row],[LoanAmount]])</f>
        <v>0.72</v>
      </c>
      <c r="O726" t="str">
        <f>IF(Loans[[#This Row],[CollateralCoverageRatio]]&lt;1,"Undersecured","Secured")</f>
        <v>Undersecured</v>
      </c>
      <c r="P726" t="str">
        <f>_xlfn.XLOOKUP(Loans[[#This Row],[BranchCode]],BranchesTbl[BranchCode],BranchesTbl[BranchName])</f>
        <v>Kitale</v>
      </c>
      <c r="Q726">
        <f>_xlfn.XLOOKUP(Loans[[#This Row],[CustomerID]],CustomerTbl[CustomerID],CustomerTbl[RiskScore])</f>
        <v>734</v>
      </c>
      <c r="R726" t="str">
        <f>IFERROR(INDEX(RiskTbl[Risk_Category],MATCH(Loans[[#This Row],[RiskScore]],RiskTbl[Score_Min],1)),"Unknown")</f>
        <v>Low Risk</v>
      </c>
      <c r="S726" t="str">
        <f>IF(OR(Loans[[#This Row],[LoanStatus]]="Default",Loans[[#This Row],[LoanStatus]]="Watchlist",Loans[[#This Row],[CollateralRisk]]="Undersecured",Loans[[#This Row],[RiskCategory]]="High Risk"),"High Risk Exposure","Normal")</f>
        <v>High Risk Exposure</v>
      </c>
      <c r="T726" t="str" cm="1">
        <f t="array" ref="T726">_xlfn.IFS(
Loans[[#This Row],[LoanStatus]]="Default","Critical",
OR(Loans[[#This Row],[LoanStatus]]="Watchlist",Loans[[#This Row],[CollateralRisk]]="Undersecured",Loans[[#This Row],[RiskCategory]]="High Risk"),"High",
TRUE,"Normal"
)</f>
        <v>High</v>
      </c>
    </row>
    <row r="727" spans="1:20" x14ac:dyDescent="0.35">
      <c r="A727" t="s">
        <v>1361</v>
      </c>
      <c r="B727" t="s">
        <v>910</v>
      </c>
      <c r="C727" t="s">
        <v>196</v>
      </c>
      <c r="D727" t="s">
        <v>158</v>
      </c>
      <c r="E727" s="34">
        <v>1000000</v>
      </c>
      <c r="F727" s="29">
        <v>0.1515</v>
      </c>
      <c r="G727" s="30">
        <v>44589</v>
      </c>
      <c r="H727">
        <v>24</v>
      </c>
      <c r="I727">
        <v>0</v>
      </c>
      <c r="J727" s="34">
        <v>1180000</v>
      </c>
      <c r="K727" t="s">
        <v>171</v>
      </c>
      <c r="L727" s="34">
        <f>PMT(Loans[[#This Row],[InterestRate]]/12,Loans[[#This Row],[LoanTenureMonths]],-Loans[[#This Row],[LoanAmount]])</f>
        <v>48557.945598722319</v>
      </c>
      <c r="M727" s="30">
        <f>EDATE(Loans[[#This Row],[LoanStartDate]],Loans[[#This Row],[LoanTenureMonths]])</f>
        <v>45319</v>
      </c>
      <c r="N727" s="33">
        <f>IF(Loans[[#This Row],[LoanAmount]]=0,0,Loans[[#This Row],[CollateralValue]]/Loans[[#This Row],[LoanAmount]])</f>
        <v>1.18</v>
      </c>
      <c r="O727" t="str">
        <f>IF(Loans[[#This Row],[CollateralCoverageRatio]]&lt;1,"Undersecured","Secured")</f>
        <v>Secured</v>
      </c>
      <c r="P727" t="str">
        <f>_xlfn.XLOOKUP(Loans[[#This Row],[BranchCode]],BranchesTbl[BranchCode],BranchesTbl[BranchName])</f>
        <v>Karen</v>
      </c>
      <c r="Q727">
        <f>_xlfn.XLOOKUP(Loans[[#This Row],[CustomerID]],CustomerTbl[CustomerID],CustomerTbl[RiskScore])</f>
        <v>518</v>
      </c>
      <c r="R727" t="str">
        <f>IFERROR(INDEX(RiskTbl[Risk_Category],MATCH(Loans[[#This Row],[RiskScore]],RiskTbl[Score_Min],1)),"Unknown")</f>
        <v>High Risk</v>
      </c>
      <c r="S727" t="str">
        <f>IF(OR(Loans[[#This Row],[LoanStatus]]="Default",Loans[[#This Row],[LoanStatus]]="Watchlist",Loans[[#This Row],[CollateralRisk]]="Undersecured",Loans[[#This Row],[RiskCategory]]="High Risk"),"High Risk Exposure","Normal")</f>
        <v>High Risk Exposure</v>
      </c>
      <c r="T727" t="str" cm="1">
        <f t="array" ref="T727">_xlfn.IFS(
Loans[[#This Row],[LoanStatus]]="Default","Critical",
OR(Loans[[#This Row],[LoanStatus]]="Watchlist",Loans[[#This Row],[CollateralRisk]]="Undersecured",Loans[[#This Row],[RiskCategory]]="High Risk"),"High",
TRUE,"Normal"
)</f>
        <v>High</v>
      </c>
    </row>
    <row r="728" spans="1:20" x14ac:dyDescent="0.35">
      <c r="A728" t="s">
        <v>1362</v>
      </c>
      <c r="B728" t="s">
        <v>918</v>
      </c>
      <c r="C728" t="s">
        <v>232</v>
      </c>
      <c r="D728" t="s">
        <v>156</v>
      </c>
      <c r="E728" s="34">
        <v>1000000</v>
      </c>
      <c r="F728" s="29">
        <v>0.17649999999999999</v>
      </c>
      <c r="G728" s="30">
        <v>43964</v>
      </c>
      <c r="H728">
        <v>24</v>
      </c>
      <c r="I728">
        <v>45</v>
      </c>
      <c r="J728" s="34">
        <v>510000</v>
      </c>
      <c r="K728" t="s">
        <v>199</v>
      </c>
      <c r="L728" s="34">
        <f>PMT(Loans[[#This Row],[InterestRate]]/12,Loans[[#This Row],[LoanTenureMonths]],-Loans[[#This Row],[LoanAmount]])</f>
        <v>49755.153801042201</v>
      </c>
      <c r="M728" s="30">
        <f>EDATE(Loans[[#This Row],[LoanStartDate]],Loans[[#This Row],[LoanTenureMonths]])</f>
        <v>44694</v>
      </c>
      <c r="N728" s="33">
        <f>IF(Loans[[#This Row],[LoanAmount]]=0,0,Loans[[#This Row],[CollateralValue]]/Loans[[#This Row],[LoanAmount]])</f>
        <v>0.51</v>
      </c>
      <c r="O728" t="str">
        <f>IF(Loans[[#This Row],[CollateralCoverageRatio]]&lt;1,"Undersecured","Secured")</f>
        <v>Undersecured</v>
      </c>
      <c r="P728" t="str">
        <f>_xlfn.XLOOKUP(Loans[[#This Row],[BranchCode]],BranchesTbl[BranchCode],BranchesTbl[BranchName])</f>
        <v>Upper Hill</v>
      </c>
      <c r="Q728">
        <f>_xlfn.XLOOKUP(Loans[[#This Row],[CustomerID]],CustomerTbl[CustomerID],CustomerTbl[RiskScore])</f>
        <v>731</v>
      </c>
      <c r="R728" t="str">
        <f>IFERROR(INDEX(RiskTbl[Risk_Category],MATCH(Loans[[#This Row],[RiskScore]],RiskTbl[Score_Min],1)),"Unknown")</f>
        <v>Low Risk</v>
      </c>
      <c r="S728" t="str">
        <f>IF(OR(Loans[[#This Row],[LoanStatus]]="Default",Loans[[#This Row],[LoanStatus]]="Watchlist",Loans[[#This Row],[CollateralRisk]]="Undersecured",Loans[[#This Row],[RiskCategory]]="High Risk"),"High Risk Exposure","Normal")</f>
        <v>High Risk Exposure</v>
      </c>
      <c r="T728" t="str" cm="1">
        <f t="array" ref="T728">_xlfn.IFS(
Loans[[#This Row],[LoanStatus]]="Default","Critical",
OR(Loans[[#This Row],[LoanStatus]]="Watchlist",Loans[[#This Row],[CollateralRisk]]="Undersecured",Loans[[#This Row],[RiskCategory]]="High Risk"),"High",
TRUE,"Normal"
)</f>
        <v>High</v>
      </c>
    </row>
    <row r="729" spans="1:20" x14ac:dyDescent="0.35">
      <c r="A729" t="s">
        <v>1363</v>
      </c>
      <c r="B729" t="s">
        <v>1364</v>
      </c>
      <c r="C729" t="s">
        <v>270</v>
      </c>
      <c r="D729" t="s">
        <v>155</v>
      </c>
      <c r="E729" s="34">
        <v>250000</v>
      </c>
      <c r="F729" s="29">
        <v>0.1822</v>
      </c>
      <c r="G729" s="30">
        <v>45265</v>
      </c>
      <c r="H729">
        <v>24</v>
      </c>
      <c r="I729">
        <v>0</v>
      </c>
      <c r="J729" s="34">
        <v>0</v>
      </c>
      <c r="K729" t="s">
        <v>171</v>
      </c>
      <c r="L729" s="34">
        <f>PMT(Loans[[#This Row],[InterestRate]]/12,Loans[[#This Row],[LoanTenureMonths]],-Loans[[#This Row],[LoanAmount]])</f>
        <v>12507.616462763517</v>
      </c>
      <c r="M729" s="30">
        <f>EDATE(Loans[[#This Row],[LoanStartDate]],Loans[[#This Row],[LoanTenureMonths]])</f>
        <v>45996</v>
      </c>
      <c r="N729" s="33">
        <f>IF(Loans[[#This Row],[LoanAmount]]=0,0,Loans[[#This Row],[CollateralValue]]/Loans[[#This Row],[LoanAmount]])</f>
        <v>0</v>
      </c>
      <c r="O729" t="str">
        <f>IF(Loans[[#This Row],[CollateralCoverageRatio]]&lt;1,"Undersecured","Secured")</f>
        <v>Undersecured</v>
      </c>
      <c r="P729" t="str">
        <f>_xlfn.XLOOKUP(Loans[[#This Row],[BranchCode]],BranchesTbl[BranchCode],BranchesTbl[BranchName])</f>
        <v>Nakuru</v>
      </c>
      <c r="Q729">
        <f>_xlfn.XLOOKUP(Loans[[#This Row],[CustomerID]],CustomerTbl[CustomerID],CustomerTbl[RiskScore])</f>
        <v>325</v>
      </c>
      <c r="R729" t="str">
        <f>IFERROR(INDEX(RiskTbl[Risk_Category],MATCH(Loans[[#This Row],[RiskScore]],RiskTbl[Score_Min],1)),"Unknown")</f>
        <v>High Risk</v>
      </c>
      <c r="S729" t="str">
        <f>IF(OR(Loans[[#This Row],[LoanStatus]]="Default",Loans[[#This Row],[LoanStatus]]="Watchlist",Loans[[#This Row],[CollateralRisk]]="Undersecured",Loans[[#This Row],[RiskCategory]]="High Risk"),"High Risk Exposure","Normal")</f>
        <v>High Risk Exposure</v>
      </c>
      <c r="T729" t="str" cm="1">
        <f t="array" ref="T729">_xlfn.IFS(
Loans[[#This Row],[LoanStatus]]="Default","Critical",
OR(Loans[[#This Row],[LoanStatus]]="Watchlist",Loans[[#This Row],[CollateralRisk]]="Undersecured",Loans[[#This Row],[RiskCategory]]="High Risk"),"High",
TRUE,"Normal"
)</f>
        <v>High</v>
      </c>
    </row>
    <row r="730" spans="1:20" x14ac:dyDescent="0.35">
      <c r="A730" t="s">
        <v>1365</v>
      </c>
      <c r="B730" t="s">
        <v>1366</v>
      </c>
      <c r="C730" t="s">
        <v>174</v>
      </c>
      <c r="D730" t="s">
        <v>158</v>
      </c>
      <c r="E730" s="34">
        <v>500000</v>
      </c>
      <c r="F730" s="29">
        <v>0.1807</v>
      </c>
      <c r="G730" s="30">
        <v>45182</v>
      </c>
      <c r="H730">
        <v>36</v>
      </c>
      <c r="I730">
        <v>120</v>
      </c>
      <c r="J730" s="34">
        <v>430000</v>
      </c>
      <c r="K730" t="s">
        <v>178</v>
      </c>
      <c r="L730" s="34">
        <f>PMT(Loans[[#This Row],[InterestRate]]/12,Loans[[#This Row],[LoanTenureMonths]],-Loans[[#This Row],[LoanAmount]])</f>
        <v>18093.760334038154</v>
      </c>
      <c r="M730" s="30">
        <f>EDATE(Loans[[#This Row],[LoanStartDate]],Loans[[#This Row],[LoanTenureMonths]])</f>
        <v>46278</v>
      </c>
      <c r="N730" s="33">
        <f>IF(Loans[[#This Row],[LoanAmount]]=0,0,Loans[[#This Row],[CollateralValue]]/Loans[[#This Row],[LoanAmount]])</f>
        <v>0.86</v>
      </c>
      <c r="O730" t="str">
        <f>IF(Loans[[#This Row],[CollateralCoverageRatio]]&lt;1,"Undersecured","Secured")</f>
        <v>Undersecured</v>
      </c>
      <c r="P730" t="str">
        <f>_xlfn.XLOOKUP(Loans[[#This Row],[BranchCode]],BranchesTbl[BranchCode],BranchesTbl[BranchName])</f>
        <v>Westlands</v>
      </c>
      <c r="Q730">
        <f>_xlfn.XLOOKUP(Loans[[#This Row],[CustomerID]],CustomerTbl[CustomerID],CustomerTbl[RiskScore])</f>
        <v>834</v>
      </c>
      <c r="R730" t="str">
        <f>IFERROR(INDEX(RiskTbl[Risk_Category],MATCH(Loans[[#This Row],[RiskScore]],RiskTbl[Score_Min],1)),"Unknown")</f>
        <v>Prime</v>
      </c>
      <c r="S730" t="str">
        <f>IF(OR(Loans[[#This Row],[LoanStatus]]="Default",Loans[[#This Row],[LoanStatus]]="Watchlist",Loans[[#This Row],[CollateralRisk]]="Undersecured",Loans[[#This Row],[RiskCategory]]="High Risk"),"High Risk Exposure","Normal")</f>
        <v>High Risk Exposure</v>
      </c>
      <c r="T730" t="str" cm="1">
        <f t="array" ref="T730">_xlfn.IFS(
Loans[[#This Row],[LoanStatus]]="Default","Critical",
OR(Loans[[#This Row],[LoanStatus]]="Watchlist",Loans[[#This Row],[CollateralRisk]]="Undersecured",Loans[[#This Row],[RiskCategory]]="High Risk"),"High",
TRUE,"Normal"
)</f>
        <v>Critical</v>
      </c>
    </row>
    <row r="731" spans="1:20" x14ac:dyDescent="0.35">
      <c r="A731" t="s">
        <v>1367</v>
      </c>
      <c r="B731" t="s">
        <v>1368</v>
      </c>
      <c r="C731" t="s">
        <v>270</v>
      </c>
      <c r="D731" t="s">
        <v>155</v>
      </c>
      <c r="E731" s="34">
        <v>1000000</v>
      </c>
      <c r="F731" s="29">
        <v>0.16819999999999999</v>
      </c>
      <c r="G731" s="30">
        <v>44504</v>
      </c>
      <c r="H731">
        <v>36</v>
      </c>
      <c r="I731">
        <v>120</v>
      </c>
      <c r="J731" s="34">
        <v>0</v>
      </c>
      <c r="K731" t="s">
        <v>178</v>
      </c>
      <c r="L731" s="34">
        <f>PMT(Loans[[#This Row],[InterestRate]]/12,Loans[[#This Row],[LoanTenureMonths]],-Loans[[#This Row],[LoanAmount]])</f>
        <v>35563.208787584132</v>
      </c>
      <c r="M731" s="30">
        <f>EDATE(Loans[[#This Row],[LoanStartDate]],Loans[[#This Row],[LoanTenureMonths]])</f>
        <v>45600</v>
      </c>
      <c r="N731" s="33">
        <f>IF(Loans[[#This Row],[LoanAmount]]=0,0,Loans[[#This Row],[CollateralValue]]/Loans[[#This Row],[LoanAmount]])</f>
        <v>0</v>
      </c>
      <c r="O731" t="str">
        <f>IF(Loans[[#This Row],[CollateralCoverageRatio]]&lt;1,"Undersecured","Secured")</f>
        <v>Undersecured</v>
      </c>
      <c r="P731" t="str">
        <f>_xlfn.XLOOKUP(Loans[[#This Row],[BranchCode]],BranchesTbl[BranchCode],BranchesTbl[BranchName])</f>
        <v>Nakuru</v>
      </c>
      <c r="Q731">
        <f>_xlfn.XLOOKUP(Loans[[#This Row],[CustomerID]],CustomerTbl[CustomerID],CustomerTbl[RiskScore])</f>
        <v>735</v>
      </c>
      <c r="R731" t="str">
        <f>IFERROR(INDEX(RiskTbl[Risk_Category],MATCH(Loans[[#This Row],[RiskScore]],RiskTbl[Score_Min],1)),"Unknown")</f>
        <v>Low Risk</v>
      </c>
      <c r="S731" t="str">
        <f>IF(OR(Loans[[#This Row],[LoanStatus]]="Default",Loans[[#This Row],[LoanStatus]]="Watchlist",Loans[[#This Row],[CollateralRisk]]="Undersecured",Loans[[#This Row],[RiskCategory]]="High Risk"),"High Risk Exposure","Normal")</f>
        <v>High Risk Exposure</v>
      </c>
      <c r="T731" t="str" cm="1">
        <f t="array" ref="T731">_xlfn.IFS(
Loans[[#This Row],[LoanStatus]]="Default","Critical",
OR(Loans[[#This Row],[LoanStatus]]="Watchlist",Loans[[#This Row],[CollateralRisk]]="Undersecured",Loans[[#This Row],[RiskCategory]]="High Risk"),"High",
TRUE,"Normal"
)</f>
        <v>Critical</v>
      </c>
    </row>
    <row r="732" spans="1:20" x14ac:dyDescent="0.35">
      <c r="A732" t="s">
        <v>1369</v>
      </c>
      <c r="B732" t="s">
        <v>318</v>
      </c>
      <c r="C732" t="s">
        <v>239</v>
      </c>
      <c r="D732" t="s">
        <v>156</v>
      </c>
      <c r="E732" s="34">
        <v>6000000</v>
      </c>
      <c r="F732" s="29">
        <v>0.1666</v>
      </c>
      <c r="G732" s="30">
        <v>45609</v>
      </c>
      <c r="H732">
        <v>24</v>
      </c>
      <c r="I732">
        <v>0</v>
      </c>
      <c r="J732" s="34">
        <v>7080000</v>
      </c>
      <c r="K732" t="s">
        <v>171</v>
      </c>
      <c r="L732" s="34">
        <f>PMT(Loans[[#This Row],[InterestRate]]/12,Loans[[#This Row],[LoanTenureMonths]],-Loans[[#This Row],[LoanAmount]])</f>
        <v>295674.30209072662</v>
      </c>
      <c r="M732" s="30">
        <f>EDATE(Loans[[#This Row],[LoanStartDate]],Loans[[#This Row],[LoanTenureMonths]])</f>
        <v>46339</v>
      </c>
      <c r="N732" s="33">
        <f>IF(Loans[[#This Row],[LoanAmount]]=0,0,Loans[[#This Row],[CollateralValue]]/Loans[[#This Row],[LoanAmount]])</f>
        <v>1.18</v>
      </c>
      <c r="O732" t="str">
        <f>IF(Loans[[#This Row],[CollateralCoverageRatio]]&lt;1,"Undersecured","Secured")</f>
        <v>Secured</v>
      </c>
      <c r="P732" t="str">
        <f>_xlfn.XLOOKUP(Loans[[#This Row],[BranchCode]],BranchesTbl[BranchCode],BranchesTbl[BranchName])</f>
        <v>Machakos</v>
      </c>
      <c r="Q732">
        <f>_xlfn.XLOOKUP(Loans[[#This Row],[CustomerID]],CustomerTbl[CustomerID],CustomerTbl[RiskScore])</f>
        <v>669</v>
      </c>
      <c r="R732" t="str">
        <f>IFERROR(INDEX(RiskTbl[Risk_Category],MATCH(Loans[[#This Row],[RiskScore]],RiskTbl[Score_Min],1)),"Unknown")</f>
        <v>Medium Risk</v>
      </c>
      <c r="S732" t="str">
        <f>IF(OR(Loans[[#This Row],[LoanStatus]]="Default",Loans[[#This Row],[LoanStatus]]="Watchlist",Loans[[#This Row],[CollateralRisk]]="Undersecured",Loans[[#This Row],[RiskCategory]]="High Risk"),"High Risk Exposure","Normal")</f>
        <v>Normal</v>
      </c>
      <c r="T732" t="str" cm="1">
        <f t="array" ref="T732">_xlfn.IFS(
Loans[[#This Row],[LoanStatus]]="Default","Critical",
OR(Loans[[#This Row],[LoanStatus]]="Watchlist",Loans[[#This Row],[CollateralRisk]]="Undersecured",Loans[[#This Row],[RiskCategory]]="High Risk"),"High",
TRUE,"Normal"
)</f>
        <v>Normal</v>
      </c>
    </row>
    <row r="733" spans="1:20" x14ac:dyDescent="0.35">
      <c r="A733" t="s">
        <v>1370</v>
      </c>
      <c r="B733" t="s">
        <v>410</v>
      </c>
      <c r="C733" t="s">
        <v>181</v>
      </c>
      <c r="D733" t="s">
        <v>158</v>
      </c>
      <c r="E733" s="34">
        <v>1000000</v>
      </c>
      <c r="F733" s="29">
        <v>0.16020000000000001</v>
      </c>
      <c r="G733" s="30">
        <v>45202</v>
      </c>
      <c r="H733">
        <v>48</v>
      </c>
      <c r="I733">
        <v>120</v>
      </c>
      <c r="J733" s="34">
        <v>560000</v>
      </c>
      <c r="K733" t="s">
        <v>178</v>
      </c>
      <c r="L733" s="34">
        <f>PMT(Loans[[#This Row],[InterestRate]]/12,Loans[[#This Row],[LoanTenureMonths]],-Loans[[#This Row],[LoanAmount]])</f>
        <v>28350.524899278829</v>
      </c>
      <c r="M733" s="30">
        <f>EDATE(Loans[[#This Row],[LoanStartDate]],Loans[[#This Row],[LoanTenureMonths]])</f>
        <v>46663</v>
      </c>
      <c r="N733" s="33">
        <f>IF(Loans[[#This Row],[LoanAmount]]=0,0,Loans[[#This Row],[CollateralValue]]/Loans[[#This Row],[LoanAmount]])</f>
        <v>0.56000000000000005</v>
      </c>
      <c r="O733" t="str">
        <f>IF(Loans[[#This Row],[CollateralCoverageRatio]]&lt;1,"Undersecured","Secured")</f>
        <v>Undersecured</v>
      </c>
      <c r="P733" t="str">
        <f>_xlfn.XLOOKUP(Loans[[#This Row],[BranchCode]],BranchesTbl[BranchCode],BranchesTbl[BranchName])</f>
        <v>Kitale</v>
      </c>
      <c r="Q733">
        <f>_xlfn.XLOOKUP(Loans[[#This Row],[CustomerID]],CustomerTbl[CustomerID],CustomerTbl[RiskScore])</f>
        <v>389</v>
      </c>
      <c r="R733" t="str">
        <f>IFERROR(INDEX(RiskTbl[Risk_Category],MATCH(Loans[[#This Row],[RiskScore]],RiskTbl[Score_Min],1)),"Unknown")</f>
        <v>High Risk</v>
      </c>
      <c r="S733" t="str">
        <f>IF(OR(Loans[[#This Row],[LoanStatus]]="Default",Loans[[#This Row],[LoanStatus]]="Watchlist",Loans[[#This Row],[CollateralRisk]]="Undersecured",Loans[[#This Row],[RiskCategory]]="High Risk"),"High Risk Exposure","Normal")</f>
        <v>High Risk Exposure</v>
      </c>
      <c r="T733" t="str" cm="1">
        <f t="array" ref="T733">_xlfn.IFS(
Loans[[#This Row],[LoanStatus]]="Default","Critical",
OR(Loans[[#This Row],[LoanStatus]]="Watchlist",Loans[[#This Row],[CollateralRisk]]="Undersecured",Loans[[#This Row],[RiskCategory]]="High Risk"),"High",
TRUE,"Normal"
)</f>
        <v>Critical</v>
      </c>
    </row>
    <row r="734" spans="1:20" x14ac:dyDescent="0.35">
      <c r="A734" t="s">
        <v>1371</v>
      </c>
      <c r="B734" t="s">
        <v>1372</v>
      </c>
      <c r="C734" t="s">
        <v>184</v>
      </c>
      <c r="D734" t="s">
        <v>158</v>
      </c>
      <c r="E734" s="34">
        <v>6000000</v>
      </c>
      <c r="F734" s="29">
        <v>0.14580000000000001</v>
      </c>
      <c r="G734" s="30">
        <v>44868</v>
      </c>
      <c r="H734">
        <v>12</v>
      </c>
      <c r="I734">
        <v>0</v>
      </c>
      <c r="J734" s="34">
        <v>6000000</v>
      </c>
      <c r="K734" t="s">
        <v>171</v>
      </c>
      <c r="L734" s="34">
        <f>PMT(Loans[[#This Row],[InterestRate]]/12,Loans[[#This Row],[LoanTenureMonths]],-Loans[[#This Row],[LoanAmount]])</f>
        <v>540361.4754782971</v>
      </c>
      <c r="M734" s="30">
        <f>EDATE(Loans[[#This Row],[LoanStartDate]],Loans[[#This Row],[LoanTenureMonths]])</f>
        <v>45233</v>
      </c>
      <c r="N734" s="33">
        <f>IF(Loans[[#This Row],[LoanAmount]]=0,0,Loans[[#This Row],[CollateralValue]]/Loans[[#This Row],[LoanAmount]])</f>
        <v>1</v>
      </c>
      <c r="O734" t="str">
        <f>IF(Loans[[#This Row],[CollateralCoverageRatio]]&lt;1,"Undersecured","Secured")</f>
        <v>Secured</v>
      </c>
      <c r="P734" t="str">
        <f>_xlfn.XLOOKUP(Loans[[#This Row],[BranchCode]],BranchesTbl[BranchCode],BranchesTbl[BranchName])</f>
        <v>Kisumu</v>
      </c>
      <c r="Q734">
        <f>_xlfn.XLOOKUP(Loans[[#This Row],[CustomerID]],CustomerTbl[CustomerID],CustomerTbl[RiskScore])</f>
        <v>718</v>
      </c>
      <c r="R734" t="str">
        <f>IFERROR(INDEX(RiskTbl[Risk_Category],MATCH(Loans[[#This Row],[RiskScore]],RiskTbl[Score_Min],1)),"Unknown")</f>
        <v>Low Risk</v>
      </c>
      <c r="S734" t="str">
        <f>IF(OR(Loans[[#This Row],[LoanStatus]]="Default",Loans[[#This Row],[LoanStatus]]="Watchlist",Loans[[#This Row],[CollateralRisk]]="Undersecured",Loans[[#This Row],[RiskCategory]]="High Risk"),"High Risk Exposure","Normal")</f>
        <v>Normal</v>
      </c>
      <c r="T734" t="str" cm="1">
        <f t="array" ref="T734">_xlfn.IFS(
Loans[[#This Row],[LoanStatus]]="Default","Critical",
OR(Loans[[#This Row],[LoanStatus]]="Watchlist",Loans[[#This Row],[CollateralRisk]]="Undersecured",Loans[[#This Row],[RiskCategory]]="High Risk"),"High",
TRUE,"Normal"
)</f>
        <v>Normal</v>
      </c>
    </row>
    <row r="735" spans="1:20" x14ac:dyDescent="0.35">
      <c r="A735" t="s">
        <v>1373</v>
      </c>
      <c r="B735" t="s">
        <v>722</v>
      </c>
      <c r="C735" t="s">
        <v>239</v>
      </c>
      <c r="D735" t="s">
        <v>158</v>
      </c>
      <c r="E735" s="34">
        <v>500000</v>
      </c>
      <c r="F735" s="29">
        <v>0.1948</v>
      </c>
      <c r="G735" s="30">
        <v>45826</v>
      </c>
      <c r="H735">
        <v>36</v>
      </c>
      <c r="I735">
        <v>5</v>
      </c>
      <c r="J735" s="34">
        <v>680000</v>
      </c>
      <c r="K735" t="s">
        <v>171</v>
      </c>
      <c r="L735" s="34">
        <f>PMT(Loans[[#This Row],[InterestRate]]/12,Loans[[#This Row],[LoanTenureMonths]],-Loans[[#This Row],[LoanAmount]])</f>
        <v>18449.579982144216</v>
      </c>
      <c r="M735" s="30">
        <f>EDATE(Loans[[#This Row],[LoanStartDate]],Loans[[#This Row],[LoanTenureMonths]])</f>
        <v>46922</v>
      </c>
      <c r="N735" s="33">
        <f>IF(Loans[[#This Row],[LoanAmount]]=0,0,Loans[[#This Row],[CollateralValue]]/Loans[[#This Row],[LoanAmount]])</f>
        <v>1.36</v>
      </c>
      <c r="O735" t="str">
        <f>IF(Loans[[#This Row],[CollateralCoverageRatio]]&lt;1,"Undersecured","Secured")</f>
        <v>Secured</v>
      </c>
      <c r="P735" t="str">
        <f>_xlfn.XLOOKUP(Loans[[#This Row],[BranchCode]],BranchesTbl[BranchCode],BranchesTbl[BranchName])</f>
        <v>Machakos</v>
      </c>
      <c r="Q735">
        <f>_xlfn.XLOOKUP(Loans[[#This Row],[CustomerID]],CustomerTbl[CustomerID],CustomerTbl[RiskScore])</f>
        <v>366</v>
      </c>
      <c r="R735" t="str">
        <f>IFERROR(INDEX(RiskTbl[Risk_Category],MATCH(Loans[[#This Row],[RiskScore]],RiskTbl[Score_Min],1)),"Unknown")</f>
        <v>High Risk</v>
      </c>
      <c r="S735" t="str">
        <f>IF(OR(Loans[[#This Row],[LoanStatus]]="Default",Loans[[#This Row],[LoanStatus]]="Watchlist",Loans[[#This Row],[CollateralRisk]]="Undersecured",Loans[[#This Row],[RiskCategory]]="High Risk"),"High Risk Exposure","Normal")</f>
        <v>High Risk Exposure</v>
      </c>
      <c r="T735" t="str" cm="1">
        <f t="array" ref="T735">_xlfn.IFS(
Loans[[#This Row],[LoanStatus]]="Default","Critical",
OR(Loans[[#This Row],[LoanStatus]]="Watchlist",Loans[[#This Row],[CollateralRisk]]="Undersecured",Loans[[#This Row],[RiskCategory]]="High Risk"),"High",
TRUE,"Normal"
)</f>
        <v>High</v>
      </c>
    </row>
    <row r="736" spans="1:20" x14ac:dyDescent="0.35">
      <c r="A736" t="s">
        <v>1374</v>
      </c>
      <c r="B736" t="s">
        <v>1034</v>
      </c>
      <c r="C736" t="s">
        <v>267</v>
      </c>
      <c r="D736" t="s">
        <v>158</v>
      </c>
      <c r="E736" s="34">
        <v>6000000</v>
      </c>
      <c r="F736" s="29">
        <v>0.14729999999999999</v>
      </c>
      <c r="G736" s="30">
        <v>43960</v>
      </c>
      <c r="H736">
        <v>72</v>
      </c>
      <c r="I736">
        <v>120</v>
      </c>
      <c r="J736" s="34">
        <v>7500000</v>
      </c>
      <c r="K736" t="s">
        <v>178</v>
      </c>
      <c r="L736" s="34">
        <f>PMT(Loans[[#This Row],[InterestRate]]/12,Loans[[#This Row],[LoanTenureMonths]],-Loans[[#This Row],[LoanAmount]])</f>
        <v>125991.96802973903</v>
      </c>
      <c r="M736" s="30">
        <f>EDATE(Loans[[#This Row],[LoanStartDate]],Loans[[#This Row],[LoanTenureMonths]])</f>
        <v>46151</v>
      </c>
      <c r="N736" s="33">
        <f>IF(Loans[[#This Row],[LoanAmount]]=0,0,Loans[[#This Row],[CollateralValue]]/Loans[[#This Row],[LoanAmount]])</f>
        <v>1.25</v>
      </c>
      <c r="O736" t="str">
        <f>IF(Loans[[#This Row],[CollateralCoverageRatio]]&lt;1,"Undersecured","Secured")</f>
        <v>Secured</v>
      </c>
      <c r="P736" t="str">
        <f>_xlfn.XLOOKUP(Loans[[#This Row],[BranchCode]],BranchesTbl[BranchCode],BranchesTbl[BranchName])</f>
        <v>Malindi</v>
      </c>
      <c r="Q736">
        <f>_xlfn.XLOOKUP(Loans[[#This Row],[CustomerID]],CustomerTbl[CustomerID],CustomerTbl[RiskScore])</f>
        <v>320</v>
      </c>
      <c r="R736" t="str">
        <f>IFERROR(INDEX(RiskTbl[Risk_Category],MATCH(Loans[[#This Row],[RiskScore]],RiskTbl[Score_Min],1)),"Unknown")</f>
        <v>High Risk</v>
      </c>
      <c r="S736" t="str">
        <f>IF(OR(Loans[[#This Row],[LoanStatus]]="Default",Loans[[#This Row],[LoanStatus]]="Watchlist",Loans[[#This Row],[CollateralRisk]]="Undersecured",Loans[[#This Row],[RiskCategory]]="High Risk"),"High Risk Exposure","Normal")</f>
        <v>High Risk Exposure</v>
      </c>
      <c r="T736" t="str" cm="1">
        <f t="array" ref="T736">_xlfn.IFS(
Loans[[#This Row],[LoanStatus]]="Default","Critical",
OR(Loans[[#This Row],[LoanStatus]]="Watchlist",Loans[[#This Row],[CollateralRisk]]="Undersecured",Loans[[#This Row],[RiskCategory]]="High Risk"),"High",
TRUE,"Normal"
)</f>
        <v>Critical</v>
      </c>
    </row>
    <row r="737" spans="1:20" x14ac:dyDescent="0.35">
      <c r="A737" t="s">
        <v>1375</v>
      </c>
      <c r="B737" t="s">
        <v>432</v>
      </c>
      <c r="C737" t="s">
        <v>174</v>
      </c>
      <c r="D737" t="s">
        <v>156</v>
      </c>
      <c r="E737" s="34">
        <v>25000000</v>
      </c>
      <c r="F737" s="29">
        <v>0.18890000000000001</v>
      </c>
      <c r="G737" s="30">
        <v>44898</v>
      </c>
      <c r="H737">
        <v>24</v>
      </c>
      <c r="I737">
        <v>90</v>
      </c>
      <c r="J737" s="34">
        <v>24750000</v>
      </c>
      <c r="K737" t="s">
        <v>199</v>
      </c>
      <c r="L737" s="34">
        <f>PMT(Loans[[#This Row],[InterestRate]]/12,Loans[[#This Row],[LoanTenureMonths]],-Loans[[#This Row],[LoanAmount]])</f>
        <v>1258879.7422785759</v>
      </c>
      <c r="M737" s="30">
        <f>EDATE(Loans[[#This Row],[LoanStartDate]],Loans[[#This Row],[LoanTenureMonths]])</f>
        <v>45629</v>
      </c>
      <c r="N737" s="33">
        <f>IF(Loans[[#This Row],[LoanAmount]]=0,0,Loans[[#This Row],[CollateralValue]]/Loans[[#This Row],[LoanAmount]])</f>
        <v>0.99</v>
      </c>
      <c r="O737" t="str">
        <f>IF(Loans[[#This Row],[CollateralCoverageRatio]]&lt;1,"Undersecured","Secured")</f>
        <v>Undersecured</v>
      </c>
      <c r="P737" t="str">
        <f>_xlfn.XLOOKUP(Loans[[#This Row],[BranchCode]],BranchesTbl[BranchCode],BranchesTbl[BranchName])</f>
        <v>Westlands</v>
      </c>
      <c r="Q737">
        <f>_xlfn.XLOOKUP(Loans[[#This Row],[CustomerID]],CustomerTbl[CustomerID],CustomerTbl[RiskScore])</f>
        <v>517</v>
      </c>
      <c r="R737" t="str">
        <f>IFERROR(INDEX(RiskTbl[Risk_Category],MATCH(Loans[[#This Row],[RiskScore]],RiskTbl[Score_Min],1)),"Unknown")</f>
        <v>High Risk</v>
      </c>
      <c r="S737" t="str">
        <f>IF(OR(Loans[[#This Row],[LoanStatus]]="Default",Loans[[#This Row],[LoanStatus]]="Watchlist",Loans[[#This Row],[CollateralRisk]]="Undersecured",Loans[[#This Row],[RiskCategory]]="High Risk"),"High Risk Exposure","Normal")</f>
        <v>High Risk Exposure</v>
      </c>
      <c r="T737" t="str" cm="1">
        <f t="array" ref="T737">_xlfn.IFS(
Loans[[#This Row],[LoanStatus]]="Default","Critical",
OR(Loans[[#This Row],[LoanStatus]]="Watchlist",Loans[[#This Row],[CollateralRisk]]="Undersecured",Loans[[#This Row],[RiskCategory]]="High Risk"),"High",
TRUE,"Normal"
)</f>
        <v>High</v>
      </c>
    </row>
    <row r="738" spans="1:20" x14ac:dyDescent="0.35">
      <c r="A738" t="s">
        <v>1376</v>
      </c>
      <c r="B738" t="s">
        <v>1377</v>
      </c>
      <c r="C738" t="s">
        <v>232</v>
      </c>
      <c r="D738" t="s">
        <v>155</v>
      </c>
      <c r="E738" s="34">
        <v>100000</v>
      </c>
      <c r="F738" s="29">
        <v>0.26590000000000003</v>
      </c>
      <c r="G738" s="30">
        <v>44581</v>
      </c>
      <c r="H738">
        <v>12</v>
      </c>
      <c r="I738">
        <v>45</v>
      </c>
      <c r="J738" s="34">
        <v>0</v>
      </c>
      <c r="K738" t="s">
        <v>199</v>
      </c>
      <c r="L738" s="34">
        <f>PMT(Loans[[#This Row],[InterestRate]]/12,Loans[[#This Row],[LoanTenureMonths]],-Loans[[#This Row],[LoanAmount]])</f>
        <v>9581.7463570861455</v>
      </c>
      <c r="M738" s="30">
        <f>EDATE(Loans[[#This Row],[LoanStartDate]],Loans[[#This Row],[LoanTenureMonths]])</f>
        <v>44946</v>
      </c>
      <c r="N738" s="33">
        <f>IF(Loans[[#This Row],[LoanAmount]]=0,0,Loans[[#This Row],[CollateralValue]]/Loans[[#This Row],[LoanAmount]])</f>
        <v>0</v>
      </c>
      <c r="O738" t="str">
        <f>IF(Loans[[#This Row],[CollateralCoverageRatio]]&lt;1,"Undersecured","Secured")</f>
        <v>Undersecured</v>
      </c>
      <c r="P738" t="str">
        <f>_xlfn.XLOOKUP(Loans[[#This Row],[BranchCode]],BranchesTbl[BranchCode],BranchesTbl[BranchName])</f>
        <v>Upper Hill</v>
      </c>
      <c r="Q738">
        <f>_xlfn.XLOOKUP(Loans[[#This Row],[CustomerID]],CustomerTbl[CustomerID],CustomerTbl[RiskScore])</f>
        <v>682</v>
      </c>
      <c r="R738" t="str">
        <f>IFERROR(INDEX(RiskTbl[Risk_Category],MATCH(Loans[[#This Row],[RiskScore]],RiskTbl[Score_Min],1)),"Unknown")</f>
        <v>Low Risk</v>
      </c>
      <c r="S738" t="str">
        <f>IF(OR(Loans[[#This Row],[LoanStatus]]="Default",Loans[[#This Row],[LoanStatus]]="Watchlist",Loans[[#This Row],[CollateralRisk]]="Undersecured",Loans[[#This Row],[RiskCategory]]="High Risk"),"High Risk Exposure","Normal")</f>
        <v>High Risk Exposure</v>
      </c>
      <c r="T738" t="str" cm="1">
        <f t="array" ref="T738">_xlfn.IFS(
Loans[[#This Row],[LoanStatus]]="Default","Critical",
OR(Loans[[#This Row],[LoanStatus]]="Watchlist",Loans[[#This Row],[CollateralRisk]]="Undersecured",Loans[[#This Row],[RiskCategory]]="High Risk"),"High",
TRUE,"Normal"
)</f>
        <v>High</v>
      </c>
    </row>
    <row r="739" spans="1:20" x14ac:dyDescent="0.35">
      <c r="A739" t="s">
        <v>1378</v>
      </c>
      <c r="B739" t="s">
        <v>1379</v>
      </c>
      <c r="C739" t="s">
        <v>232</v>
      </c>
      <c r="D739" t="s">
        <v>156</v>
      </c>
      <c r="E739" s="34">
        <v>25000000</v>
      </c>
      <c r="F739" s="29">
        <v>0.19889999999999999</v>
      </c>
      <c r="G739" s="30">
        <v>45348</v>
      </c>
      <c r="H739">
        <v>72</v>
      </c>
      <c r="I739">
        <v>20</v>
      </c>
      <c r="J739" s="34">
        <v>29750000</v>
      </c>
      <c r="K739" t="s">
        <v>171</v>
      </c>
      <c r="L739" s="34">
        <f>PMT(Loans[[#This Row],[InterestRate]]/12,Loans[[#This Row],[LoanTenureMonths]],-Loans[[#This Row],[LoanAmount]])</f>
        <v>597227.67166800506</v>
      </c>
      <c r="M739" s="30">
        <f>EDATE(Loans[[#This Row],[LoanStartDate]],Loans[[#This Row],[LoanTenureMonths]])</f>
        <v>47540</v>
      </c>
      <c r="N739" s="33">
        <f>IF(Loans[[#This Row],[LoanAmount]]=0,0,Loans[[#This Row],[CollateralValue]]/Loans[[#This Row],[LoanAmount]])</f>
        <v>1.19</v>
      </c>
      <c r="O739" t="str">
        <f>IF(Loans[[#This Row],[CollateralCoverageRatio]]&lt;1,"Undersecured","Secured")</f>
        <v>Secured</v>
      </c>
      <c r="P739" t="str">
        <f>_xlfn.XLOOKUP(Loans[[#This Row],[BranchCode]],BranchesTbl[BranchCode],BranchesTbl[BranchName])</f>
        <v>Upper Hill</v>
      </c>
      <c r="Q739">
        <f>_xlfn.XLOOKUP(Loans[[#This Row],[CustomerID]],CustomerTbl[CustomerID],CustomerTbl[RiskScore])</f>
        <v>810</v>
      </c>
      <c r="R739" t="str">
        <f>IFERROR(INDEX(RiskTbl[Risk_Category],MATCH(Loans[[#This Row],[RiskScore]],RiskTbl[Score_Min],1)),"Unknown")</f>
        <v>Prime</v>
      </c>
      <c r="S739" t="str">
        <f>IF(OR(Loans[[#This Row],[LoanStatus]]="Default",Loans[[#This Row],[LoanStatus]]="Watchlist",Loans[[#This Row],[CollateralRisk]]="Undersecured",Loans[[#This Row],[RiskCategory]]="High Risk"),"High Risk Exposure","Normal")</f>
        <v>Normal</v>
      </c>
      <c r="T739" t="str" cm="1">
        <f t="array" ref="T739">_xlfn.IFS(
Loans[[#This Row],[LoanStatus]]="Default","Critical",
OR(Loans[[#This Row],[LoanStatus]]="Watchlist",Loans[[#This Row],[CollateralRisk]]="Undersecured",Loans[[#This Row],[RiskCategory]]="High Risk"),"High",
TRUE,"Normal"
)</f>
        <v>Normal</v>
      </c>
    </row>
    <row r="740" spans="1:20" x14ac:dyDescent="0.35">
      <c r="A740" t="s">
        <v>1380</v>
      </c>
      <c r="B740" t="s">
        <v>547</v>
      </c>
      <c r="C740" t="s">
        <v>219</v>
      </c>
      <c r="D740" t="s">
        <v>156</v>
      </c>
      <c r="E740" s="34">
        <v>1000000</v>
      </c>
      <c r="F740" s="29">
        <v>0.2203</v>
      </c>
      <c r="G740" s="30">
        <v>45464</v>
      </c>
      <c r="H740">
        <v>36</v>
      </c>
      <c r="I740">
        <v>20</v>
      </c>
      <c r="J740" s="34">
        <v>520000</v>
      </c>
      <c r="K740" t="s">
        <v>171</v>
      </c>
      <c r="L740" s="34">
        <f>PMT(Loans[[#This Row],[InterestRate]]/12,Loans[[#This Row],[LoanTenureMonths]],-Loans[[#This Row],[LoanAmount]])</f>
        <v>38205.974836495952</v>
      </c>
      <c r="M740" s="30">
        <f>EDATE(Loans[[#This Row],[LoanStartDate]],Loans[[#This Row],[LoanTenureMonths]])</f>
        <v>46559</v>
      </c>
      <c r="N740" s="33">
        <f>IF(Loans[[#This Row],[LoanAmount]]=0,0,Loans[[#This Row],[CollateralValue]]/Loans[[#This Row],[LoanAmount]])</f>
        <v>0.52</v>
      </c>
      <c r="O740" t="str">
        <f>IF(Loans[[#This Row],[CollateralCoverageRatio]]&lt;1,"Undersecured","Secured")</f>
        <v>Undersecured</v>
      </c>
      <c r="P740" t="str">
        <f>_xlfn.XLOOKUP(Loans[[#This Row],[BranchCode]],BranchesTbl[BranchCode],BranchesTbl[BranchName])</f>
        <v>Meru</v>
      </c>
      <c r="Q740">
        <f>_xlfn.XLOOKUP(Loans[[#This Row],[CustomerID]],CustomerTbl[CustomerID],CustomerTbl[RiskScore])</f>
        <v>615</v>
      </c>
      <c r="R740" t="str">
        <f>IFERROR(INDEX(RiskTbl[Risk_Category],MATCH(Loans[[#This Row],[RiskScore]],RiskTbl[Score_Min],1)),"Unknown")</f>
        <v>Medium Risk</v>
      </c>
      <c r="S740" t="str">
        <f>IF(OR(Loans[[#This Row],[LoanStatus]]="Default",Loans[[#This Row],[LoanStatus]]="Watchlist",Loans[[#This Row],[CollateralRisk]]="Undersecured",Loans[[#This Row],[RiskCategory]]="High Risk"),"High Risk Exposure","Normal")</f>
        <v>High Risk Exposure</v>
      </c>
      <c r="T740" t="str" cm="1">
        <f t="array" ref="T740">_xlfn.IFS(
Loans[[#This Row],[LoanStatus]]="Default","Critical",
OR(Loans[[#This Row],[LoanStatus]]="Watchlist",Loans[[#This Row],[CollateralRisk]]="Undersecured",Loans[[#This Row],[RiskCategory]]="High Risk"),"High",
TRUE,"Normal"
)</f>
        <v>High</v>
      </c>
    </row>
    <row r="741" spans="1:20" x14ac:dyDescent="0.35">
      <c r="A741" t="s">
        <v>1381</v>
      </c>
      <c r="B741" t="s">
        <v>1382</v>
      </c>
      <c r="C741" t="s">
        <v>187</v>
      </c>
      <c r="D741" t="s">
        <v>158</v>
      </c>
      <c r="E741" s="34">
        <v>500000</v>
      </c>
      <c r="F741" s="29">
        <v>0.16880000000000001</v>
      </c>
      <c r="G741" s="30">
        <v>44267</v>
      </c>
      <c r="H741">
        <v>60</v>
      </c>
      <c r="I741">
        <v>0</v>
      </c>
      <c r="J741" s="34">
        <v>580000</v>
      </c>
      <c r="K741" t="s">
        <v>171</v>
      </c>
      <c r="L741" s="34">
        <f>PMT(Loans[[#This Row],[InterestRate]]/12,Loans[[#This Row],[LoanTenureMonths]],-Loans[[#This Row],[LoanAmount]])</f>
        <v>12394.048984356748</v>
      </c>
      <c r="M741" s="30">
        <f>EDATE(Loans[[#This Row],[LoanStartDate]],Loans[[#This Row],[LoanTenureMonths]])</f>
        <v>46093</v>
      </c>
      <c r="N741" s="33">
        <f>IF(Loans[[#This Row],[LoanAmount]]=0,0,Loans[[#This Row],[CollateralValue]]/Loans[[#This Row],[LoanAmount]])</f>
        <v>1.1599999999999999</v>
      </c>
      <c r="O741" t="str">
        <f>IF(Loans[[#This Row],[CollateralCoverageRatio]]&lt;1,"Undersecured","Secured")</f>
        <v>Secured</v>
      </c>
      <c r="P741" t="str">
        <f>_xlfn.XLOOKUP(Loans[[#This Row],[BranchCode]],BranchesTbl[BranchCode],BranchesTbl[BranchName])</f>
        <v>Eldoret</v>
      </c>
      <c r="Q741">
        <f>_xlfn.XLOOKUP(Loans[[#This Row],[CustomerID]],CustomerTbl[CustomerID],CustomerTbl[RiskScore])</f>
        <v>789</v>
      </c>
      <c r="R741" t="str">
        <f>IFERROR(INDEX(RiskTbl[Risk_Category],MATCH(Loans[[#This Row],[RiskScore]],RiskTbl[Score_Min],1)),"Unknown")</f>
        <v>Very Low Risk</v>
      </c>
      <c r="S741" t="str">
        <f>IF(OR(Loans[[#This Row],[LoanStatus]]="Default",Loans[[#This Row],[LoanStatus]]="Watchlist",Loans[[#This Row],[CollateralRisk]]="Undersecured",Loans[[#This Row],[RiskCategory]]="High Risk"),"High Risk Exposure","Normal")</f>
        <v>Normal</v>
      </c>
      <c r="T741" t="str" cm="1">
        <f t="array" ref="T741">_xlfn.IFS(
Loans[[#This Row],[LoanStatus]]="Default","Critical",
OR(Loans[[#This Row],[LoanStatus]]="Watchlist",Loans[[#This Row],[CollateralRisk]]="Undersecured",Loans[[#This Row],[RiskCategory]]="High Risk"),"High",
TRUE,"Normal"
)</f>
        <v>Normal</v>
      </c>
    </row>
    <row r="742" spans="1:20" x14ac:dyDescent="0.35">
      <c r="A742" t="s">
        <v>1383</v>
      </c>
      <c r="B742" t="s">
        <v>361</v>
      </c>
      <c r="C742" t="s">
        <v>239</v>
      </c>
      <c r="D742" t="s">
        <v>155</v>
      </c>
      <c r="E742" s="34">
        <v>500000</v>
      </c>
      <c r="F742" s="29">
        <v>0.26250000000000001</v>
      </c>
      <c r="G742" s="30">
        <v>45218</v>
      </c>
      <c r="H742">
        <v>24</v>
      </c>
      <c r="I742">
        <v>45</v>
      </c>
      <c r="J742" s="34">
        <v>0</v>
      </c>
      <c r="K742" t="s">
        <v>199</v>
      </c>
      <c r="L742" s="34">
        <f>PMT(Loans[[#This Row],[InterestRate]]/12,Loans[[#This Row],[LoanTenureMonths]],-Loans[[#This Row],[LoanAmount]])</f>
        <v>27000.368799350286</v>
      </c>
      <c r="M742" s="30">
        <f>EDATE(Loans[[#This Row],[LoanStartDate]],Loans[[#This Row],[LoanTenureMonths]])</f>
        <v>45949</v>
      </c>
      <c r="N742" s="33">
        <f>IF(Loans[[#This Row],[LoanAmount]]=0,0,Loans[[#This Row],[CollateralValue]]/Loans[[#This Row],[LoanAmount]])</f>
        <v>0</v>
      </c>
      <c r="O742" t="str">
        <f>IF(Loans[[#This Row],[CollateralCoverageRatio]]&lt;1,"Undersecured","Secured")</f>
        <v>Undersecured</v>
      </c>
      <c r="P742" t="str">
        <f>_xlfn.XLOOKUP(Loans[[#This Row],[BranchCode]],BranchesTbl[BranchCode],BranchesTbl[BranchName])</f>
        <v>Machakos</v>
      </c>
      <c r="Q742">
        <f>_xlfn.XLOOKUP(Loans[[#This Row],[CustomerID]],CustomerTbl[CustomerID],CustomerTbl[RiskScore])</f>
        <v>588</v>
      </c>
      <c r="R742" t="str">
        <f>IFERROR(INDEX(RiskTbl[Risk_Category],MATCH(Loans[[#This Row],[RiskScore]],RiskTbl[Score_Min],1)),"Unknown")</f>
        <v>Medium Risk</v>
      </c>
      <c r="S742" t="str">
        <f>IF(OR(Loans[[#This Row],[LoanStatus]]="Default",Loans[[#This Row],[LoanStatus]]="Watchlist",Loans[[#This Row],[CollateralRisk]]="Undersecured",Loans[[#This Row],[RiskCategory]]="High Risk"),"High Risk Exposure","Normal")</f>
        <v>High Risk Exposure</v>
      </c>
      <c r="T742" t="str" cm="1">
        <f t="array" ref="T742">_xlfn.IFS(
Loans[[#This Row],[LoanStatus]]="Default","Critical",
OR(Loans[[#This Row],[LoanStatus]]="Watchlist",Loans[[#This Row],[CollateralRisk]]="Undersecured",Loans[[#This Row],[RiskCategory]]="High Risk"),"High",
TRUE,"Normal"
)</f>
        <v>High</v>
      </c>
    </row>
    <row r="743" spans="1:20" x14ac:dyDescent="0.35">
      <c r="A743" t="s">
        <v>1384</v>
      </c>
      <c r="B743" t="s">
        <v>1385</v>
      </c>
      <c r="C743" t="s">
        <v>267</v>
      </c>
      <c r="D743" t="s">
        <v>157</v>
      </c>
      <c r="E743" s="34">
        <v>25000000</v>
      </c>
      <c r="F743" s="29">
        <v>0.11310000000000001</v>
      </c>
      <c r="G743" s="30">
        <v>44247</v>
      </c>
      <c r="H743">
        <v>60</v>
      </c>
      <c r="I743">
        <v>5</v>
      </c>
      <c r="J743" s="34">
        <v>26250000</v>
      </c>
      <c r="K743" t="s">
        <v>171</v>
      </c>
      <c r="L743" s="34">
        <f>PMT(Loans[[#This Row],[InterestRate]]/12,Loans[[#This Row],[LoanTenureMonths]],-Loans[[#This Row],[LoanAmount]])</f>
        <v>547433.54887343489</v>
      </c>
      <c r="M743" s="30">
        <f>EDATE(Loans[[#This Row],[LoanStartDate]],Loans[[#This Row],[LoanTenureMonths]])</f>
        <v>46073</v>
      </c>
      <c r="N743" s="33">
        <f>IF(Loans[[#This Row],[LoanAmount]]=0,0,Loans[[#This Row],[CollateralValue]]/Loans[[#This Row],[LoanAmount]])</f>
        <v>1.05</v>
      </c>
      <c r="O743" t="str">
        <f>IF(Loans[[#This Row],[CollateralCoverageRatio]]&lt;1,"Undersecured","Secured")</f>
        <v>Secured</v>
      </c>
      <c r="P743" t="str">
        <f>_xlfn.XLOOKUP(Loans[[#This Row],[BranchCode]],BranchesTbl[BranchCode],BranchesTbl[BranchName])</f>
        <v>Malindi</v>
      </c>
      <c r="Q743">
        <f>_xlfn.XLOOKUP(Loans[[#This Row],[CustomerID]],CustomerTbl[CustomerID],CustomerTbl[RiskScore])</f>
        <v>476</v>
      </c>
      <c r="R743" t="str">
        <f>IFERROR(INDEX(RiskTbl[Risk_Category],MATCH(Loans[[#This Row],[RiskScore]],RiskTbl[Score_Min],1)),"Unknown")</f>
        <v>High Risk</v>
      </c>
      <c r="S743" t="str">
        <f>IF(OR(Loans[[#This Row],[LoanStatus]]="Default",Loans[[#This Row],[LoanStatus]]="Watchlist",Loans[[#This Row],[CollateralRisk]]="Undersecured",Loans[[#This Row],[RiskCategory]]="High Risk"),"High Risk Exposure","Normal")</f>
        <v>High Risk Exposure</v>
      </c>
      <c r="T743" t="str" cm="1">
        <f t="array" ref="T743">_xlfn.IFS(
Loans[[#This Row],[LoanStatus]]="Default","Critical",
OR(Loans[[#This Row],[LoanStatus]]="Watchlist",Loans[[#This Row],[CollateralRisk]]="Undersecured",Loans[[#This Row],[RiskCategory]]="High Risk"),"High",
TRUE,"Normal"
)</f>
        <v>High</v>
      </c>
    </row>
    <row r="744" spans="1:20" x14ac:dyDescent="0.35">
      <c r="A744" t="s">
        <v>1386</v>
      </c>
      <c r="B744" t="s">
        <v>391</v>
      </c>
      <c r="C744" t="s">
        <v>270</v>
      </c>
      <c r="D744" t="s">
        <v>157</v>
      </c>
      <c r="E744" s="34">
        <v>25000000</v>
      </c>
      <c r="F744" s="29">
        <v>0.10879999999999999</v>
      </c>
      <c r="G744" s="30">
        <v>44576</v>
      </c>
      <c r="H744">
        <v>72</v>
      </c>
      <c r="I744">
        <v>0</v>
      </c>
      <c r="J744" s="34">
        <v>27000000</v>
      </c>
      <c r="K744" t="s">
        <v>171</v>
      </c>
      <c r="L744" s="34">
        <f>PMT(Loans[[#This Row],[InterestRate]]/12,Loans[[#This Row],[LoanTenureMonths]],-Loans[[#This Row],[LoanAmount]])</f>
        <v>474316.82514499722</v>
      </c>
      <c r="M744" s="30">
        <f>EDATE(Loans[[#This Row],[LoanStartDate]],Loans[[#This Row],[LoanTenureMonths]])</f>
        <v>46767</v>
      </c>
      <c r="N744" s="33">
        <f>IF(Loans[[#This Row],[LoanAmount]]=0,0,Loans[[#This Row],[CollateralValue]]/Loans[[#This Row],[LoanAmount]])</f>
        <v>1.08</v>
      </c>
      <c r="O744" t="str">
        <f>IF(Loans[[#This Row],[CollateralCoverageRatio]]&lt;1,"Undersecured","Secured")</f>
        <v>Secured</v>
      </c>
      <c r="P744" t="str">
        <f>_xlfn.XLOOKUP(Loans[[#This Row],[BranchCode]],BranchesTbl[BranchCode],BranchesTbl[BranchName])</f>
        <v>Nakuru</v>
      </c>
      <c r="Q744">
        <f>_xlfn.XLOOKUP(Loans[[#This Row],[CustomerID]],CustomerTbl[CustomerID],CustomerTbl[RiskScore])</f>
        <v>411</v>
      </c>
      <c r="R744" t="str">
        <f>IFERROR(INDEX(RiskTbl[Risk_Category],MATCH(Loans[[#This Row],[RiskScore]],RiskTbl[Score_Min],1)),"Unknown")</f>
        <v>High Risk</v>
      </c>
      <c r="S744" t="str">
        <f>IF(OR(Loans[[#This Row],[LoanStatus]]="Default",Loans[[#This Row],[LoanStatus]]="Watchlist",Loans[[#This Row],[CollateralRisk]]="Undersecured",Loans[[#This Row],[RiskCategory]]="High Risk"),"High Risk Exposure","Normal")</f>
        <v>High Risk Exposure</v>
      </c>
      <c r="T744" t="str" cm="1">
        <f t="array" ref="T744">_xlfn.IFS(
Loans[[#This Row],[LoanStatus]]="Default","Critical",
OR(Loans[[#This Row],[LoanStatus]]="Watchlist",Loans[[#This Row],[CollateralRisk]]="Undersecured",Loans[[#This Row],[RiskCategory]]="High Risk"),"High",
TRUE,"Normal"
)</f>
        <v>High</v>
      </c>
    </row>
    <row r="745" spans="1:20" x14ac:dyDescent="0.35">
      <c r="A745" t="s">
        <v>1387</v>
      </c>
      <c r="B745" t="s">
        <v>1388</v>
      </c>
      <c r="C745" t="s">
        <v>193</v>
      </c>
      <c r="D745" t="s">
        <v>157</v>
      </c>
      <c r="E745" s="34">
        <v>25000000</v>
      </c>
      <c r="F745" s="29">
        <v>0.12970000000000001</v>
      </c>
      <c r="G745" s="30">
        <v>45183</v>
      </c>
      <c r="H745">
        <v>24</v>
      </c>
      <c r="I745">
        <v>45</v>
      </c>
      <c r="J745" s="34">
        <v>20750000</v>
      </c>
      <c r="K745" t="s">
        <v>199</v>
      </c>
      <c r="L745" s="34">
        <f>PMT(Loans[[#This Row],[InterestRate]]/12,Loans[[#This Row],[LoanTenureMonths]],-Loans[[#This Row],[LoanAmount]])</f>
        <v>1188193.315296225</v>
      </c>
      <c r="M745" s="30">
        <f>EDATE(Loans[[#This Row],[LoanStartDate]],Loans[[#This Row],[LoanTenureMonths]])</f>
        <v>45914</v>
      </c>
      <c r="N745" s="33">
        <f>IF(Loans[[#This Row],[LoanAmount]]=0,0,Loans[[#This Row],[CollateralValue]]/Loans[[#This Row],[LoanAmount]])</f>
        <v>0.83</v>
      </c>
      <c r="O745" t="str">
        <f>IF(Loans[[#This Row],[CollateralCoverageRatio]]&lt;1,"Undersecured","Secured")</f>
        <v>Undersecured</v>
      </c>
      <c r="P745" t="str">
        <f>_xlfn.XLOOKUP(Loans[[#This Row],[BranchCode]],BranchesTbl[BranchCode],BranchesTbl[BranchName])</f>
        <v>Mombasa</v>
      </c>
      <c r="Q745">
        <f>_xlfn.XLOOKUP(Loans[[#This Row],[CustomerID]],CustomerTbl[CustomerID],CustomerTbl[RiskScore])</f>
        <v>603</v>
      </c>
      <c r="R745" t="str">
        <f>IFERROR(INDEX(RiskTbl[Risk_Category],MATCH(Loans[[#This Row],[RiskScore]],RiskTbl[Score_Min],1)),"Unknown")</f>
        <v>Medium Risk</v>
      </c>
      <c r="S745" t="str">
        <f>IF(OR(Loans[[#This Row],[LoanStatus]]="Default",Loans[[#This Row],[LoanStatus]]="Watchlist",Loans[[#This Row],[CollateralRisk]]="Undersecured",Loans[[#This Row],[RiskCategory]]="High Risk"),"High Risk Exposure","Normal")</f>
        <v>High Risk Exposure</v>
      </c>
      <c r="T745" t="str" cm="1">
        <f t="array" ref="T745">_xlfn.IFS(
Loans[[#This Row],[LoanStatus]]="Default","Critical",
OR(Loans[[#This Row],[LoanStatus]]="Watchlist",Loans[[#This Row],[CollateralRisk]]="Undersecured",Loans[[#This Row],[RiskCategory]]="High Risk"),"High",
TRUE,"Normal"
)</f>
        <v>High</v>
      </c>
    </row>
    <row r="746" spans="1:20" x14ac:dyDescent="0.35">
      <c r="A746" t="s">
        <v>1389</v>
      </c>
      <c r="B746" t="s">
        <v>1390</v>
      </c>
      <c r="C746" t="s">
        <v>193</v>
      </c>
      <c r="D746" t="s">
        <v>157</v>
      </c>
      <c r="E746" s="34">
        <v>80000000</v>
      </c>
      <c r="F746" s="29">
        <v>9.6500000000000002E-2</v>
      </c>
      <c r="G746" s="30">
        <v>44618</v>
      </c>
      <c r="H746">
        <v>12</v>
      </c>
      <c r="I746">
        <v>20</v>
      </c>
      <c r="J746" s="34">
        <v>52800000</v>
      </c>
      <c r="K746" t="s">
        <v>171</v>
      </c>
      <c r="L746" s="34">
        <f>PMT(Loans[[#This Row],[InterestRate]]/12,Loans[[#This Row],[LoanTenureMonths]],-Loans[[#This Row],[LoanAmount]])</f>
        <v>7020255.0939528048</v>
      </c>
      <c r="M746" s="30">
        <f>EDATE(Loans[[#This Row],[LoanStartDate]],Loans[[#This Row],[LoanTenureMonths]])</f>
        <v>44983</v>
      </c>
      <c r="N746" s="33">
        <f>IF(Loans[[#This Row],[LoanAmount]]=0,0,Loans[[#This Row],[CollateralValue]]/Loans[[#This Row],[LoanAmount]])</f>
        <v>0.66</v>
      </c>
      <c r="O746" t="str">
        <f>IF(Loans[[#This Row],[CollateralCoverageRatio]]&lt;1,"Undersecured","Secured")</f>
        <v>Undersecured</v>
      </c>
      <c r="P746" t="str">
        <f>_xlfn.XLOOKUP(Loans[[#This Row],[BranchCode]],BranchesTbl[BranchCode],BranchesTbl[BranchName])</f>
        <v>Mombasa</v>
      </c>
      <c r="Q746">
        <f>_xlfn.XLOOKUP(Loans[[#This Row],[CustomerID]],CustomerTbl[CustomerID],CustomerTbl[RiskScore])</f>
        <v>733</v>
      </c>
      <c r="R746" t="str">
        <f>IFERROR(INDEX(RiskTbl[Risk_Category],MATCH(Loans[[#This Row],[RiskScore]],RiskTbl[Score_Min],1)),"Unknown")</f>
        <v>Low Risk</v>
      </c>
      <c r="S746" t="str">
        <f>IF(OR(Loans[[#This Row],[LoanStatus]]="Default",Loans[[#This Row],[LoanStatus]]="Watchlist",Loans[[#This Row],[CollateralRisk]]="Undersecured",Loans[[#This Row],[RiskCategory]]="High Risk"),"High Risk Exposure","Normal")</f>
        <v>High Risk Exposure</v>
      </c>
      <c r="T746" t="str" cm="1">
        <f t="array" ref="T746">_xlfn.IFS(
Loans[[#This Row],[LoanStatus]]="Default","Critical",
OR(Loans[[#This Row],[LoanStatus]]="Watchlist",Loans[[#This Row],[CollateralRisk]]="Undersecured",Loans[[#This Row],[RiskCategory]]="High Risk"),"High",
TRUE,"Normal"
)</f>
        <v>High</v>
      </c>
    </row>
    <row r="747" spans="1:20" x14ac:dyDescent="0.35">
      <c r="A747" t="s">
        <v>1391</v>
      </c>
      <c r="B747" t="s">
        <v>1392</v>
      </c>
      <c r="C747" t="s">
        <v>184</v>
      </c>
      <c r="D747" t="s">
        <v>157</v>
      </c>
      <c r="E747" s="34">
        <v>25000000</v>
      </c>
      <c r="F747" s="29">
        <v>9.6699999999999994E-2</v>
      </c>
      <c r="G747" s="30">
        <v>45240</v>
      </c>
      <c r="H747">
        <v>24</v>
      </c>
      <c r="I747">
        <v>0</v>
      </c>
      <c r="J747" s="34">
        <v>36750000</v>
      </c>
      <c r="K747" t="s">
        <v>171</v>
      </c>
      <c r="L747" s="34">
        <f>PMT(Loans[[#This Row],[InterestRate]]/12,Loans[[#This Row],[LoanTenureMonths]],-Loans[[#This Row],[LoanAmount]])</f>
        <v>1149819.0942367131</v>
      </c>
      <c r="M747" s="30">
        <f>EDATE(Loans[[#This Row],[LoanStartDate]],Loans[[#This Row],[LoanTenureMonths]])</f>
        <v>45971</v>
      </c>
      <c r="N747" s="33">
        <f>IF(Loans[[#This Row],[LoanAmount]]=0,0,Loans[[#This Row],[CollateralValue]]/Loans[[#This Row],[LoanAmount]])</f>
        <v>1.47</v>
      </c>
      <c r="O747" t="str">
        <f>IF(Loans[[#This Row],[CollateralCoverageRatio]]&lt;1,"Undersecured","Secured")</f>
        <v>Secured</v>
      </c>
      <c r="P747" t="str">
        <f>_xlfn.XLOOKUP(Loans[[#This Row],[BranchCode]],BranchesTbl[BranchCode],BranchesTbl[BranchName])</f>
        <v>Kisumu</v>
      </c>
      <c r="Q747">
        <f>_xlfn.XLOOKUP(Loans[[#This Row],[CustomerID]],CustomerTbl[CustomerID],CustomerTbl[RiskScore])</f>
        <v>625</v>
      </c>
      <c r="R747" t="str">
        <f>IFERROR(INDEX(RiskTbl[Risk_Category],MATCH(Loans[[#This Row],[RiskScore]],RiskTbl[Score_Min],1)),"Unknown")</f>
        <v>Medium Risk</v>
      </c>
      <c r="S747" t="str">
        <f>IF(OR(Loans[[#This Row],[LoanStatus]]="Default",Loans[[#This Row],[LoanStatus]]="Watchlist",Loans[[#This Row],[CollateralRisk]]="Undersecured",Loans[[#This Row],[RiskCategory]]="High Risk"),"High Risk Exposure","Normal")</f>
        <v>Normal</v>
      </c>
      <c r="T747" t="str" cm="1">
        <f t="array" ref="T747">_xlfn.IFS(
Loans[[#This Row],[LoanStatus]]="Default","Critical",
OR(Loans[[#This Row],[LoanStatus]]="Watchlist",Loans[[#This Row],[CollateralRisk]]="Undersecured",Loans[[#This Row],[RiskCategory]]="High Risk"),"High",
TRUE,"Normal"
)</f>
        <v>Normal</v>
      </c>
    </row>
    <row r="748" spans="1:20" x14ac:dyDescent="0.35">
      <c r="A748" t="s">
        <v>1393</v>
      </c>
      <c r="B748" t="s">
        <v>585</v>
      </c>
      <c r="C748" t="s">
        <v>232</v>
      </c>
      <c r="D748" t="s">
        <v>158</v>
      </c>
      <c r="E748" s="34">
        <v>500000</v>
      </c>
      <c r="F748" s="29">
        <v>0.13589999999999999</v>
      </c>
      <c r="G748" s="30">
        <v>44175</v>
      </c>
      <c r="H748">
        <v>12</v>
      </c>
      <c r="I748">
        <v>0</v>
      </c>
      <c r="J748" s="34">
        <v>735000</v>
      </c>
      <c r="K748" t="s">
        <v>171</v>
      </c>
      <c r="L748" s="34">
        <f>PMT(Loans[[#This Row],[InterestRate]]/12,Loans[[#This Row],[LoanTenureMonths]],-Loans[[#This Row],[LoanAmount]])</f>
        <v>44797.159345628585</v>
      </c>
      <c r="M748" s="30">
        <f>EDATE(Loans[[#This Row],[LoanStartDate]],Loans[[#This Row],[LoanTenureMonths]])</f>
        <v>44540</v>
      </c>
      <c r="N748" s="33">
        <f>IF(Loans[[#This Row],[LoanAmount]]=0,0,Loans[[#This Row],[CollateralValue]]/Loans[[#This Row],[LoanAmount]])</f>
        <v>1.47</v>
      </c>
      <c r="O748" t="str">
        <f>IF(Loans[[#This Row],[CollateralCoverageRatio]]&lt;1,"Undersecured","Secured")</f>
        <v>Secured</v>
      </c>
      <c r="P748" t="str">
        <f>_xlfn.XLOOKUP(Loans[[#This Row],[BranchCode]],BranchesTbl[BranchCode],BranchesTbl[BranchName])</f>
        <v>Upper Hill</v>
      </c>
      <c r="Q748">
        <f>_xlfn.XLOOKUP(Loans[[#This Row],[CustomerID]],CustomerTbl[CustomerID],CustomerTbl[RiskScore])</f>
        <v>623</v>
      </c>
      <c r="R748" t="str">
        <f>IFERROR(INDEX(RiskTbl[Risk_Category],MATCH(Loans[[#This Row],[RiskScore]],RiskTbl[Score_Min],1)),"Unknown")</f>
        <v>Medium Risk</v>
      </c>
      <c r="S748" t="str">
        <f>IF(OR(Loans[[#This Row],[LoanStatus]]="Default",Loans[[#This Row],[LoanStatus]]="Watchlist",Loans[[#This Row],[CollateralRisk]]="Undersecured",Loans[[#This Row],[RiskCategory]]="High Risk"),"High Risk Exposure","Normal")</f>
        <v>Normal</v>
      </c>
      <c r="T748" t="str" cm="1">
        <f t="array" ref="T748">_xlfn.IFS(
Loans[[#This Row],[LoanStatus]]="Default","Critical",
OR(Loans[[#This Row],[LoanStatus]]="Watchlist",Loans[[#This Row],[CollateralRisk]]="Undersecured",Loans[[#This Row],[RiskCategory]]="High Risk"),"High",
TRUE,"Normal"
)</f>
        <v>Normal</v>
      </c>
    </row>
    <row r="749" spans="1:20" x14ac:dyDescent="0.35">
      <c r="A749" t="s">
        <v>1394</v>
      </c>
      <c r="B749" t="s">
        <v>1395</v>
      </c>
      <c r="C749" t="s">
        <v>190</v>
      </c>
      <c r="D749" t="s">
        <v>155</v>
      </c>
      <c r="E749" s="34">
        <v>1000000</v>
      </c>
      <c r="F749" s="29">
        <v>0.24729999999999999</v>
      </c>
      <c r="G749" s="30">
        <v>44293</v>
      </c>
      <c r="H749">
        <v>24</v>
      </c>
      <c r="I749">
        <v>0</v>
      </c>
      <c r="J749" s="34">
        <v>0</v>
      </c>
      <c r="K749" t="s">
        <v>171</v>
      </c>
      <c r="L749" s="34">
        <f>PMT(Loans[[#This Row],[InterestRate]]/12,Loans[[#This Row],[LoanTenureMonths]],-Loans[[#This Row],[LoanAmount]])</f>
        <v>53236.147170653487</v>
      </c>
      <c r="M749" s="30">
        <f>EDATE(Loans[[#This Row],[LoanStartDate]],Loans[[#This Row],[LoanTenureMonths]])</f>
        <v>45023</v>
      </c>
      <c r="N749" s="33">
        <f>IF(Loans[[#This Row],[LoanAmount]]=0,0,Loans[[#This Row],[CollateralValue]]/Loans[[#This Row],[LoanAmount]])</f>
        <v>0</v>
      </c>
      <c r="O749" t="str">
        <f>IF(Loans[[#This Row],[CollateralCoverageRatio]]&lt;1,"Undersecured","Secured")</f>
        <v>Undersecured</v>
      </c>
      <c r="P749" t="str">
        <f>_xlfn.XLOOKUP(Loans[[#This Row],[BranchCode]],BranchesTbl[BranchCode],BranchesTbl[BranchName])</f>
        <v>Nyeri</v>
      </c>
      <c r="Q749">
        <f>_xlfn.XLOOKUP(Loans[[#This Row],[CustomerID]],CustomerTbl[CustomerID],CustomerTbl[RiskScore])</f>
        <v>504</v>
      </c>
      <c r="R749" t="str">
        <f>IFERROR(INDEX(RiskTbl[Risk_Category],MATCH(Loans[[#This Row],[RiskScore]],RiskTbl[Score_Min],1)),"Unknown")</f>
        <v>High Risk</v>
      </c>
      <c r="S749" t="str">
        <f>IF(OR(Loans[[#This Row],[LoanStatus]]="Default",Loans[[#This Row],[LoanStatus]]="Watchlist",Loans[[#This Row],[CollateralRisk]]="Undersecured",Loans[[#This Row],[RiskCategory]]="High Risk"),"High Risk Exposure","Normal")</f>
        <v>High Risk Exposure</v>
      </c>
      <c r="T749" t="str" cm="1">
        <f t="array" ref="T749">_xlfn.IFS(
Loans[[#This Row],[LoanStatus]]="Default","Critical",
OR(Loans[[#This Row],[LoanStatus]]="Watchlist",Loans[[#This Row],[CollateralRisk]]="Undersecured",Loans[[#This Row],[RiskCategory]]="High Risk"),"High",
TRUE,"Normal"
)</f>
        <v>High</v>
      </c>
    </row>
    <row r="750" spans="1:20" x14ac:dyDescent="0.35">
      <c r="A750" t="s">
        <v>1396</v>
      </c>
      <c r="B750" t="s">
        <v>782</v>
      </c>
      <c r="C750" t="s">
        <v>174</v>
      </c>
      <c r="D750" t="s">
        <v>155</v>
      </c>
      <c r="E750" s="34">
        <v>1000000</v>
      </c>
      <c r="F750" s="29">
        <v>0.23880000000000001</v>
      </c>
      <c r="G750" s="30">
        <v>45331</v>
      </c>
      <c r="H750">
        <v>48</v>
      </c>
      <c r="I750">
        <v>5</v>
      </c>
      <c r="J750" s="34">
        <v>0</v>
      </c>
      <c r="K750" t="s">
        <v>171</v>
      </c>
      <c r="L750" s="34">
        <f>PMT(Loans[[#This Row],[InterestRate]]/12,Loans[[#This Row],[LoanTenureMonths]],-Loans[[#This Row],[LoanAmount]])</f>
        <v>32535.530802832447</v>
      </c>
      <c r="M750" s="30">
        <f>EDATE(Loans[[#This Row],[LoanStartDate]],Loans[[#This Row],[LoanTenureMonths]])</f>
        <v>46792</v>
      </c>
      <c r="N750" s="33">
        <f>IF(Loans[[#This Row],[LoanAmount]]=0,0,Loans[[#This Row],[CollateralValue]]/Loans[[#This Row],[LoanAmount]])</f>
        <v>0</v>
      </c>
      <c r="O750" t="str">
        <f>IF(Loans[[#This Row],[CollateralCoverageRatio]]&lt;1,"Undersecured","Secured")</f>
        <v>Undersecured</v>
      </c>
      <c r="P750" t="str">
        <f>_xlfn.XLOOKUP(Loans[[#This Row],[BranchCode]],BranchesTbl[BranchCode],BranchesTbl[BranchName])</f>
        <v>Westlands</v>
      </c>
      <c r="Q750">
        <f>_xlfn.XLOOKUP(Loans[[#This Row],[CustomerID]],CustomerTbl[CustomerID],CustomerTbl[RiskScore])</f>
        <v>655</v>
      </c>
      <c r="R750" t="str">
        <f>IFERROR(INDEX(RiskTbl[Risk_Category],MATCH(Loans[[#This Row],[RiskScore]],RiskTbl[Score_Min],1)),"Unknown")</f>
        <v>Medium Risk</v>
      </c>
      <c r="S750" t="str">
        <f>IF(OR(Loans[[#This Row],[LoanStatus]]="Default",Loans[[#This Row],[LoanStatus]]="Watchlist",Loans[[#This Row],[CollateralRisk]]="Undersecured",Loans[[#This Row],[RiskCategory]]="High Risk"),"High Risk Exposure","Normal")</f>
        <v>High Risk Exposure</v>
      </c>
      <c r="T750" t="str" cm="1">
        <f t="array" ref="T750">_xlfn.IFS(
Loans[[#This Row],[LoanStatus]]="Default","Critical",
OR(Loans[[#This Row],[LoanStatus]]="Watchlist",Loans[[#This Row],[CollateralRisk]]="Undersecured",Loans[[#This Row],[RiskCategory]]="High Risk"),"High",
TRUE,"Normal"
)</f>
        <v>High</v>
      </c>
    </row>
    <row r="751" spans="1:20" x14ac:dyDescent="0.35">
      <c r="A751" t="s">
        <v>1397</v>
      </c>
      <c r="B751" t="s">
        <v>1398</v>
      </c>
      <c r="C751" t="s">
        <v>206</v>
      </c>
      <c r="D751" t="s">
        <v>158</v>
      </c>
      <c r="E751" s="34">
        <v>3000000</v>
      </c>
      <c r="F751" s="29">
        <v>0.14960000000000001</v>
      </c>
      <c r="G751" s="30">
        <v>43960</v>
      </c>
      <c r="H751">
        <v>24</v>
      </c>
      <c r="I751">
        <v>0</v>
      </c>
      <c r="J751" s="34">
        <v>1770000</v>
      </c>
      <c r="K751" t="s">
        <v>171</v>
      </c>
      <c r="L751" s="34">
        <f>PMT(Loans[[#This Row],[InterestRate]]/12,Loans[[#This Row],[LoanTenureMonths]],-Loans[[#This Row],[LoanAmount]])</f>
        <v>145402.93685058405</v>
      </c>
      <c r="M751" s="30">
        <f>EDATE(Loans[[#This Row],[LoanStartDate]],Loans[[#This Row],[LoanTenureMonths]])</f>
        <v>44690</v>
      </c>
      <c r="N751" s="33">
        <f>IF(Loans[[#This Row],[LoanAmount]]=0,0,Loans[[#This Row],[CollateralValue]]/Loans[[#This Row],[LoanAmount]])</f>
        <v>0.59</v>
      </c>
      <c r="O751" t="str">
        <f>IF(Loans[[#This Row],[CollateralCoverageRatio]]&lt;1,"Undersecured","Secured")</f>
        <v>Undersecured</v>
      </c>
      <c r="P751" t="str">
        <f>_xlfn.XLOOKUP(Loans[[#This Row],[BranchCode]],BranchesTbl[BranchCode],BranchesTbl[BranchName])</f>
        <v>Nyahururu</v>
      </c>
      <c r="Q751">
        <f>_xlfn.XLOOKUP(Loans[[#This Row],[CustomerID]],CustomerTbl[CustomerID],CustomerTbl[RiskScore])</f>
        <v>649</v>
      </c>
      <c r="R751" t="str">
        <f>IFERROR(INDEX(RiskTbl[Risk_Category],MATCH(Loans[[#This Row],[RiskScore]],RiskTbl[Score_Min],1)),"Unknown")</f>
        <v>Medium Risk</v>
      </c>
      <c r="S751" t="str">
        <f>IF(OR(Loans[[#This Row],[LoanStatus]]="Default",Loans[[#This Row],[LoanStatus]]="Watchlist",Loans[[#This Row],[CollateralRisk]]="Undersecured",Loans[[#This Row],[RiskCategory]]="High Risk"),"High Risk Exposure","Normal")</f>
        <v>High Risk Exposure</v>
      </c>
      <c r="T751" t="str" cm="1">
        <f t="array" ref="T751">_xlfn.IFS(
Loans[[#This Row],[LoanStatus]]="Default","Critical",
OR(Loans[[#This Row],[LoanStatus]]="Watchlist",Loans[[#This Row],[CollateralRisk]]="Undersecured",Loans[[#This Row],[RiskCategory]]="High Risk"),"High",
TRUE,"Normal"
)</f>
        <v>High</v>
      </c>
    </row>
    <row r="752" spans="1:20" x14ac:dyDescent="0.35">
      <c r="A752" t="s">
        <v>1399</v>
      </c>
      <c r="B752" t="s">
        <v>1400</v>
      </c>
      <c r="C752" t="s">
        <v>206</v>
      </c>
      <c r="D752" t="s">
        <v>156</v>
      </c>
      <c r="E752" s="34">
        <v>3000000</v>
      </c>
      <c r="F752" s="29">
        <v>0.2089</v>
      </c>
      <c r="G752" s="30">
        <v>45233</v>
      </c>
      <c r="H752">
        <v>36</v>
      </c>
      <c r="I752">
        <v>45</v>
      </c>
      <c r="J752" s="34">
        <v>2280000</v>
      </c>
      <c r="K752" t="s">
        <v>199</v>
      </c>
      <c r="L752" s="34">
        <f>PMT(Loans[[#This Row],[InterestRate]]/12,Loans[[#This Row],[LoanTenureMonths]],-Loans[[#This Row],[LoanAmount]])</f>
        <v>112855.83827291176</v>
      </c>
      <c r="M752" s="30">
        <f>EDATE(Loans[[#This Row],[LoanStartDate]],Loans[[#This Row],[LoanTenureMonths]])</f>
        <v>46329</v>
      </c>
      <c r="N752" s="33">
        <f>IF(Loans[[#This Row],[LoanAmount]]=0,0,Loans[[#This Row],[CollateralValue]]/Loans[[#This Row],[LoanAmount]])</f>
        <v>0.76</v>
      </c>
      <c r="O752" t="str">
        <f>IF(Loans[[#This Row],[CollateralCoverageRatio]]&lt;1,"Undersecured","Secured")</f>
        <v>Undersecured</v>
      </c>
      <c r="P752" t="str">
        <f>_xlfn.XLOOKUP(Loans[[#This Row],[BranchCode]],BranchesTbl[BranchCode],BranchesTbl[BranchName])</f>
        <v>Nyahururu</v>
      </c>
      <c r="Q752">
        <f>_xlfn.XLOOKUP(Loans[[#This Row],[CustomerID]],CustomerTbl[CustomerID],CustomerTbl[RiskScore])</f>
        <v>673</v>
      </c>
      <c r="R752" t="str">
        <f>IFERROR(INDEX(RiskTbl[Risk_Category],MATCH(Loans[[#This Row],[RiskScore]],RiskTbl[Score_Min],1)),"Unknown")</f>
        <v>Low Risk</v>
      </c>
      <c r="S752" t="str">
        <f>IF(OR(Loans[[#This Row],[LoanStatus]]="Default",Loans[[#This Row],[LoanStatus]]="Watchlist",Loans[[#This Row],[CollateralRisk]]="Undersecured",Loans[[#This Row],[RiskCategory]]="High Risk"),"High Risk Exposure","Normal")</f>
        <v>High Risk Exposure</v>
      </c>
      <c r="T752" t="str" cm="1">
        <f t="array" ref="T752">_xlfn.IFS(
Loans[[#This Row],[LoanStatus]]="Default","Critical",
OR(Loans[[#This Row],[LoanStatus]]="Watchlist",Loans[[#This Row],[CollateralRisk]]="Undersecured",Loans[[#This Row],[RiskCategory]]="High Risk"),"High",
TRUE,"Normal"
)</f>
        <v>High</v>
      </c>
    </row>
    <row r="753" spans="1:20" x14ac:dyDescent="0.35">
      <c r="A753" t="s">
        <v>1401</v>
      </c>
      <c r="B753" t="s">
        <v>565</v>
      </c>
      <c r="C753" t="s">
        <v>170</v>
      </c>
      <c r="D753" t="s">
        <v>155</v>
      </c>
      <c r="E753" s="34">
        <v>1000000</v>
      </c>
      <c r="F753" s="29">
        <v>0.21299999999999999</v>
      </c>
      <c r="G753" s="30">
        <v>44310</v>
      </c>
      <c r="H753">
        <v>60</v>
      </c>
      <c r="I753">
        <v>0</v>
      </c>
      <c r="J753" s="34">
        <v>0</v>
      </c>
      <c r="K753" t="s">
        <v>171</v>
      </c>
      <c r="L753" s="34">
        <f>PMT(Loans[[#This Row],[InterestRate]]/12,Loans[[#This Row],[LoanTenureMonths]],-Loans[[#This Row],[LoanAmount]])</f>
        <v>27222.390597326026</v>
      </c>
      <c r="M753" s="30">
        <f>EDATE(Loans[[#This Row],[LoanStartDate]],Loans[[#This Row],[LoanTenureMonths]])</f>
        <v>46136</v>
      </c>
      <c r="N753" s="33">
        <f>IF(Loans[[#This Row],[LoanAmount]]=0,0,Loans[[#This Row],[CollateralValue]]/Loans[[#This Row],[LoanAmount]])</f>
        <v>0</v>
      </c>
      <c r="O753" t="str">
        <f>IF(Loans[[#This Row],[CollateralCoverageRatio]]&lt;1,"Undersecured","Secured")</f>
        <v>Undersecured</v>
      </c>
      <c r="P753" t="str">
        <f>_xlfn.XLOOKUP(Loans[[#This Row],[BranchCode]],BranchesTbl[BranchCode],BranchesTbl[BranchName])</f>
        <v>Thika</v>
      </c>
      <c r="Q753">
        <f>_xlfn.XLOOKUP(Loans[[#This Row],[CustomerID]],CustomerTbl[CustomerID],CustomerTbl[RiskScore])</f>
        <v>641</v>
      </c>
      <c r="R753" t="str">
        <f>IFERROR(INDEX(RiskTbl[Risk_Category],MATCH(Loans[[#This Row],[RiskScore]],RiskTbl[Score_Min],1)),"Unknown")</f>
        <v>Medium Risk</v>
      </c>
      <c r="S753" t="str">
        <f>IF(OR(Loans[[#This Row],[LoanStatus]]="Default",Loans[[#This Row],[LoanStatus]]="Watchlist",Loans[[#This Row],[CollateralRisk]]="Undersecured",Loans[[#This Row],[RiskCategory]]="High Risk"),"High Risk Exposure","Normal")</f>
        <v>High Risk Exposure</v>
      </c>
      <c r="T753" t="str" cm="1">
        <f t="array" ref="T753">_xlfn.IFS(
Loans[[#This Row],[LoanStatus]]="Default","Critical",
OR(Loans[[#This Row],[LoanStatus]]="Watchlist",Loans[[#This Row],[CollateralRisk]]="Undersecured",Loans[[#This Row],[RiskCategory]]="High Risk"),"High",
TRUE,"Normal"
)</f>
        <v>High</v>
      </c>
    </row>
    <row r="754" spans="1:20" x14ac:dyDescent="0.35">
      <c r="A754" t="s">
        <v>1402</v>
      </c>
      <c r="B754" t="s">
        <v>1403</v>
      </c>
      <c r="C754" t="s">
        <v>181</v>
      </c>
      <c r="D754" t="s">
        <v>157</v>
      </c>
      <c r="E754" s="34">
        <v>6000000</v>
      </c>
      <c r="F754" s="29">
        <v>0.1236</v>
      </c>
      <c r="G754" s="30">
        <v>44685</v>
      </c>
      <c r="H754">
        <v>12</v>
      </c>
      <c r="I754">
        <v>0</v>
      </c>
      <c r="J754" s="34">
        <v>4680000</v>
      </c>
      <c r="K754" t="s">
        <v>171</v>
      </c>
      <c r="L754" s="34">
        <f>PMT(Loans[[#This Row],[InterestRate]]/12,Loans[[#This Row],[LoanTenureMonths]],-Loans[[#This Row],[LoanAmount]])</f>
        <v>534103.72681619856</v>
      </c>
      <c r="M754" s="30">
        <f>EDATE(Loans[[#This Row],[LoanStartDate]],Loans[[#This Row],[LoanTenureMonths]])</f>
        <v>45050</v>
      </c>
      <c r="N754" s="33">
        <f>IF(Loans[[#This Row],[LoanAmount]]=0,0,Loans[[#This Row],[CollateralValue]]/Loans[[#This Row],[LoanAmount]])</f>
        <v>0.78</v>
      </c>
      <c r="O754" t="str">
        <f>IF(Loans[[#This Row],[CollateralCoverageRatio]]&lt;1,"Undersecured","Secured")</f>
        <v>Undersecured</v>
      </c>
      <c r="P754" t="str">
        <f>_xlfn.XLOOKUP(Loans[[#This Row],[BranchCode]],BranchesTbl[BranchCode],BranchesTbl[BranchName])</f>
        <v>Kitale</v>
      </c>
      <c r="Q754">
        <f>_xlfn.XLOOKUP(Loans[[#This Row],[CustomerID]],CustomerTbl[CustomerID],CustomerTbl[RiskScore])</f>
        <v>544</v>
      </c>
      <c r="R754" t="str">
        <f>IFERROR(INDEX(RiskTbl[Risk_Category],MATCH(Loans[[#This Row],[RiskScore]],RiskTbl[Score_Min],1)),"Unknown")</f>
        <v>High Risk</v>
      </c>
      <c r="S754" t="str">
        <f>IF(OR(Loans[[#This Row],[LoanStatus]]="Default",Loans[[#This Row],[LoanStatus]]="Watchlist",Loans[[#This Row],[CollateralRisk]]="Undersecured",Loans[[#This Row],[RiskCategory]]="High Risk"),"High Risk Exposure","Normal")</f>
        <v>High Risk Exposure</v>
      </c>
      <c r="T754" t="str" cm="1">
        <f t="array" ref="T754">_xlfn.IFS(
Loans[[#This Row],[LoanStatus]]="Default","Critical",
OR(Loans[[#This Row],[LoanStatus]]="Watchlist",Loans[[#This Row],[CollateralRisk]]="Undersecured",Loans[[#This Row],[RiskCategory]]="High Risk"),"High",
TRUE,"Normal"
)</f>
        <v>High</v>
      </c>
    </row>
    <row r="755" spans="1:20" x14ac:dyDescent="0.35">
      <c r="A755" t="s">
        <v>1404</v>
      </c>
      <c r="B755" t="s">
        <v>887</v>
      </c>
      <c r="C755" t="s">
        <v>219</v>
      </c>
      <c r="D755" t="s">
        <v>158</v>
      </c>
      <c r="E755" s="34">
        <v>3000000</v>
      </c>
      <c r="F755" s="29">
        <v>0.1787</v>
      </c>
      <c r="G755" s="30">
        <v>44263</v>
      </c>
      <c r="H755">
        <v>12</v>
      </c>
      <c r="I755">
        <v>120</v>
      </c>
      <c r="J755" s="34">
        <v>2730000</v>
      </c>
      <c r="K755" t="s">
        <v>178</v>
      </c>
      <c r="L755" s="34">
        <f>PMT(Loans[[#This Row],[InterestRate]]/12,Loans[[#This Row],[LoanTenureMonths]],-Loans[[#This Row],[LoanAmount]])</f>
        <v>274854.40656695759</v>
      </c>
      <c r="M755" s="30">
        <f>EDATE(Loans[[#This Row],[LoanStartDate]],Loans[[#This Row],[LoanTenureMonths]])</f>
        <v>44628</v>
      </c>
      <c r="N755" s="33">
        <f>IF(Loans[[#This Row],[LoanAmount]]=0,0,Loans[[#This Row],[CollateralValue]]/Loans[[#This Row],[LoanAmount]])</f>
        <v>0.91</v>
      </c>
      <c r="O755" t="str">
        <f>IF(Loans[[#This Row],[CollateralCoverageRatio]]&lt;1,"Undersecured","Secured")</f>
        <v>Undersecured</v>
      </c>
      <c r="P755" t="str">
        <f>_xlfn.XLOOKUP(Loans[[#This Row],[BranchCode]],BranchesTbl[BranchCode],BranchesTbl[BranchName])</f>
        <v>Meru</v>
      </c>
      <c r="Q755">
        <f>_xlfn.XLOOKUP(Loans[[#This Row],[CustomerID]],CustomerTbl[CustomerID],CustomerTbl[RiskScore])</f>
        <v>391</v>
      </c>
      <c r="R755" t="str">
        <f>IFERROR(INDEX(RiskTbl[Risk_Category],MATCH(Loans[[#This Row],[RiskScore]],RiskTbl[Score_Min],1)),"Unknown")</f>
        <v>High Risk</v>
      </c>
      <c r="S755" t="str">
        <f>IF(OR(Loans[[#This Row],[LoanStatus]]="Default",Loans[[#This Row],[LoanStatus]]="Watchlist",Loans[[#This Row],[CollateralRisk]]="Undersecured",Loans[[#This Row],[RiskCategory]]="High Risk"),"High Risk Exposure","Normal")</f>
        <v>High Risk Exposure</v>
      </c>
      <c r="T755" t="str" cm="1">
        <f t="array" ref="T755">_xlfn.IFS(
Loans[[#This Row],[LoanStatus]]="Default","Critical",
OR(Loans[[#This Row],[LoanStatus]]="Watchlist",Loans[[#This Row],[CollateralRisk]]="Undersecured",Loans[[#This Row],[RiskCategory]]="High Risk"),"High",
TRUE,"Normal"
)</f>
        <v>Critical</v>
      </c>
    </row>
    <row r="756" spans="1:20" x14ac:dyDescent="0.35">
      <c r="A756" t="s">
        <v>1405</v>
      </c>
      <c r="B756" t="s">
        <v>995</v>
      </c>
      <c r="C756" t="s">
        <v>181</v>
      </c>
      <c r="D756" t="s">
        <v>157</v>
      </c>
      <c r="E756" s="34">
        <v>25000000</v>
      </c>
      <c r="F756" s="29">
        <v>0.10829999999999999</v>
      </c>
      <c r="G756" s="30">
        <v>44948</v>
      </c>
      <c r="H756">
        <v>12</v>
      </c>
      <c r="I756">
        <v>90</v>
      </c>
      <c r="J756" s="34">
        <v>36750000</v>
      </c>
      <c r="K756" t="s">
        <v>199</v>
      </c>
      <c r="L756" s="34">
        <f>PMT(Loans[[#This Row],[InterestRate]]/12,Loans[[#This Row],[LoanTenureMonths]],-Loans[[#This Row],[LoanAmount]])</f>
        <v>2207559.5369928591</v>
      </c>
      <c r="M756" s="30">
        <f>EDATE(Loans[[#This Row],[LoanStartDate]],Loans[[#This Row],[LoanTenureMonths]])</f>
        <v>45313</v>
      </c>
      <c r="N756" s="33">
        <f>IF(Loans[[#This Row],[LoanAmount]]=0,0,Loans[[#This Row],[CollateralValue]]/Loans[[#This Row],[LoanAmount]])</f>
        <v>1.47</v>
      </c>
      <c r="O756" t="str">
        <f>IF(Loans[[#This Row],[CollateralCoverageRatio]]&lt;1,"Undersecured","Secured")</f>
        <v>Secured</v>
      </c>
      <c r="P756" t="str">
        <f>_xlfn.XLOOKUP(Loans[[#This Row],[BranchCode]],BranchesTbl[BranchCode],BranchesTbl[BranchName])</f>
        <v>Kitale</v>
      </c>
      <c r="Q756">
        <f>_xlfn.XLOOKUP(Loans[[#This Row],[CustomerID]],CustomerTbl[CustomerID],CustomerTbl[RiskScore])</f>
        <v>500</v>
      </c>
      <c r="R756" t="str">
        <f>IFERROR(INDEX(RiskTbl[Risk_Category],MATCH(Loans[[#This Row],[RiskScore]],RiskTbl[Score_Min],1)),"Unknown")</f>
        <v>High Risk</v>
      </c>
      <c r="S756" t="str">
        <f>IF(OR(Loans[[#This Row],[LoanStatus]]="Default",Loans[[#This Row],[LoanStatus]]="Watchlist",Loans[[#This Row],[CollateralRisk]]="Undersecured",Loans[[#This Row],[RiskCategory]]="High Risk"),"High Risk Exposure","Normal")</f>
        <v>High Risk Exposure</v>
      </c>
      <c r="T756" t="str" cm="1">
        <f t="array" ref="T756">_xlfn.IFS(
Loans[[#This Row],[LoanStatus]]="Default","Critical",
OR(Loans[[#This Row],[LoanStatus]]="Watchlist",Loans[[#This Row],[CollateralRisk]]="Undersecured",Loans[[#This Row],[RiskCategory]]="High Risk"),"High",
TRUE,"Normal"
)</f>
        <v>High</v>
      </c>
    </row>
    <row r="757" spans="1:20" x14ac:dyDescent="0.35">
      <c r="A757" t="s">
        <v>1406</v>
      </c>
      <c r="B757" t="s">
        <v>1065</v>
      </c>
      <c r="C757" t="s">
        <v>232</v>
      </c>
      <c r="D757" t="s">
        <v>157</v>
      </c>
      <c r="E757" s="34">
        <v>6000000</v>
      </c>
      <c r="F757" s="29">
        <v>0.1336</v>
      </c>
      <c r="G757" s="30">
        <v>45870</v>
      </c>
      <c r="H757">
        <v>24</v>
      </c>
      <c r="I757">
        <v>20</v>
      </c>
      <c r="J757" s="34">
        <v>7740000</v>
      </c>
      <c r="K757" t="s">
        <v>171</v>
      </c>
      <c r="L757" s="34">
        <f>PMT(Loans[[#This Row],[InterestRate]]/12,Loans[[#This Row],[LoanTenureMonths]],-Loans[[#This Row],[LoanAmount]])</f>
        <v>286266.55515300005</v>
      </c>
      <c r="M757" s="30">
        <f>EDATE(Loans[[#This Row],[LoanStartDate]],Loans[[#This Row],[LoanTenureMonths]])</f>
        <v>46600</v>
      </c>
      <c r="N757" s="33">
        <f>IF(Loans[[#This Row],[LoanAmount]]=0,0,Loans[[#This Row],[CollateralValue]]/Loans[[#This Row],[LoanAmount]])</f>
        <v>1.29</v>
      </c>
      <c r="O757" t="str">
        <f>IF(Loans[[#This Row],[CollateralCoverageRatio]]&lt;1,"Undersecured","Secured")</f>
        <v>Secured</v>
      </c>
      <c r="P757" t="str">
        <f>_xlfn.XLOOKUP(Loans[[#This Row],[BranchCode]],BranchesTbl[BranchCode],BranchesTbl[BranchName])</f>
        <v>Upper Hill</v>
      </c>
      <c r="Q757">
        <f>_xlfn.XLOOKUP(Loans[[#This Row],[CustomerID]],CustomerTbl[CustomerID],CustomerTbl[RiskScore])</f>
        <v>707</v>
      </c>
      <c r="R757" t="str">
        <f>IFERROR(INDEX(RiskTbl[Risk_Category],MATCH(Loans[[#This Row],[RiskScore]],RiskTbl[Score_Min],1)),"Unknown")</f>
        <v>Low Risk</v>
      </c>
      <c r="S757" t="str">
        <f>IF(OR(Loans[[#This Row],[LoanStatus]]="Default",Loans[[#This Row],[LoanStatus]]="Watchlist",Loans[[#This Row],[CollateralRisk]]="Undersecured",Loans[[#This Row],[RiskCategory]]="High Risk"),"High Risk Exposure","Normal")</f>
        <v>Normal</v>
      </c>
      <c r="T757" t="str" cm="1">
        <f t="array" ref="T757">_xlfn.IFS(
Loans[[#This Row],[LoanStatus]]="Default","Critical",
OR(Loans[[#This Row],[LoanStatus]]="Watchlist",Loans[[#This Row],[CollateralRisk]]="Undersecured",Loans[[#This Row],[RiskCategory]]="High Risk"),"High",
TRUE,"Normal"
)</f>
        <v>Normal</v>
      </c>
    </row>
    <row r="758" spans="1:20" x14ac:dyDescent="0.35">
      <c r="A758" t="s">
        <v>1407</v>
      </c>
      <c r="B758" t="s">
        <v>1239</v>
      </c>
      <c r="C758" t="s">
        <v>270</v>
      </c>
      <c r="D758" t="s">
        <v>155</v>
      </c>
      <c r="E758" s="34">
        <v>1000000</v>
      </c>
      <c r="F758" s="29">
        <v>0.27510000000000001</v>
      </c>
      <c r="G758" s="30">
        <v>45859</v>
      </c>
      <c r="H758">
        <v>12</v>
      </c>
      <c r="I758">
        <v>5</v>
      </c>
      <c r="J758" s="34">
        <v>0</v>
      </c>
      <c r="K758" t="s">
        <v>171</v>
      </c>
      <c r="L758" s="34">
        <f>PMT(Loans[[#This Row],[InterestRate]]/12,Loans[[#This Row],[LoanTenureMonths]],-Loans[[#This Row],[LoanAmount]])</f>
        <v>96266.415596437859</v>
      </c>
      <c r="M758" s="30">
        <f>EDATE(Loans[[#This Row],[LoanStartDate]],Loans[[#This Row],[LoanTenureMonths]])</f>
        <v>46224</v>
      </c>
      <c r="N758" s="33">
        <f>IF(Loans[[#This Row],[LoanAmount]]=0,0,Loans[[#This Row],[CollateralValue]]/Loans[[#This Row],[LoanAmount]])</f>
        <v>0</v>
      </c>
      <c r="O758" t="str">
        <f>IF(Loans[[#This Row],[CollateralCoverageRatio]]&lt;1,"Undersecured","Secured")</f>
        <v>Undersecured</v>
      </c>
      <c r="P758" t="str">
        <f>_xlfn.XLOOKUP(Loans[[#This Row],[BranchCode]],BranchesTbl[BranchCode],BranchesTbl[BranchName])</f>
        <v>Nakuru</v>
      </c>
      <c r="Q758">
        <f>_xlfn.XLOOKUP(Loans[[#This Row],[CustomerID]],CustomerTbl[CustomerID],CustomerTbl[RiskScore])</f>
        <v>680</v>
      </c>
      <c r="R758" t="str">
        <f>IFERROR(INDEX(RiskTbl[Risk_Category],MATCH(Loans[[#This Row],[RiskScore]],RiskTbl[Score_Min],1)),"Unknown")</f>
        <v>Low Risk</v>
      </c>
      <c r="S758" t="str">
        <f>IF(OR(Loans[[#This Row],[LoanStatus]]="Default",Loans[[#This Row],[LoanStatus]]="Watchlist",Loans[[#This Row],[CollateralRisk]]="Undersecured",Loans[[#This Row],[RiskCategory]]="High Risk"),"High Risk Exposure","Normal")</f>
        <v>High Risk Exposure</v>
      </c>
      <c r="T758" t="str" cm="1">
        <f t="array" ref="T758">_xlfn.IFS(
Loans[[#This Row],[LoanStatus]]="Default","Critical",
OR(Loans[[#This Row],[LoanStatus]]="Watchlist",Loans[[#This Row],[CollateralRisk]]="Undersecured",Loans[[#This Row],[RiskCategory]]="High Risk"),"High",
TRUE,"Normal"
)</f>
        <v>High</v>
      </c>
    </row>
    <row r="759" spans="1:20" x14ac:dyDescent="0.35">
      <c r="A759" t="s">
        <v>1408</v>
      </c>
      <c r="B759" t="s">
        <v>1409</v>
      </c>
      <c r="C759" t="s">
        <v>270</v>
      </c>
      <c r="D759" t="s">
        <v>158</v>
      </c>
      <c r="E759" s="34">
        <v>3000000</v>
      </c>
      <c r="F759" s="29">
        <v>0.13300000000000001</v>
      </c>
      <c r="G759" s="30">
        <v>44231</v>
      </c>
      <c r="H759">
        <v>72</v>
      </c>
      <c r="I759">
        <v>45</v>
      </c>
      <c r="J759" s="34">
        <v>1530000</v>
      </c>
      <c r="K759" t="s">
        <v>199</v>
      </c>
      <c r="L759" s="34">
        <f>PMT(Loans[[#This Row],[InterestRate]]/12,Loans[[#This Row],[LoanTenureMonths]],-Loans[[#This Row],[LoanAmount]])</f>
        <v>60698.365116652538</v>
      </c>
      <c r="M759" s="30">
        <f>EDATE(Loans[[#This Row],[LoanStartDate]],Loans[[#This Row],[LoanTenureMonths]])</f>
        <v>46422</v>
      </c>
      <c r="N759" s="33">
        <f>IF(Loans[[#This Row],[LoanAmount]]=0,0,Loans[[#This Row],[CollateralValue]]/Loans[[#This Row],[LoanAmount]])</f>
        <v>0.51</v>
      </c>
      <c r="O759" t="str">
        <f>IF(Loans[[#This Row],[CollateralCoverageRatio]]&lt;1,"Undersecured","Secured")</f>
        <v>Undersecured</v>
      </c>
      <c r="P759" t="str">
        <f>_xlfn.XLOOKUP(Loans[[#This Row],[BranchCode]],BranchesTbl[BranchCode],BranchesTbl[BranchName])</f>
        <v>Nakuru</v>
      </c>
      <c r="Q759">
        <f>_xlfn.XLOOKUP(Loans[[#This Row],[CustomerID]],CustomerTbl[CustomerID],CustomerTbl[RiskScore])</f>
        <v>499</v>
      </c>
      <c r="R759" t="str">
        <f>IFERROR(INDEX(RiskTbl[Risk_Category],MATCH(Loans[[#This Row],[RiskScore]],RiskTbl[Score_Min],1)),"Unknown")</f>
        <v>High Risk</v>
      </c>
      <c r="S759" t="str">
        <f>IF(OR(Loans[[#This Row],[LoanStatus]]="Default",Loans[[#This Row],[LoanStatus]]="Watchlist",Loans[[#This Row],[CollateralRisk]]="Undersecured",Loans[[#This Row],[RiskCategory]]="High Risk"),"High Risk Exposure","Normal")</f>
        <v>High Risk Exposure</v>
      </c>
      <c r="T759" t="str" cm="1">
        <f t="array" ref="T759">_xlfn.IFS(
Loans[[#This Row],[LoanStatus]]="Default","Critical",
OR(Loans[[#This Row],[LoanStatus]]="Watchlist",Loans[[#This Row],[CollateralRisk]]="Undersecured",Loans[[#This Row],[RiskCategory]]="High Risk"),"High",
TRUE,"Normal"
)</f>
        <v>High</v>
      </c>
    </row>
    <row r="760" spans="1:20" x14ac:dyDescent="0.35">
      <c r="A760" t="s">
        <v>1410</v>
      </c>
      <c r="B760" t="s">
        <v>1411</v>
      </c>
      <c r="C760" t="s">
        <v>219</v>
      </c>
      <c r="D760" t="s">
        <v>157</v>
      </c>
      <c r="E760" s="34">
        <v>25000000</v>
      </c>
      <c r="F760" s="29">
        <v>0.11609999999999999</v>
      </c>
      <c r="G760" s="30">
        <v>44613</v>
      </c>
      <c r="H760">
        <v>36</v>
      </c>
      <c r="I760">
        <v>120</v>
      </c>
      <c r="J760" s="34">
        <v>36250000</v>
      </c>
      <c r="K760" t="s">
        <v>178</v>
      </c>
      <c r="L760" s="34">
        <f>PMT(Loans[[#This Row],[InterestRate]]/12,Loans[[#This Row],[LoanTenureMonths]],-Loans[[#This Row],[LoanAmount]])</f>
        <v>825708.65569294861</v>
      </c>
      <c r="M760" s="30">
        <f>EDATE(Loans[[#This Row],[LoanStartDate]],Loans[[#This Row],[LoanTenureMonths]])</f>
        <v>45709</v>
      </c>
      <c r="N760" s="33">
        <f>IF(Loans[[#This Row],[LoanAmount]]=0,0,Loans[[#This Row],[CollateralValue]]/Loans[[#This Row],[LoanAmount]])</f>
        <v>1.45</v>
      </c>
      <c r="O760" t="str">
        <f>IF(Loans[[#This Row],[CollateralCoverageRatio]]&lt;1,"Undersecured","Secured")</f>
        <v>Secured</v>
      </c>
      <c r="P760" t="str">
        <f>_xlfn.XLOOKUP(Loans[[#This Row],[BranchCode]],BranchesTbl[BranchCode],BranchesTbl[BranchName])</f>
        <v>Meru</v>
      </c>
      <c r="Q760">
        <f>_xlfn.XLOOKUP(Loans[[#This Row],[CustomerID]],CustomerTbl[CustomerID],CustomerTbl[RiskScore])</f>
        <v>795</v>
      </c>
      <c r="R760" t="str">
        <f>IFERROR(INDEX(RiskTbl[Risk_Category],MATCH(Loans[[#This Row],[RiskScore]],RiskTbl[Score_Min],1)),"Unknown")</f>
        <v>Very Low Risk</v>
      </c>
      <c r="S760" t="str">
        <f>IF(OR(Loans[[#This Row],[LoanStatus]]="Default",Loans[[#This Row],[LoanStatus]]="Watchlist",Loans[[#This Row],[CollateralRisk]]="Undersecured",Loans[[#This Row],[RiskCategory]]="High Risk"),"High Risk Exposure","Normal")</f>
        <v>High Risk Exposure</v>
      </c>
      <c r="T760" t="str" cm="1">
        <f t="array" ref="T760">_xlfn.IFS(
Loans[[#This Row],[LoanStatus]]="Default","Critical",
OR(Loans[[#This Row],[LoanStatus]]="Watchlist",Loans[[#This Row],[CollateralRisk]]="Undersecured",Loans[[#This Row],[RiskCategory]]="High Risk"),"High",
TRUE,"Normal"
)</f>
        <v>Critical</v>
      </c>
    </row>
    <row r="761" spans="1:20" x14ac:dyDescent="0.35">
      <c r="A761" t="s">
        <v>1412</v>
      </c>
      <c r="B761" t="s">
        <v>1413</v>
      </c>
      <c r="C761" t="s">
        <v>196</v>
      </c>
      <c r="D761" t="s">
        <v>155</v>
      </c>
      <c r="E761" s="34">
        <v>500000</v>
      </c>
      <c r="F761" s="29">
        <v>0.18609999999999999</v>
      </c>
      <c r="G761" s="30">
        <v>45541</v>
      </c>
      <c r="H761">
        <v>72</v>
      </c>
      <c r="I761">
        <v>10</v>
      </c>
      <c r="J761" s="34">
        <v>0</v>
      </c>
      <c r="K761" t="s">
        <v>171</v>
      </c>
      <c r="L761" s="34">
        <f>PMT(Loans[[#This Row],[InterestRate]]/12,Loans[[#This Row],[LoanTenureMonths]],-Loans[[#This Row],[LoanAmount]])</f>
        <v>11576.990451111191</v>
      </c>
      <c r="M761" s="30">
        <f>EDATE(Loans[[#This Row],[LoanStartDate]],Loans[[#This Row],[LoanTenureMonths]])</f>
        <v>47732</v>
      </c>
      <c r="N761" s="33">
        <f>IF(Loans[[#This Row],[LoanAmount]]=0,0,Loans[[#This Row],[CollateralValue]]/Loans[[#This Row],[LoanAmount]])</f>
        <v>0</v>
      </c>
      <c r="O761" t="str">
        <f>IF(Loans[[#This Row],[CollateralCoverageRatio]]&lt;1,"Undersecured","Secured")</f>
        <v>Undersecured</v>
      </c>
      <c r="P761" t="str">
        <f>_xlfn.XLOOKUP(Loans[[#This Row],[BranchCode]],BranchesTbl[BranchCode],BranchesTbl[BranchName])</f>
        <v>Karen</v>
      </c>
      <c r="Q761">
        <f>_xlfn.XLOOKUP(Loans[[#This Row],[CustomerID]],CustomerTbl[CustomerID],CustomerTbl[RiskScore])</f>
        <v>320</v>
      </c>
      <c r="R761" t="str">
        <f>IFERROR(INDEX(RiskTbl[Risk_Category],MATCH(Loans[[#This Row],[RiskScore]],RiskTbl[Score_Min],1)),"Unknown")</f>
        <v>High Risk</v>
      </c>
      <c r="S761" t="str">
        <f>IF(OR(Loans[[#This Row],[LoanStatus]]="Default",Loans[[#This Row],[LoanStatus]]="Watchlist",Loans[[#This Row],[CollateralRisk]]="Undersecured",Loans[[#This Row],[RiskCategory]]="High Risk"),"High Risk Exposure","Normal")</f>
        <v>High Risk Exposure</v>
      </c>
      <c r="T761" t="str" cm="1">
        <f t="array" ref="T761">_xlfn.IFS(
Loans[[#This Row],[LoanStatus]]="Default","Critical",
OR(Loans[[#This Row],[LoanStatus]]="Watchlist",Loans[[#This Row],[CollateralRisk]]="Undersecured",Loans[[#This Row],[RiskCategory]]="High Risk"),"High",
TRUE,"Normal"
)</f>
        <v>High</v>
      </c>
    </row>
    <row r="762" spans="1:20" x14ac:dyDescent="0.35">
      <c r="A762" t="s">
        <v>1414</v>
      </c>
      <c r="B762" t="s">
        <v>1415</v>
      </c>
      <c r="C762" t="s">
        <v>177</v>
      </c>
      <c r="D762" t="s">
        <v>157</v>
      </c>
      <c r="E762" s="34">
        <v>25000000</v>
      </c>
      <c r="F762" s="29">
        <v>0.12740000000000001</v>
      </c>
      <c r="G762" s="30">
        <v>44389</v>
      </c>
      <c r="H762">
        <v>60</v>
      </c>
      <c r="I762">
        <v>0</v>
      </c>
      <c r="J762" s="34">
        <v>36000000</v>
      </c>
      <c r="K762" t="s">
        <v>171</v>
      </c>
      <c r="L762" s="34">
        <f>PMT(Loans[[#This Row],[InterestRate]]/12,Loans[[#This Row],[LoanTenureMonths]],-Loans[[#This Row],[LoanAmount]])</f>
        <v>565504.95263957337</v>
      </c>
      <c r="M762" s="30">
        <f>EDATE(Loans[[#This Row],[LoanStartDate]],Loans[[#This Row],[LoanTenureMonths]])</f>
        <v>46215</v>
      </c>
      <c r="N762" s="33">
        <f>IF(Loans[[#This Row],[LoanAmount]]=0,0,Loans[[#This Row],[CollateralValue]]/Loans[[#This Row],[LoanAmount]])</f>
        <v>1.44</v>
      </c>
      <c r="O762" t="str">
        <f>IF(Loans[[#This Row],[CollateralCoverageRatio]]&lt;1,"Undersecured","Secured")</f>
        <v>Secured</v>
      </c>
      <c r="P762" t="str">
        <f>_xlfn.XLOOKUP(Loans[[#This Row],[BranchCode]],BranchesTbl[BranchCode],BranchesTbl[BranchName])</f>
        <v>Naivasha</v>
      </c>
      <c r="Q762">
        <f>_xlfn.XLOOKUP(Loans[[#This Row],[CustomerID]],CustomerTbl[CustomerID],CustomerTbl[RiskScore])</f>
        <v>309</v>
      </c>
      <c r="R762" t="str">
        <f>IFERROR(INDEX(RiskTbl[Risk_Category],MATCH(Loans[[#This Row],[RiskScore]],RiskTbl[Score_Min],1)),"Unknown")</f>
        <v>High Risk</v>
      </c>
      <c r="S762" t="str">
        <f>IF(OR(Loans[[#This Row],[LoanStatus]]="Default",Loans[[#This Row],[LoanStatus]]="Watchlist",Loans[[#This Row],[CollateralRisk]]="Undersecured",Loans[[#This Row],[RiskCategory]]="High Risk"),"High Risk Exposure","Normal")</f>
        <v>High Risk Exposure</v>
      </c>
      <c r="T762" t="str" cm="1">
        <f t="array" ref="T762">_xlfn.IFS(
Loans[[#This Row],[LoanStatus]]="Default","Critical",
OR(Loans[[#This Row],[LoanStatus]]="Watchlist",Loans[[#This Row],[CollateralRisk]]="Undersecured",Loans[[#This Row],[RiskCategory]]="High Risk"),"High",
TRUE,"Normal"
)</f>
        <v>High</v>
      </c>
    </row>
    <row r="763" spans="1:20" x14ac:dyDescent="0.35">
      <c r="A763" t="s">
        <v>1416</v>
      </c>
      <c r="B763" t="s">
        <v>809</v>
      </c>
      <c r="C763" t="s">
        <v>193</v>
      </c>
      <c r="D763" t="s">
        <v>158</v>
      </c>
      <c r="E763" s="34">
        <v>6000000</v>
      </c>
      <c r="F763" s="29">
        <v>0.1956</v>
      </c>
      <c r="G763" s="30">
        <v>45021</v>
      </c>
      <c r="H763">
        <v>24</v>
      </c>
      <c r="I763">
        <v>0</v>
      </c>
      <c r="J763" s="34">
        <v>8580000</v>
      </c>
      <c r="K763" t="s">
        <v>171</v>
      </c>
      <c r="L763" s="34">
        <f>PMT(Loans[[#This Row],[InterestRate]]/12,Loans[[#This Row],[LoanTenureMonths]],-Loans[[#This Row],[LoanAmount]])</f>
        <v>304086.67527796217</v>
      </c>
      <c r="M763" s="30">
        <f>EDATE(Loans[[#This Row],[LoanStartDate]],Loans[[#This Row],[LoanTenureMonths]])</f>
        <v>45752</v>
      </c>
      <c r="N763" s="33">
        <f>IF(Loans[[#This Row],[LoanAmount]]=0,0,Loans[[#This Row],[CollateralValue]]/Loans[[#This Row],[LoanAmount]])</f>
        <v>1.43</v>
      </c>
      <c r="O763" t="str">
        <f>IF(Loans[[#This Row],[CollateralCoverageRatio]]&lt;1,"Undersecured","Secured")</f>
        <v>Secured</v>
      </c>
      <c r="P763" t="str">
        <f>_xlfn.XLOOKUP(Loans[[#This Row],[BranchCode]],BranchesTbl[BranchCode],BranchesTbl[BranchName])</f>
        <v>Mombasa</v>
      </c>
      <c r="Q763">
        <f>_xlfn.XLOOKUP(Loans[[#This Row],[CustomerID]],CustomerTbl[CustomerID],CustomerTbl[RiskScore])</f>
        <v>434</v>
      </c>
      <c r="R763" t="str">
        <f>IFERROR(INDEX(RiskTbl[Risk_Category],MATCH(Loans[[#This Row],[RiskScore]],RiskTbl[Score_Min],1)),"Unknown")</f>
        <v>High Risk</v>
      </c>
      <c r="S763" t="str">
        <f>IF(OR(Loans[[#This Row],[LoanStatus]]="Default",Loans[[#This Row],[LoanStatus]]="Watchlist",Loans[[#This Row],[CollateralRisk]]="Undersecured",Loans[[#This Row],[RiskCategory]]="High Risk"),"High Risk Exposure","Normal")</f>
        <v>High Risk Exposure</v>
      </c>
      <c r="T763" t="str" cm="1">
        <f t="array" ref="T763">_xlfn.IFS(
Loans[[#This Row],[LoanStatus]]="Default","Critical",
OR(Loans[[#This Row],[LoanStatus]]="Watchlist",Loans[[#This Row],[CollateralRisk]]="Undersecured",Loans[[#This Row],[RiskCategory]]="High Risk"),"High",
TRUE,"Normal"
)</f>
        <v>High</v>
      </c>
    </row>
    <row r="764" spans="1:20" x14ac:dyDescent="0.35">
      <c r="A764" t="s">
        <v>1417</v>
      </c>
      <c r="B764" t="s">
        <v>1212</v>
      </c>
      <c r="C764" t="s">
        <v>170</v>
      </c>
      <c r="D764" t="s">
        <v>155</v>
      </c>
      <c r="E764" s="34">
        <v>500000</v>
      </c>
      <c r="F764" s="29">
        <v>0.2792</v>
      </c>
      <c r="G764" s="30">
        <v>44253</v>
      </c>
      <c r="H764">
        <v>24</v>
      </c>
      <c r="I764">
        <v>0</v>
      </c>
      <c r="J764" s="34">
        <v>0</v>
      </c>
      <c r="K764" t="s">
        <v>171</v>
      </c>
      <c r="L764" s="34">
        <f>PMT(Loans[[#This Row],[InterestRate]]/12,Loans[[#This Row],[LoanTenureMonths]],-Loans[[#This Row],[LoanAmount]])</f>
        <v>27423.870189370158</v>
      </c>
      <c r="M764" s="30">
        <f>EDATE(Loans[[#This Row],[LoanStartDate]],Loans[[#This Row],[LoanTenureMonths]])</f>
        <v>44983</v>
      </c>
      <c r="N764" s="33">
        <f>IF(Loans[[#This Row],[LoanAmount]]=0,0,Loans[[#This Row],[CollateralValue]]/Loans[[#This Row],[LoanAmount]])</f>
        <v>0</v>
      </c>
      <c r="O764" t="str">
        <f>IF(Loans[[#This Row],[CollateralCoverageRatio]]&lt;1,"Undersecured","Secured")</f>
        <v>Undersecured</v>
      </c>
      <c r="P764" t="str">
        <f>_xlfn.XLOOKUP(Loans[[#This Row],[BranchCode]],BranchesTbl[BranchCode],BranchesTbl[BranchName])</f>
        <v>Thika</v>
      </c>
      <c r="Q764">
        <f>_xlfn.XLOOKUP(Loans[[#This Row],[CustomerID]],CustomerTbl[CustomerID],CustomerTbl[RiskScore])</f>
        <v>551</v>
      </c>
      <c r="R764" t="str">
        <f>IFERROR(INDEX(RiskTbl[Risk_Category],MATCH(Loans[[#This Row],[RiskScore]],RiskTbl[Score_Min],1)),"Unknown")</f>
        <v>High Risk</v>
      </c>
      <c r="S764" t="str">
        <f>IF(OR(Loans[[#This Row],[LoanStatus]]="Default",Loans[[#This Row],[LoanStatus]]="Watchlist",Loans[[#This Row],[CollateralRisk]]="Undersecured",Loans[[#This Row],[RiskCategory]]="High Risk"),"High Risk Exposure","Normal")</f>
        <v>High Risk Exposure</v>
      </c>
      <c r="T764" t="str" cm="1">
        <f t="array" ref="T764">_xlfn.IFS(
Loans[[#This Row],[LoanStatus]]="Default","Critical",
OR(Loans[[#This Row],[LoanStatus]]="Watchlist",Loans[[#This Row],[CollateralRisk]]="Undersecured",Loans[[#This Row],[RiskCategory]]="High Risk"),"High",
TRUE,"Normal"
)</f>
        <v>High</v>
      </c>
    </row>
    <row r="765" spans="1:20" x14ac:dyDescent="0.35">
      <c r="A765" t="s">
        <v>1418</v>
      </c>
      <c r="B765" t="s">
        <v>1419</v>
      </c>
      <c r="C765" t="s">
        <v>181</v>
      </c>
      <c r="D765" t="s">
        <v>155</v>
      </c>
      <c r="E765" s="34">
        <v>100000</v>
      </c>
      <c r="F765" s="29">
        <v>0.24940000000000001</v>
      </c>
      <c r="G765" s="30">
        <v>45068</v>
      </c>
      <c r="H765">
        <v>60</v>
      </c>
      <c r="I765">
        <v>0</v>
      </c>
      <c r="J765" s="34">
        <v>0</v>
      </c>
      <c r="K765" t="s">
        <v>171</v>
      </c>
      <c r="L765" s="34">
        <f>PMT(Loans[[#This Row],[InterestRate]]/12,Loans[[#This Row],[LoanTenureMonths]],-Loans[[#This Row],[LoanAmount]])</f>
        <v>2931.615794283081</v>
      </c>
      <c r="M765" s="30">
        <f>EDATE(Loans[[#This Row],[LoanStartDate]],Loans[[#This Row],[LoanTenureMonths]])</f>
        <v>46895</v>
      </c>
      <c r="N765" s="33">
        <f>IF(Loans[[#This Row],[LoanAmount]]=0,0,Loans[[#This Row],[CollateralValue]]/Loans[[#This Row],[LoanAmount]])</f>
        <v>0</v>
      </c>
      <c r="O765" t="str">
        <f>IF(Loans[[#This Row],[CollateralCoverageRatio]]&lt;1,"Undersecured","Secured")</f>
        <v>Undersecured</v>
      </c>
      <c r="P765" t="str">
        <f>_xlfn.XLOOKUP(Loans[[#This Row],[BranchCode]],BranchesTbl[BranchCode],BranchesTbl[BranchName])</f>
        <v>Kitale</v>
      </c>
      <c r="Q765">
        <f>_xlfn.XLOOKUP(Loans[[#This Row],[CustomerID]],CustomerTbl[CustomerID],CustomerTbl[RiskScore])</f>
        <v>459</v>
      </c>
      <c r="R765" t="str">
        <f>IFERROR(INDEX(RiskTbl[Risk_Category],MATCH(Loans[[#This Row],[RiskScore]],RiskTbl[Score_Min],1)),"Unknown")</f>
        <v>High Risk</v>
      </c>
      <c r="S765" t="str">
        <f>IF(OR(Loans[[#This Row],[LoanStatus]]="Default",Loans[[#This Row],[LoanStatus]]="Watchlist",Loans[[#This Row],[CollateralRisk]]="Undersecured",Loans[[#This Row],[RiskCategory]]="High Risk"),"High Risk Exposure","Normal")</f>
        <v>High Risk Exposure</v>
      </c>
      <c r="T765" t="str" cm="1">
        <f t="array" ref="T765">_xlfn.IFS(
Loans[[#This Row],[LoanStatus]]="Default","Critical",
OR(Loans[[#This Row],[LoanStatus]]="Watchlist",Loans[[#This Row],[CollateralRisk]]="Undersecured",Loans[[#This Row],[RiskCategory]]="High Risk"),"High",
TRUE,"Normal"
)</f>
        <v>High</v>
      </c>
    </row>
    <row r="766" spans="1:20" x14ac:dyDescent="0.35">
      <c r="A766" t="s">
        <v>1420</v>
      </c>
      <c r="B766" t="s">
        <v>639</v>
      </c>
      <c r="C766" t="s">
        <v>267</v>
      </c>
      <c r="D766" t="s">
        <v>156</v>
      </c>
      <c r="E766" s="34">
        <v>25000000</v>
      </c>
      <c r="F766" s="29">
        <v>0.16320000000000001</v>
      </c>
      <c r="G766" s="30">
        <v>45047</v>
      </c>
      <c r="H766">
        <v>36</v>
      </c>
      <c r="I766">
        <v>120</v>
      </c>
      <c r="J766" s="34">
        <v>13000000</v>
      </c>
      <c r="K766" t="s">
        <v>178</v>
      </c>
      <c r="L766" s="34">
        <f>PMT(Loans[[#This Row],[InterestRate]]/12,Loans[[#This Row],[LoanTenureMonths]],-Loans[[#This Row],[LoanAmount]])</f>
        <v>882880.54851527396</v>
      </c>
      <c r="M766" s="30">
        <f>EDATE(Loans[[#This Row],[LoanStartDate]],Loans[[#This Row],[LoanTenureMonths]])</f>
        <v>46143</v>
      </c>
      <c r="N766" s="33">
        <f>IF(Loans[[#This Row],[LoanAmount]]=0,0,Loans[[#This Row],[CollateralValue]]/Loans[[#This Row],[LoanAmount]])</f>
        <v>0.52</v>
      </c>
      <c r="O766" t="str">
        <f>IF(Loans[[#This Row],[CollateralCoverageRatio]]&lt;1,"Undersecured","Secured")</f>
        <v>Undersecured</v>
      </c>
      <c r="P766" t="str">
        <f>_xlfn.XLOOKUP(Loans[[#This Row],[BranchCode]],BranchesTbl[BranchCode],BranchesTbl[BranchName])</f>
        <v>Malindi</v>
      </c>
      <c r="Q766">
        <f>_xlfn.XLOOKUP(Loans[[#This Row],[CustomerID]],CustomerTbl[CustomerID],CustomerTbl[RiskScore])</f>
        <v>749</v>
      </c>
      <c r="R766" t="str">
        <f>IFERROR(INDEX(RiskTbl[Risk_Category],MATCH(Loans[[#This Row],[RiskScore]],RiskTbl[Score_Min],1)),"Unknown")</f>
        <v>Very Low Risk</v>
      </c>
      <c r="S766" t="str">
        <f>IF(OR(Loans[[#This Row],[LoanStatus]]="Default",Loans[[#This Row],[LoanStatus]]="Watchlist",Loans[[#This Row],[CollateralRisk]]="Undersecured",Loans[[#This Row],[RiskCategory]]="High Risk"),"High Risk Exposure","Normal")</f>
        <v>High Risk Exposure</v>
      </c>
      <c r="T766" t="str" cm="1">
        <f t="array" ref="T766">_xlfn.IFS(
Loans[[#This Row],[LoanStatus]]="Default","Critical",
OR(Loans[[#This Row],[LoanStatus]]="Watchlist",Loans[[#This Row],[CollateralRisk]]="Undersecured",Loans[[#This Row],[RiskCategory]]="High Risk"),"High",
TRUE,"Normal"
)</f>
        <v>Critical</v>
      </c>
    </row>
    <row r="767" spans="1:20" x14ac:dyDescent="0.35">
      <c r="A767" t="s">
        <v>1421</v>
      </c>
      <c r="B767" t="s">
        <v>1073</v>
      </c>
      <c r="C767" t="s">
        <v>193</v>
      </c>
      <c r="D767" t="s">
        <v>158</v>
      </c>
      <c r="E767" s="34">
        <v>3000000</v>
      </c>
      <c r="F767" s="29">
        <v>0.16450000000000001</v>
      </c>
      <c r="G767" s="30">
        <v>45544</v>
      </c>
      <c r="H767">
        <v>60</v>
      </c>
      <c r="I767">
        <v>120</v>
      </c>
      <c r="J767" s="34">
        <v>2310000</v>
      </c>
      <c r="K767" t="s">
        <v>178</v>
      </c>
      <c r="L767" s="34">
        <f>PMT(Loans[[#This Row],[InterestRate]]/12,Loans[[#This Row],[LoanTenureMonths]],-Loans[[#This Row],[LoanAmount]])</f>
        <v>73673.408989172458</v>
      </c>
      <c r="M767" s="30">
        <f>EDATE(Loans[[#This Row],[LoanStartDate]],Loans[[#This Row],[LoanTenureMonths]])</f>
        <v>47370</v>
      </c>
      <c r="N767" s="33">
        <f>IF(Loans[[#This Row],[LoanAmount]]=0,0,Loans[[#This Row],[CollateralValue]]/Loans[[#This Row],[LoanAmount]])</f>
        <v>0.77</v>
      </c>
      <c r="O767" t="str">
        <f>IF(Loans[[#This Row],[CollateralCoverageRatio]]&lt;1,"Undersecured","Secured")</f>
        <v>Undersecured</v>
      </c>
      <c r="P767" t="str">
        <f>_xlfn.XLOOKUP(Loans[[#This Row],[BranchCode]],BranchesTbl[BranchCode],BranchesTbl[BranchName])</f>
        <v>Mombasa</v>
      </c>
      <c r="Q767">
        <f>_xlfn.XLOOKUP(Loans[[#This Row],[CustomerID]],CustomerTbl[CustomerID],CustomerTbl[RiskScore])</f>
        <v>671</v>
      </c>
      <c r="R767" t="str">
        <f>IFERROR(INDEX(RiskTbl[Risk_Category],MATCH(Loans[[#This Row],[RiskScore]],RiskTbl[Score_Min],1)),"Unknown")</f>
        <v>Low Risk</v>
      </c>
      <c r="S767" t="str">
        <f>IF(OR(Loans[[#This Row],[LoanStatus]]="Default",Loans[[#This Row],[LoanStatus]]="Watchlist",Loans[[#This Row],[CollateralRisk]]="Undersecured",Loans[[#This Row],[RiskCategory]]="High Risk"),"High Risk Exposure","Normal")</f>
        <v>High Risk Exposure</v>
      </c>
      <c r="T767" t="str" cm="1">
        <f t="array" ref="T767">_xlfn.IFS(
Loans[[#This Row],[LoanStatus]]="Default","Critical",
OR(Loans[[#This Row],[LoanStatus]]="Watchlist",Loans[[#This Row],[CollateralRisk]]="Undersecured",Loans[[#This Row],[RiskCategory]]="High Risk"),"High",
TRUE,"Normal"
)</f>
        <v>Critical</v>
      </c>
    </row>
    <row r="768" spans="1:20" x14ac:dyDescent="0.35">
      <c r="A768" t="s">
        <v>1422</v>
      </c>
      <c r="B768" t="s">
        <v>1423</v>
      </c>
      <c r="C768" t="s">
        <v>170</v>
      </c>
      <c r="D768" t="s">
        <v>156</v>
      </c>
      <c r="E768" s="34">
        <v>25000000</v>
      </c>
      <c r="F768" s="29">
        <v>0.2356</v>
      </c>
      <c r="G768" s="30">
        <v>44197</v>
      </c>
      <c r="H768">
        <v>36</v>
      </c>
      <c r="I768">
        <v>90</v>
      </c>
      <c r="J768" s="34">
        <v>21750000</v>
      </c>
      <c r="K768" t="s">
        <v>199</v>
      </c>
      <c r="L768" s="34">
        <f>PMT(Loans[[#This Row],[InterestRate]]/12,Loans[[#This Row],[LoanTenureMonths]],-Loans[[#This Row],[LoanAmount]])</f>
        <v>975055.00885448884</v>
      </c>
      <c r="M768" s="30">
        <f>EDATE(Loans[[#This Row],[LoanStartDate]],Loans[[#This Row],[LoanTenureMonths]])</f>
        <v>45292</v>
      </c>
      <c r="N768" s="33">
        <f>IF(Loans[[#This Row],[LoanAmount]]=0,0,Loans[[#This Row],[CollateralValue]]/Loans[[#This Row],[LoanAmount]])</f>
        <v>0.87</v>
      </c>
      <c r="O768" t="str">
        <f>IF(Loans[[#This Row],[CollateralCoverageRatio]]&lt;1,"Undersecured","Secured")</f>
        <v>Undersecured</v>
      </c>
      <c r="P768" t="str">
        <f>_xlfn.XLOOKUP(Loans[[#This Row],[BranchCode]],BranchesTbl[BranchCode],BranchesTbl[BranchName])</f>
        <v>Thika</v>
      </c>
      <c r="Q768">
        <f>_xlfn.XLOOKUP(Loans[[#This Row],[CustomerID]],CustomerTbl[CustomerID],CustomerTbl[RiskScore])</f>
        <v>823</v>
      </c>
      <c r="R768" t="str">
        <f>IFERROR(INDEX(RiskTbl[Risk_Category],MATCH(Loans[[#This Row],[RiskScore]],RiskTbl[Score_Min],1)),"Unknown")</f>
        <v>Prime</v>
      </c>
      <c r="S768" t="str">
        <f>IF(OR(Loans[[#This Row],[LoanStatus]]="Default",Loans[[#This Row],[LoanStatus]]="Watchlist",Loans[[#This Row],[CollateralRisk]]="Undersecured",Loans[[#This Row],[RiskCategory]]="High Risk"),"High Risk Exposure","Normal")</f>
        <v>High Risk Exposure</v>
      </c>
      <c r="T768" t="str" cm="1">
        <f t="array" ref="T768">_xlfn.IFS(
Loans[[#This Row],[LoanStatus]]="Default","Critical",
OR(Loans[[#This Row],[LoanStatus]]="Watchlist",Loans[[#This Row],[CollateralRisk]]="Undersecured",Loans[[#This Row],[RiskCategory]]="High Risk"),"High",
TRUE,"Normal"
)</f>
        <v>High</v>
      </c>
    </row>
    <row r="769" spans="1:20" x14ac:dyDescent="0.35">
      <c r="A769" t="s">
        <v>1424</v>
      </c>
      <c r="B769" t="s">
        <v>910</v>
      </c>
      <c r="C769" t="s">
        <v>239</v>
      </c>
      <c r="D769" t="s">
        <v>156</v>
      </c>
      <c r="E769" s="34">
        <v>3000000</v>
      </c>
      <c r="F769" s="29">
        <v>0.2049</v>
      </c>
      <c r="G769" s="30">
        <v>44751</v>
      </c>
      <c r="H769">
        <v>60</v>
      </c>
      <c r="I769">
        <v>0</v>
      </c>
      <c r="J769" s="34">
        <v>3270000</v>
      </c>
      <c r="K769" t="s">
        <v>171</v>
      </c>
      <c r="L769" s="34">
        <f>PMT(Loans[[#This Row],[InterestRate]]/12,Loans[[#This Row],[LoanTenureMonths]],-Loans[[#This Row],[LoanAmount]])</f>
        <v>80301.790505253535</v>
      </c>
      <c r="M769" s="30">
        <f>EDATE(Loans[[#This Row],[LoanStartDate]],Loans[[#This Row],[LoanTenureMonths]])</f>
        <v>46577</v>
      </c>
      <c r="N769" s="33">
        <f>IF(Loans[[#This Row],[LoanAmount]]=0,0,Loans[[#This Row],[CollateralValue]]/Loans[[#This Row],[LoanAmount]])</f>
        <v>1.0900000000000001</v>
      </c>
      <c r="O769" t="str">
        <f>IF(Loans[[#This Row],[CollateralCoverageRatio]]&lt;1,"Undersecured","Secured")</f>
        <v>Secured</v>
      </c>
      <c r="P769" t="str">
        <f>_xlfn.XLOOKUP(Loans[[#This Row],[BranchCode]],BranchesTbl[BranchCode],BranchesTbl[BranchName])</f>
        <v>Machakos</v>
      </c>
      <c r="Q769">
        <f>_xlfn.XLOOKUP(Loans[[#This Row],[CustomerID]],CustomerTbl[CustomerID],CustomerTbl[RiskScore])</f>
        <v>518</v>
      </c>
      <c r="R769" t="str">
        <f>IFERROR(INDEX(RiskTbl[Risk_Category],MATCH(Loans[[#This Row],[RiskScore]],RiskTbl[Score_Min],1)),"Unknown")</f>
        <v>High Risk</v>
      </c>
      <c r="S769" t="str">
        <f>IF(OR(Loans[[#This Row],[LoanStatus]]="Default",Loans[[#This Row],[LoanStatus]]="Watchlist",Loans[[#This Row],[CollateralRisk]]="Undersecured",Loans[[#This Row],[RiskCategory]]="High Risk"),"High Risk Exposure","Normal")</f>
        <v>High Risk Exposure</v>
      </c>
      <c r="T769" t="str" cm="1">
        <f t="array" ref="T769">_xlfn.IFS(
Loans[[#This Row],[LoanStatus]]="Default","Critical",
OR(Loans[[#This Row],[LoanStatus]]="Watchlist",Loans[[#This Row],[CollateralRisk]]="Undersecured",Loans[[#This Row],[RiskCategory]]="High Risk"),"High",
TRUE,"Normal"
)</f>
        <v>High</v>
      </c>
    </row>
    <row r="770" spans="1:20" x14ac:dyDescent="0.35">
      <c r="A770" t="s">
        <v>1425</v>
      </c>
      <c r="B770" t="s">
        <v>1426</v>
      </c>
      <c r="C770" t="s">
        <v>177</v>
      </c>
      <c r="D770" t="s">
        <v>156</v>
      </c>
      <c r="E770" s="34">
        <v>1000000</v>
      </c>
      <c r="F770" s="29">
        <v>0.14199999999999999</v>
      </c>
      <c r="G770" s="30">
        <v>45339</v>
      </c>
      <c r="H770">
        <v>72</v>
      </c>
      <c r="I770">
        <v>10</v>
      </c>
      <c r="J770" s="34">
        <v>1360000</v>
      </c>
      <c r="K770" t="s">
        <v>171</v>
      </c>
      <c r="L770" s="34">
        <f>PMT(Loans[[#This Row],[InterestRate]]/12,Loans[[#This Row],[LoanTenureMonths]],-Loans[[#This Row],[LoanAmount]])</f>
        <v>20712.985785301869</v>
      </c>
      <c r="M770" s="30">
        <f>EDATE(Loans[[#This Row],[LoanStartDate]],Loans[[#This Row],[LoanTenureMonths]])</f>
        <v>47531</v>
      </c>
      <c r="N770" s="33">
        <f>IF(Loans[[#This Row],[LoanAmount]]=0,0,Loans[[#This Row],[CollateralValue]]/Loans[[#This Row],[LoanAmount]])</f>
        <v>1.36</v>
      </c>
      <c r="O770" t="str">
        <f>IF(Loans[[#This Row],[CollateralCoverageRatio]]&lt;1,"Undersecured","Secured")</f>
        <v>Secured</v>
      </c>
      <c r="P770" t="str">
        <f>_xlfn.XLOOKUP(Loans[[#This Row],[BranchCode]],BranchesTbl[BranchCode],BranchesTbl[BranchName])</f>
        <v>Naivasha</v>
      </c>
      <c r="Q770">
        <f>_xlfn.XLOOKUP(Loans[[#This Row],[CustomerID]],CustomerTbl[CustomerID],CustomerTbl[RiskScore])</f>
        <v>799</v>
      </c>
      <c r="R770" t="str">
        <f>IFERROR(INDEX(RiskTbl[Risk_Category],MATCH(Loans[[#This Row],[RiskScore]],RiskTbl[Score_Min],1)),"Unknown")</f>
        <v>Very Low Risk</v>
      </c>
      <c r="S770" t="str">
        <f>IF(OR(Loans[[#This Row],[LoanStatus]]="Default",Loans[[#This Row],[LoanStatus]]="Watchlist",Loans[[#This Row],[CollateralRisk]]="Undersecured",Loans[[#This Row],[RiskCategory]]="High Risk"),"High Risk Exposure","Normal")</f>
        <v>Normal</v>
      </c>
      <c r="T770" t="str" cm="1">
        <f t="array" ref="T770">_xlfn.IFS(
Loans[[#This Row],[LoanStatus]]="Default","Critical",
OR(Loans[[#This Row],[LoanStatus]]="Watchlist",Loans[[#This Row],[CollateralRisk]]="Undersecured",Loans[[#This Row],[RiskCategory]]="High Risk"),"High",
TRUE,"Normal"
)</f>
        <v>Normal</v>
      </c>
    </row>
    <row r="771" spans="1:20" x14ac:dyDescent="0.35">
      <c r="A771" t="s">
        <v>1427</v>
      </c>
      <c r="B771" t="s">
        <v>470</v>
      </c>
      <c r="C771" t="s">
        <v>270</v>
      </c>
      <c r="D771" t="s">
        <v>158</v>
      </c>
      <c r="E771" s="34">
        <v>3000000</v>
      </c>
      <c r="F771" s="29">
        <v>0.14119999999999999</v>
      </c>
      <c r="G771" s="30">
        <v>44218</v>
      </c>
      <c r="H771">
        <v>36</v>
      </c>
      <c r="I771">
        <v>120</v>
      </c>
      <c r="J771" s="34">
        <v>3360000</v>
      </c>
      <c r="K771" t="s">
        <v>178</v>
      </c>
      <c r="L771" s="34">
        <f>PMT(Loans[[#This Row],[InterestRate]]/12,Loans[[#This Row],[LoanTenureMonths]],-Loans[[#This Row],[LoanAmount]])</f>
        <v>102707.82477938094</v>
      </c>
      <c r="M771" s="30">
        <f>EDATE(Loans[[#This Row],[LoanStartDate]],Loans[[#This Row],[LoanTenureMonths]])</f>
        <v>45313</v>
      </c>
      <c r="N771" s="33">
        <f>IF(Loans[[#This Row],[LoanAmount]]=0,0,Loans[[#This Row],[CollateralValue]]/Loans[[#This Row],[LoanAmount]])</f>
        <v>1.1200000000000001</v>
      </c>
      <c r="O771" t="str">
        <f>IF(Loans[[#This Row],[CollateralCoverageRatio]]&lt;1,"Undersecured","Secured")</f>
        <v>Secured</v>
      </c>
      <c r="P771" t="str">
        <f>_xlfn.XLOOKUP(Loans[[#This Row],[BranchCode]],BranchesTbl[BranchCode],BranchesTbl[BranchName])</f>
        <v>Nakuru</v>
      </c>
      <c r="Q771">
        <f>_xlfn.XLOOKUP(Loans[[#This Row],[CustomerID]],CustomerTbl[CustomerID],CustomerTbl[RiskScore])</f>
        <v>660</v>
      </c>
      <c r="R771" t="str">
        <f>IFERROR(INDEX(RiskTbl[Risk_Category],MATCH(Loans[[#This Row],[RiskScore]],RiskTbl[Score_Min],1)),"Unknown")</f>
        <v>Medium Risk</v>
      </c>
      <c r="S771" t="str">
        <f>IF(OR(Loans[[#This Row],[LoanStatus]]="Default",Loans[[#This Row],[LoanStatus]]="Watchlist",Loans[[#This Row],[CollateralRisk]]="Undersecured",Loans[[#This Row],[RiskCategory]]="High Risk"),"High Risk Exposure","Normal")</f>
        <v>High Risk Exposure</v>
      </c>
      <c r="T771" t="str" cm="1">
        <f t="array" ref="T771">_xlfn.IFS(
Loans[[#This Row],[LoanStatus]]="Default","Critical",
OR(Loans[[#This Row],[LoanStatus]]="Watchlist",Loans[[#This Row],[CollateralRisk]]="Undersecured",Loans[[#This Row],[RiskCategory]]="High Risk"),"High",
TRUE,"Normal"
)</f>
        <v>Critical</v>
      </c>
    </row>
    <row r="772" spans="1:20" x14ac:dyDescent="0.35">
      <c r="A772" t="s">
        <v>1428</v>
      </c>
      <c r="B772" t="s">
        <v>281</v>
      </c>
      <c r="C772" t="s">
        <v>181</v>
      </c>
      <c r="D772" t="s">
        <v>158</v>
      </c>
      <c r="E772" s="34">
        <v>3000000</v>
      </c>
      <c r="F772" s="29">
        <v>0.14180000000000001</v>
      </c>
      <c r="G772" s="30">
        <v>44630</v>
      </c>
      <c r="H772">
        <v>60</v>
      </c>
      <c r="I772">
        <v>45</v>
      </c>
      <c r="J772" s="34">
        <v>1800000</v>
      </c>
      <c r="K772" t="s">
        <v>199</v>
      </c>
      <c r="L772" s="34">
        <f>PMT(Loans[[#This Row],[InterestRate]]/12,Loans[[#This Row],[LoanTenureMonths]],-Loans[[#This Row],[LoanAmount]])</f>
        <v>70085.024487755596</v>
      </c>
      <c r="M772" s="30">
        <f>EDATE(Loans[[#This Row],[LoanStartDate]],Loans[[#This Row],[LoanTenureMonths]])</f>
        <v>46456</v>
      </c>
      <c r="N772" s="33">
        <f>IF(Loans[[#This Row],[LoanAmount]]=0,0,Loans[[#This Row],[CollateralValue]]/Loans[[#This Row],[LoanAmount]])</f>
        <v>0.6</v>
      </c>
      <c r="O772" t="str">
        <f>IF(Loans[[#This Row],[CollateralCoverageRatio]]&lt;1,"Undersecured","Secured")</f>
        <v>Undersecured</v>
      </c>
      <c r="P772" t="str">
        <f>_xlfn.XLOOKUP(Loans[[#This Row],[BranchCode]],BranchesTbl[BranchCode],BranchesTbl[BranchName])</f>
        <v>Kitale</v>
      </c>
      <c r="Q772">
        <f>_xlfn.XLOOKUP(Loans[[#This Row],[CustomerID]],CustomerTbl[CustomerID],CustomerTbl[RiskScore])</f>
        <v>499</v>
      </c>
      <c r="R772" t="str">
        <f>IFERROR(INDEX(RiskTbl[Risk_Category],MATCH(Loans[[#This Row],[RiskScore]],RiskTbl[Score_Min],1)),"Unknown")</f>
        <v>High Risk</v>
      </c>
      <c r="S772" t="str">
        <f>IF(OR(Loans[[#This Row],[LoanStatus]]="Default",Loans[[#This Row],[LoanStatus]]="Watchlist",Loans[[#This Row],[CollateralRisk]]="Undersecured",Loans[[#This Row],[RiskCategory]]="High Risk"),"High Risk Exposure","Normal")</f>
        <v>High Risk Exposure</v>
      </c>
      <c r="T772" t="str" cm="1">
        <f t="array" ref="T772">_xlfn.IFS(
Loans[[#This Row],[LoanStatus]]="Default","Critical",
OR(Loans[[#This Row],[LoanStatus]]="Watchlist",Loans[[#This Row],[CollateralRisk]]="Undersecured",Loans[[#This Row],[RiskCategory]]="High Risk"),"High",
TRUE,"Normal"
)</f>
        <v>High</v>
      </c>
    </row>
    <row r="773" spans="1:20" x14ac:dyDescent="0.35">
      <c r="A773" t="s">
        <v>1429</v>
      </c>
      <c r="B773" t="s">
        <v>692</v>
      </c>
      <c r="C773" t="s">
        <v>196</v>
      </c>
      <c r="D773" t="s">
        <v>155</v>
      </c>
      <c r="E773" s="34">
        <v>100000</v>
      </c>
      <c r="F773" s="29">
        <v>0.18709999999999999</v>
      </c>
      <c r="G773" s="30">
        <v>45926</v>
      </c>
      <c r="H773">
        <v>36</v>
      </c>
      <c r="I773">
        <v>90</v>
      </c>
      <c r="J773" s="34">
        <v>0</v>
      </c>
      <c r="K773" t="s">
        <v>199</v>
      </c>
      <c r="L773" s="34">
        <f>PMT(Loans[[#This Row],[InterestRate]]/12,Loans[[#This Row],[LoanTenureMonths]],-Loans[[#This Row],[LoanAmount]])</f>
        <v>3650.9562626202255</v>
      </c>
      <c r="M773" s="30">
        <f>EDATE(Loans[[#This Row],[LoanStartDate]],Loans[[#This Row],[LoanTenureMonths]])</f>
        <v>47022</v>
      </c>
      <c r="N773" s="33">
        <f>IF(Loans[[#This Row],[LoanAmount]]=0,0,Loans[[#This Row],[CollateralValue]]/Loans[[#This Row],[LoanAmount]])</f>
        <v>0</v>
      </c>
      <c r="O773" t="str">
        <f>IF(Loans[[#This Row],[CollateralCoverageRatio]]&lt;1,"Undersecured","Secured")</f>
        <v>Undersecured</v>
      </c>
      <c r="P773" t="str">
        <f>_xlfn.XLOOKUP(Loans[[#This Row],[BranchCode]],BranchesTbl[BranchCode],BranchesTbl[BranchName])</f>
        <v>Karen</v>
      </c>
      <c r="Q773">
        <f>_xlfn.XLOOKUP(Loans[[#This Row],[CustomerID]],CustomerTbl[CustomerID],CustomerTbl[RiskScore])</f>
        <v>835</v>
      </c>
      <c r="R773" t="str">
        <f>IFERROR(INDEX(RiskTbl[Risk_Category],MATCH(Loans[[#This Row],[RiskScore]],RiskTbl[Score_Min],1)),"Unknown")</f>
        <v>Prime</v>
      </c>
      <c r="S773" t="str">
        <f>IF(OR(Loans[[#This Row],[LoanStatus]]="Default",Loans[[#This Row],[LoanStatus]]="Watchlist",Loans[[#This Row],[CollateralRisk]]="Undersecured",Loans[[#This Row],[RiskCategory]]="High Risk"),"High Risk Exposure","Normal")</f>
        <v>High Risk Exposure</v>
      </c>
      <c r="T773" t="str" cm="1">
        <f t="array" ref="T773">_xlfn.IFS(
Loans[[#This Row],[LoanStatus]]="Default","Critical",
OR(Loans[[#This Row],[LoanStatus]]="Watchlist",Loans[[#This Row],[CollateralRisk]]="Undersecured",Loans[[#This Row],[RiskCategory]]="High Risk"),"High",
TRUE,"Normal"
)</f>
        <v>High</v>
      </c>
    </row>
    <row r="774" spans="1:20" x14ac:dyDescent="0.35">
      <c r="A774" t="s">
        <v>1430</v>
      </c>
      <c r="B774" t="s">
        <v>792</v>
      </c>
      <c r="C774" t="s">
        <v>267</v>
      </c>
      <c r="D774" t="s">
        <v>155</v>
      </c>
      <c r="E774" s="34">
        <v>100000</v>
      </c>
      <c r="F774" s="29">
        <v>0.24790000000000001</v>
      </c>
      <c r="G774" s="30">
        <v>45633</v>
      </c>
      <c r="H774">
        <v>12</v>
      </c>
      <c r="I774">
        <v>0</v>
      </c>
      <c r="J774" s="34">
        <v>0</v>
      </c>
      <c r="K774" t="s">
        <v>171</v>
      </c>
      <c r="L774" s="34">
        <f>PMT(Loans[[#This Row],[InterestRate]]/12,Loans[[#This Row],[LoanTenureMonths]],-Loans[[#This Row],[LoanAmount]])</f>
        <v>9494.2325545086751</v>
      </c>
      <c r="M774" s="30">
        <f>EDATE(Loans[[#This Row],[LoanStartDate]],Loans[[#This Row],[LoanTenureMonths]])</f>
        <v>45998</v>
      </c>
      <c r="N774" s="33">
        <f>IF(Loans[[#This Row],[LoanAmount]]=0,0,Loans[[#This Row],[CollateralValue]]/Loans[[#This Row],[LoanAmount]])</f>
        <v>0</v>
      </c>
      <c r="O774" t="str">
        <f>IF(Loans[[#This Row],[CollateralCoverageRatio]]&lt;1,"Undersecured","Secured")</f>
        <v>Undersecured</v>
      </c>
      <c r="P774" t="str">
        <f>_xlfn.XLOOKUP(Loans[[#This Row],[BranchCode]],BranchesTbl[BranchCode],BranchesTbl[BranchName])</f>
        <v>Malindi</v>
      </c>
      <c r="Q774">
        <f>_xlfn.XLOOKUP(Loans[[#This Row],[CustomerID]],CustomerTbl[CustomerID],CustomerTbl[RiskScore])</f>
        <v>664</v>
      </c>
      <c r="R774" t="str">
        <f>IFERROR(INDEX(RiskTbl[Risk_Category],MATCH(Loans[[#This Row],[RiskScore]],RiskTbl[Score_Min],1)),"Unknown")</f>
        <v>Medium Risk</v>
      </c>
      <c r="S774" t="str">
        <f>IF(OR(Loans[[#This Row],[LoanStatus]]="Default",Loans[[#This Row],[LoanStatus]]="Watchlist",Loans[[#This Row],[CollateralRisk]]="Undersecured",Loans[[#This Row],[RiskCategory]]="High Risk"),"High Risk Exposure","Normal")</f>
        <v>High Risk Exposure</v>
      </c>
      <c r="T774" t="str" cm="1">
        <f t="array" ref="T774">_xlfn.IFS(
Loans[[#This Row],[LoanStatus]]="Default","Critical",
OR(Loans[[#This Row],[LoanStatus]]="Watchlist",Loans[[#This Row],[CollateralRisk]]="Undersecured",Loans[[#This Row],[RiskCategory]]="High Risk"),"High",
TRUE,"Normal"
)</f>
        <v>High</v>
      </c>
    </row>
    <row r="775" spans="1:20" x14ac:dyDescent="0.35">
      <c r="A775" t="s">
        <v>1431</v>
      </c>
      <c r="B775" t="s">
        <v>1432</v>
      </c>
      <c r="C775" t="s">
        <v>219</v>
      </c>
      <c r="D775" t="s">
        <v>156</v>
      </c>
      <c r="E775" s="34">
        <v>25000000</v>
      </c>
      <c r="F775" s="29">
        <v>0.2253</v>
      </c>
      <c r="G775" s="30">
        <v>45088</v>
      </c>
      <c r="H775">
        <v>72</v>
      </c>
      <c r="I775">
        <v>20</v>
      </c>
      <c r="J775" s="34">
        <v>14000000</v>
      </c>
      <c r="K775" t="s">
        <v>171</v>
      </c>
      <c r="L775" s="34">
        <f>PMT(Loans[[#This Row],[InterestRate]]/12,Loans[[#This Row],[LoanTenureMonths]],-Loans[[#This Row],[LoanAmount]])</f>
        <v>636042.04029246862</v>
      </c>
      <c r="M775" s="30">
        <f>EDATE(Loans[[#This Row],[LoanStartDate]],Loans[[#This Row],[LoanTenureMonths]])</f>
        <v>47280</v>
      </c>
      <c r="N775" s="33">
        <f>IF(Loans[[#This Row],[LoanAmount]]=0,0,Loans[[#This Row],[CollateralValue]]/Loans[[#This Row],[LoanAmount]])</f>
        <v>0.56000000000000005</v>
      </c>
      <c r="O775" t="str">
        <f>IF(Loans[[#This Row],[CollateralCoverageRatio]]&lt;1,"Undersecured","Secured")</f>
        <v>Undersecured</v>
      </c>
      <c r="P775" t="str">
        <f>_xlfn.XLOOKUP(Loans[[#This Row],[BranchCode]],BranchesTbl[BranchCode],BranchesTbl[BranchName])</f>
        <v>Meru</v>
      </c>
      <c r="Q775">
        <f>_xlfn.XLOOKUP(Loans[[#This Row],[CustomerID]],CustomerTbl[CustomerID],CustomerTbl[RiskScore])</f>
        <v>807</v>
      </c>
      <c r="R775" t="str">
        <f>IFERROR(INDEX(RiskTbl[Risk_Category],MATCH(Loans[[#This Row],[RiskScore]],RiskTbl[Score_Min],1)),"Unknown")</f>
        <v>Prime</v>
      </c>
      <c r="S775" t="str">
        <f>IF(OR(Loans[[#This Row],[LoanStatus]]="Default",Loans[[#This Row],[LoanStatus]]="Watchlist",Loans[[#This Row],[CollateralRisk]]="Undersecured",Loans[[#This Row],[RiskCategory]]="High Risk"),"High Risk Exposure","Normal")</f>
        <v>High Risk Exposure</v>
      </c>
      <c r="T775" t="str" cm="1">
        <f t="array" ref="T775">_xlfn.IFS(
Loans[[#This Row],[LoanStatus]]="Default","Critical",
OR(Loans[[#This Row],[LoanStatus]]="Watchlist",Loans[[#This Row],[CollateralRisk]]="Undersecured",Loans[[#This Row],[RiskCategory]]="High Risk"),"High",
TRUE,"Normal"
)</f>
        <v>High</v>
      </c>
    </row>
    <row r="776" spans="1:20" x14ac:dyDescent="0.35">
      <c r="A776" t="s">
        <v>1433</v>
      </c>
      <c r="B776" t="s">
        <v>1434</v>
      </c>
      <c r="C776" t="s">
        <v>219</v>
      </c>
      <c r="D776" t="s">
        <v>155</v>
      </c>
      <c r="E776" s="34">
        <v>250000</v>
      </c>
      <c r="F776" s="29">
        <v>0.26269999999999999</v>
      </c>
      <c r="G776" s="30">
        <v>45671</v>
      </c>
      <c r="H776">
        <v>24</v>
      </c>
      <c r="I776">
        <v>45</v>
      </c>
      <c r="J776" s="34">
        <v>0</v>
      </c>
      <c r="K776" t="s">
        <v>199</v>
      </c>
      <c r="L776" s="34">
        <f>PMT(Loans[[#This Row],[InterestRate]]/12,Loans[[#This Row],[LoanTenureMonths]],-Loans[[#This Row],[LoanAmount]])</f>
        <v>13502.709576676138</v>
      </c>
      <c r="M776" s="30">
        <f>EDATE(Loans[[#This Row],[LoanStartDate]],Loans[[#This Row],[LoanTenureMonths]])</f>
        <v>46401</v>
      </c>
      <c r="N776" s="33">
        <f>IF(Loans[[#This Row],[LoanAmount]]=0,0,Loans[[#This Row],[CollateralValue]]/Loans[[#This Row],[LoanAmount]])</f>
        <v>0</v>
      </c>
      <c r="O776" t="str">
        <f>IF(Loans[[#This Row],[CollateralCoverageRatio]]&lt;1,"Undersecured","Secured")</f>
        <v>Undersecured</v>
      </c>
      <c r="P776" t="str">
        <f>_xlfn.XLOOKUP(Loans[[#This Row],[BranchCode]],BranchesTbl[BranchCode],BranchesTbl[BranchName])</f>
        <v>Meru</v>
      </c>
      <c r="Q776">
        <f>_xlfn.XLOOKUP(Loans[[#This Row],[CustomerID]],CustomerTbl[CustomerID],CustomerTbl[RiskScore])</f>
        <v>626</v>
      </c>
      <c r="R776" t="str">
        <f>IFERROR(INDEX(RiskTbl[Risk_Category],MATCH(Loans[[#This Row],[RiskScore]],RiskTbl[Score_Min],1)),"Unknown")</f>
        <v>Medium Risk</v>
      </c>
      <c r="S776" t="str">
        <f>IF(OR(Loans[[#This Row],[LoanStatus]]="Default",Loans[[#This Row],[LoanStatus]]="Watchlist",Loans[[#This Row],[CollateralRisk]]="Undersecured",Loans[[#This Row],[RiskCategory]]="High Risk"),"High Risk Exposure","Normal")</f>
        <v>High Risk Exposure</v>
      </c>
      <c r="T776" t="str" cm="1">
        <f t="array" ref="T776">_xlfn.IFS(
Loans[[#This Row],[LoanStatus]]="Default","Critical",
OR(Loans[[#This Row],[LoanStatus]]="Watchlist",Loans[[#This Row],[CollateralRisk]]="Undersecured",Loans[[#This Row],[RiskCategory]]="High Risk"),"High",
TRUE,"Normal"
)</f>
        <v>High</v>
      </c>
    </row>
    <row r="777" spans="1:20" x14ac:dyDescent="0.35">
      <c r="A777" t="s">
        <v>1435</v>
      </c>
      <c r="B777" t="s">
        <v>1166</v>
      </c>
      <c r="C777" t="s">
        <v>170</v>
      </c>
      <c r="D777" t="s">
        <v>157</v>
      </c>
      <c r="E777" s="34">
        <v>6000000</v>
      </c>
      <c r="F777" s="29">
        <v>0.12039999999999999</v>
      </c>
      <c r="G777" s="30">
        <v>44483</v>
      </c>
      <c r="H777">
        <v>36</v>
      </c>
      <c r="I777">
        <v>0</v>
      </c>
      <c r="J777" s="34">
        <v>5940000</v>
      </c>
      <c r="K777" t="s">
        <v>171</v>
      </c>
      <c r="L777" s="34">
        <f>PMT(Loans[[#This Row],[InterestRate]]/12,Loans[[#This Row],[LoanTenureMonths]],-Loans[[#This Row],[LoanAmount]])</f>
        <v>199400.50704466924</v>
      </c>
      <c r="M777" s="30">
        <f>EDATE(Loans[[#This Row],[LoanStartDate]],Loans[[#This Row],[LoanTenureMonths]])</f>
        <v>45579</v>
      </c>
      <c r="N777" s="33">
        <f>IF(Loans[[#This Row],[LoanAmount]]=0,0,Loans[[#This Row],[CollateralValue]]/Loans[[#This Row],[LoanAmount]])</f>
        <v>0.99</v>
      </c>
      <c r="O777" t="str">
        <f>IF(Loans[[#This Row],[CollateralCoverageRatio]]&lt;1,"Undersecured","Secured")</f>
        <v>Undersecured</v>
      </c>
      <c r="P777" t="str">
        <f>_xlfn.XLOOKUP(Loans[[#This Row],[BranchCode]],BranchesTbl[BranchCode],BranchesTbl[BranchName])</f>
        <v>Thika</v>
      </c>
      <c r="Q777">
        <f>_xlfn.XLOOKUP(Loans[[#This Row],[CustomerID]],CustomerTbl[CustomerID],CustomerTbl[RiskScore])</f>
        <v>618</v>
      </c>
      <c r="R777" t="str">
        <f>IFERROR(INDEX(RiskTbl[Risk_Category],MATCH(Loans[[#This Row],[RiskScore]],RiskTbl[Score_Min],1)),"Unknown")</f>
        <v>Medium Risk</v>
      </c>
      <c r="S777" t="str">
        <f>IF(OR(Loans[[#This Row],[LoanStatus]]="Default",Loans[[#This Row],[LoanStatus]]="Watchlist",Loans[[#This Row],[CollateralRisk]]="Undersecured",Loans[[#This Row],[RiskCategory]]="High Risk"),"High Risk Exposure","Normal")</f>
        <v>High Risk Exposure</v>
      </c>
      <c r="T777" t="str" cm="1">
        <f t="array" ref="T777">_xlfn.IFS(
Loans[[#This Row],[LoanStatus]]="Default","Critical",
OR(Loans[[#This Row],[LoanStatus]]="Watchlist",Loans[[#This Row],[CollateralRisk]]="Undersecured",Loans[[#This Row],[RiskCategory]]="High Risk"),"High",
TRUE,"Normal"
)</f>
        <v>High</v>
      </c>
    </row>
    <row r="778" spans="1:20" x14ac:dyDescent="0.35">
      <c r="A778" t="s">
        <v>1436</v>
      </c>
      <c r="B778" t="s">
        <v>1437</v>
      </c>
      <c r="C778" t="s">
        <v>267</v>
      </c>
      <c r="D778" t="s">
        <v>156</v>
      </c>
      <c r="E778" s="34">
        <v>3000000</v>
      </c>
      <c r="F778" s="29">
        <v>0.16200000000000001</v>
      </c>
      <c r="G778" s="30">
        <v>44963</v>
      </c>
      <c r="H778">
        <v>24</v>
      </c>
      <c r="I778">
        <v>0</v>
      </c>
      <c r="J778" s="34">
        <v>2490000</v>
      </c>
      <c r="K778" t="s">
        <v>171</v>
      </c>
      <c r="L778" s="34">
        <f>PMT(Loans[[#This Row],[InterestRate]]/12,Loans[[#This Row],[LoanTenureMonths]],-Loans[[#This Row],[LoanAmount]])</f>
        <v>147176.17847320839</v>
      </c>
      <c r="M778" s="30">
        <f>EDATE(Loans[[#This Row],[LoanStartDate]],Loans[[#This Row],[LoanTenureMonths]])</f>
        <v>45694</v>
      </c>
      <c r="N778" s="33">
        <f>IF(Loans[[#This Row],[LoanAmount]]=0,0,Loans[[#This Row],[CollateralValue]]/Loans[[#This Row],[LoanAmount]])</f>
        <v>0.83</v>
      </c>
      <c r="O778" t="str">
        <f>IF(Loans[[#This Row],[CollateralCoverageRatio]]&lt;1,"Undersecured","Secured")</f>
        <v>Undersecured</v>
      </c>
      <c r="P778" t="str">
        <f>_xlfn.XLOOKUP(Loans[[#This Row],[BranchCode]],BranchesTbl[BranchCode],BranchesTbl[BranchName])</f>
        <v>Malindi</v>
      </c>
      <c r="Q778">
        <f>_xlfn.XLOOKUP(Loans[[#This Row],[CustomerID]],CustomerTbl[CustomerID],CustomerTbl[RiskScore])</f>
        <v>501</v>
      </c>
      <c r="R778" t="str">
        <f>IFERROR(INDEX(RiskTbl[Risk_Category],MATCH(Loans[[#This Row],[RiskScore]],RiskTbl[Score_Min],1)),"Unknown")</f>
        <v>High Risk</v>
      </c>
      <c r="S778" t="str">
        <f>IF(OR(Loans[[#This Row],[LoanStatus]]="Default",Loans[[#This Row],[LoanStatus]]="Watchlist",Loans[[#This Row],[CollateralRisk]]="Undersecured",Loans[[#This Row],[RiskCategory]]="High Risk"),"High Risk Exposure","Normal")</f>
        <v>High Risk Exposure</v>
      </c>
      <c r="T778" t="str" cm="1">
        <f t="array" ref="T778">_xlfn.IFS(
Loans[[#This Row],[LoanStatus]]="Default","Critical",
OR(Loans[[#This Row],[LoanStatus]]="Watchlist",Loans[[#This Row],[CollateralRisk]]="Undersecured",Loans[[#This Row],[RiskCategory]]="High Risk"),"High",
TRUE,"Normal"
)</f>
        <v>High</v>
      </c>
    </row>
    <row r="779" spans="1:20" x14ac:dyDescent="0.35">
      <c r="A779" t="s">
        <v>1438</v>
      </c>
      <c r="B779" t="s">
        <v>657</v>
      </c>
      <c r="C779" t="s">
        <v>219</v>
      </c>
      <c r="D779" t="s">
        <v>155</v>
      </c>
      <c r="E779" s="34">
        <v>500000</v>
      </c>
      <c r="F779" s="29">
        <v>0.23719999999999999</v>
      </c>
      <c r="G779" s="30">
        <v>45866</v>
      </c>
      <c r="H779">
        <v>60</v>
      </c>
      <c r="I779">
        <v>20</v>
      </c>
      <c r="J779" s="34">
        <v>0</v>
      </c>
      <c r="K779" t="s">
        <v>171</v>
      </c>
      <c r="L779" s="34">
        <f>PMT(Loans[[#This Row],[InterestRate]]/12,Loans[[#This Row],[LoanTenureMonths]],-Loans[[#This Row],[LoanAmount]])</f>
        <v>14302.836581691899</v>
      </c>
      <c r="M779" s="30">
        <f>EDATE(Loans[[#This Row],[LoanStartDate]],Loans[[#This Row],[LoanTenureMonths]])</f>
        <v>47692</v>
      </c>
      <c r="N779" s="33">
        <f>IF(Loans[[#This Row],[LoanAmount]]=0,0,Loans[[#This Row],[CollateralValue]]/Loans[[#This Row],[LoanAmount]])</f>
        <v>0</v>
      </c>
      <c r="O779" t="str">
        <f>IF(Loans[[#This Row],[CollateralCoverageRatio]]&lt;1,"Undersecured","Secured")</f>
        <v>Undersecured</v>
      </c>
      <c r="P779" t="str">
        <f>_xlfn.XLOOKUP(Loans[[#This Row],[BranchCode]],BranchesTbl[BranchCode],BranchesTbl[BranchName])</f>
        <v>Meru</v>
      </c>
      <c r="Q779">
        <f>_xlfn.XLOOKUP(Loans[[#This Row],[CustomerID]],CustomerTbl[CustomerID],CustomerTbl[RiskScore])</f>
        <v>359</v>
      </c>
      <c r="R779" t="str">
        <f>IFERROR(INDEX(RiskTbl[Risk_Category],MATCH(Loans[[#This Row],[RiskScore]],RiskTbl[Score_Min],1)),"Unknown")</f>
        <v>High Risk</v>
      </c>
      <c r="S779" t="str">
        <f>IF(OR(Loans[[#This Row],[LoanStatus]]="Default",Loans[[#This Row],[LoanStatus]]="Watchlist",Loans[[#This Row],[CollateralRisk]]="Undersecured",Loans[[#This Row],[RiskCategory]]="High Risk"),"High Risk Exposure","Normal")</f>
        <v>High Risk Exposure</v>
      </c>
      <c r="T779" t="str" cm="1">
        <f t="array" ref="T779">_xlfn.IFS(
Loans[[#This Row],[LoanStatus]]="Default","Critical",
OR(Loans[[#This Row],[LoanStatus]]="Watchlist",Loans[[#This Row],[CollateralRisk]]="Undersecured",Loans[[#This Row],[RiskCategory]]="High Risk"),"High",
TRUE,"Normal"
)</f>
        <v>High</v>
      </c>
    </row>
    <row r="780" spans="1:20" x14ac:dyDescent="0.35">
      <c r="A780" t="s">
        <v>1439</v>
      </c>
      <c r="B780" t="s">
        <v>1440</v>
      </c>
      <c r="C780" t="s">
        <v>187</v>
      </c>
      <c r="D780" t="s">
        <v>156</v>
      </c>
      <c r="E780" s="34">
        <v>1000000</v>
      </c>
      <c r="F780" s="29">
        <v>0.20399999999999999</v>
      </c>
      <c r="G780" s="30">
        <v>45705</v>
      </c>
      <c r="H780">
        <v>12</v>
      </c>
      <c r="I780">
        <v>0</v>
      </c>
      <c r="J780" s="34">
        <v>1050000</v>
      </c>
      <c r="K780" t="s">
        <v>171</v>
      </c>
      <c r="L780" s="34">
        <f>PMT(Loans[[#This Row],[InterestRate]]/12,Loans[[#This Row],[LoanTenureMonths]],-Loans[[#This Row],[LoanAmount]])</f>
        <v>92826.052341638104</v>
      </c>
      <c r="M780" s="30">
        <f>EDATE(Loans[[#This Row],[LoanStartDate]],Loans[[#This Row],[LoanTenureMonths]])</f>
        <v>46070</v>
      </c>
      <c r="N780" s="33">
        <f>IF(Loans[[#This Row],[LoanAmount]]=0,0,Loans[[#This Row],[CollateralValue]]/Loans[[#This Row],[LoanAmount]])</f>
        <v>1.05</v>
      </c>
      <c r="O780" t="str">
        <f>IF(Loans[[#This Row],[CollateralCoverageRatio]]&lt;1,"Undersecured","Secured")</f>
        <v>Secured</v>
      </c>
      <c r="P780" t="str">
        <f>_xlfn.XLOOKUP(Loans[[#This Row],[BranchCode]],BranchesTbl[BranchCode],BranchesTbl[BranchName])</f>
        <v>Eldoret</v>
      </c>
      <c r="Q780">
        <f>_xlfn.XLOOKUP(Loans[[#This Row],[CustomerID]],CustomerTbl[CustomerID],CustomerTbl[RiskScore])</f>
        <v>714</v>
      </c>
      <c r="R780" t="str">
        <f>IFERROR(INDEX(RiskTbl[Risk_Category],MATCH(Loans[[#This Row],[RiskScore]],RiskTbl[Score_Min],1)),"Unknown")</f>
        <v>Low Risk</v>
      </c>
      <c r="S780" t="str">
        <f>IF(OR(Loans[[#This Row],[LoanStatus]]="Default",Loans[[#This Row],[LoanStatus]]="Watchlist",Loans[[#This Row],[CollateralRisk]]="Undersecured",Loans[[#This Row],[RiskCategory]]="High Risk"),"High Risk Exposure","Normal")</f>
        <v>Normal</v>
      </c>
      <c r="T780" t="str" cm="1">
        <f t="array" ref="T780">_xlfn.IFS(
Loans[[#This Row],[LoanStatus]]="Default","Critical",
OR(Loans[[#This Row],[LoanStatus]]="Watchlist",Loans[[#This Row],[CollateralRisk]]="Undersecured",Loans[[#This Row],[RiskCategory]]="High Risk"),"High",
TRUE,"Normal"
)</f>
        <v>Normal</v>
      </c>
    </row>
    <row r="781" spans="1:20" x14ac:dyDescent="0.35">
      <c r="A781" t="s">
        <v>1441</v>
      </c>
      <c r="B781" t="s">
        <v>1442</v>
      </c>
      <c r="C781" t="s">
        <v>267</v>
      </c>
      <c r="D781" t="s">
        <v>155</v>
      </c>
      <c r="E781" s="34">
        <v>250000</v>
      </c>
      <c r="F781" s="29">
        <v>0.1678</v>
      </c>
      <c r="G781" s="30">
        <v>45286</v>
      </c>
      <c r="H781">
        <v>60</v>
      </c>
      <c r="I781">
        <v>5</v>
      </c>
      <c r="J781" s="34">
        <v>0</v>
      </c>
      <c r="K781" t="s">
        <v>171</v>
      </c>
      <c r="L781" s="34">
        <f>PMT(Loans[[#This Row],[InterestRate]]/12,Loans[[#This Row],[LoanTenureMonths]],-Loans[[#This Row],[LoanAmount]])</f>
        <v>6183.6090524122892</v>
      </c>
      <c r="M781" s="30">
        <f>EDATE(Loans[[#This Row],[LoanStartDate]],Loans[[#This Row],[LoanTenureMonths]])</f>
        <v>47113</v>
      </c>
      <c r="N781" s="33">
        <f>IF(Loans[[#This Row],[LoanAmount]]=0,0,Loans[[#This Row],[CollateralValue]]/Loans[[#This Row],[LoanAmount]])</f>
        <v>0</v>
      </c>
      <c r="O781" t="str">
        <f>IF(Loans[[#This Row],[CollateralCoverageRatio]]&lt;1,"Undersecured","Secured")</f>
        <v>Undersecured</v>
      </c>
      <c r="P781" t="str">
        <f>_xlfn.XLOOKUP(Loans[[#This Row],[BranchCode]],BranchesTbl[BranchCode],BranchesTbl[BranchName])</f>
        <v>Malindi</v>
      </c>
      <c r="Q781">
        <f>_xlfn.XLOOKUP(Loans[[#This Row],[CustomerID]],CustomerTbl[CustomerID],CustomerTbl[RiskScore])</f>
        <v>532</v>
      </c>
      <c r="R781" t="str">
        <f>IFERROR(INDEX(RiskTbl[Risk_Category],MATCH(Loans[[#This Row],[RiskScore]],RiskTbl[Score_Min],1)),"Unknown")</f>
        <v>High Risk</v>
      </c>
      <c r="S781" t="str">
        <f>IF(OR(Loans[[#This Row],[LoanStatus]]="Default",Loans[[#This Row],[LoanStatus]]="Watchlist",Loans[[#This Row],[CollateralRisk]]="Undersecured",Loans[[#This Row],[RiskCategory]]="High Risk"),"High Risk Exposure","Normal")</f>
        <v>High Risk Exposure</v>
      </c>
      <c r="T781" t="str" cm="1">
        <f t="array" ref="T781">_xlfn.IFS(
Loans[[#This Row],[LoanStatus]]="Default","Critical",
OR(Loans[[#This Row],[LoanStatus]]="Watchlist",Loans[[#This Row],[CollateralRisk]]="Undersecured",Loans[[#This Row],[RiskCategory]]="High Risk"),"High",
TRUE,"Normal"
)</f>
        <v>High</v>
      </c>
    </row>
    <row r="782" spans="1:20" x14ac:dyDescent="0.35">
      <c r="A782" t="s">
        <v>1443</v>
      </c>
      <c r="B782" t="s">
        <v>300</v>
      </c>
      <c r="C782" t="s">
        <v>170</v>
      </c>
      <c r="D782" t="s">
        <v>157</v>
      </c>
      <c r="E782" s="34">
        <v>80000000</v>
      </c>
      <c r="F782" s="29">
        <v>0.11020000000000001</v>
      </c>
      <c r="G782" s="30">
        <v>44395</v>
      </c>
      <c r="H782">
        <v>72</v>
      </c>
      <c r="I782">
        <v>0</v>
      </c>
      <c r="J782" s="34">
        <v>50400000</v>
      </c>
      <c r="K782" t="s">
        <v>171</v>
      </c>
      <c r="L782" s="34">
        <f>PMT(Loans[[#This Row],[InterestRate]]/12,Loans[[#This Row],[LoanTenureMonths]],-Loans[[#This Row],[LoanAmount]])</f>
        <v>1523545.9486580358</v>
      </c>
      <c r="M782" s="30">
        <f>EDATE(Loans[[#This Row],[LoanStartDate]],Loans[[#This Row],[LoanTenureMonths]])</f>
        <v>46586</v>
      </c>
      <c r="N782" s="33">
        <f>IF(Loans[[#This Row],[LoanAmount]]=0,0,Loans[[#This Row],[CollateralValue]]/Loans[[#This Row],[LoanAmount]])</f>
        <v>0.63</v>
      </c>
      <c r="O782" t="str">
        <f>IF(Loans[[#This Row],[CollateralCoverageRatio]]&lt;1,"Undersecured","Secured")</f>
        <v>Undersecured</v>
      </c>
      <c r="P782" t="str">
        <f>_xlfn.XLOOKUP(Loans[[#This Row],[BranchCode]],BranchesTbl[BranchCode],BranchesTbl[BranchName])</f>
        <v>Thika</v>
      </c>
      <c r="Q782">
        <f>_xlfn.XLOOKUP(Loans[[#This Row],[CustomerID]],CustomerTbl[CustomerID],CustomerTbl[RiskScore])</f>
        <v>674</v>
      </c>
      <c r="R782" t="str">
        <f>IFERROR(INDEX(RiskTbl[Risk_Category],MATCH(Loans[[#This Row],[RiskScore]],RiskTbl[Score_Min],1)),"Unknown")</f>
        <v>Low Risk</v>
      </c>
      <c r="S782" t="str">
        <f>IF(OR(Loans[[#This Row],[LoanStatus]]="Default",Loans[[#This Row],[LoanStatus]]="Watchlist",Loans[[#This Row],[CollateralRisk]]="Undersecured",Loans[[#This Row],[RiskCategory]]="High Risk"),"High Risk Exposure","Normal")</f>
        <v>High Risk Exposure</v>
      </c>
      <c r="T782" t="str" cm="1">
        <f t="array" ref="T782">_xlfn.IFS(
Loans[[#This Row],[LoanStatus]]="Default","Critical",
OR(Loans[[#This Row],[LoanStatus]]="Watchlist",Loans[[#This Row],[CollateralRisk]]="Undersecured",Loans[[#This Row],[RiskCategory]]="High Risk"),"High",
TRUE,"Normal"
)</f>
        <v>High</v>
      </c>
    </row>
    <row r="783" spans="1:20" x14ac:dyDescent="0.35">
      <c r="A783" t="s">
        <v>1444</v>
      </c>
      <c r="B783" t="s">
        <v>214</v>
      </c>
      <c r="C783" t="s">
        <v>270</v>
      </c>
      <c r="D783" t="s">
        <v>156</v>
      </c>
      <c r="E783" s="34">
        <v>6000000</v>
      </c>
      <c r="F783" s="29">
        <v>0.16839999999999999</v>
      </c>
      <c r="G783" s="30">
        <v>44961</v>
      </c>
      <c r="H783">
        <v>12</v>
      </c>
      <c r="I783">
        <v>45</v>
      </c>
      <c r="J783" s="34">
        <v>4620000</v>
      </c>
      <c r="K783" t="s">
        <v>199</v>
      </c>
      <c r="L783" s="34">
        <f>PMT(Loans[[#This Row],[InterestRate]]/12,Loans[[#This Row],[LoanTenureMonths]],-Loans[[#This Row],[LoanAmount]])</f>
        <v>546773.03073887806</v>
      </c>
      <c r="M783" s="30">
        <f>EDATE(Loans[[#This Row],[LoanStartDate]],Loans[[#This Row],[LoanTenureMonths]])</f>
        <v>45326</v>
      </c>
      <c r="N783" s="33">
        <f>IF(Loans[[#This Row],[LoanAmount]]=0,0,Loans[[#This Row],[CollateralValue]]/Loans[[#This Row],[LoanAmount]])</f>
        <v>0.77</v>
      </c>
      <c r="O783" t="str">
        <f>IF(Loans[[#This Row],[CollateralCoverageRatio]]&lt;1,"Undersecured","Secured")</f>
        <v>Undersecured</v>
      </c>
      <c r="P783" t="str">
        <f>_xlfn.XLOOKUP(Loans[[#This Row],[BranchCode]],BranchesTbl[BranchCode],BranchesTbl[BranchName])</f>
        <v>Nakuru</v>
      </c>
      <c r="Q783">
        <f>_xlfn.XLOOKUP(Loans[[#This Row],[CustomerID]],CustomerTbl[CustomerID],CustomerTbl[RiskScore])</f>
        <v>318</v>
      </c>
      <c r="R783" t="str">
        <f>IFERROR(INDEX(RiskTbl[Risk_Category],MATCH(Loans[[#This Row],[RiskScore]],RiskTbl[Score_Min],1)),"Unknown")</f>
        <v>High Risk</v>
      </c>
      <c r="S783" t="str">
        <f>IF(OR(Loans[[#This Row],[LoanStatus]]="Default",Loans[[#This Row],[LoanStatus]]="Watchlist",Loans[[#This Row],[CollateralRisk]]="Undersecured",Loans[[#This Row],[RiskCategory]]="High Risk"),"High Risk Exposure","Normal")</f>
        <v>High Risk Exposure</v>
      </c>
      <c r="T783" t="str" cm="1">
        <f t="array" ref="T783">_xlfn.IFS(
Loans[[#This Row],[LoanStatus]]="Default","Critical",
OR(Loans[[#This Row],[LoanStatus]]="Watchlist",Loans[[#This Row],[CollateralRisk]]="Undersecured",Loans[[#This Row],[RiskCategory]]="High Risk"),"High",
TRUE,"Normal"
)</f>
        <v>High</v>
      </c>
    </row>
    <row r="784" spans="1:20" x14ac:dyDescent="0.35">
      <c r="A784" t="s">
        <v>1445</v>
      </c>
      <c r="B784" t="s">
        <v>889</v>
      </c>
      <c r="C784" t="s">
        <v>187</v>
      </c>
      <c r="D784" t="s">
        <v>157</v>
      </c>
      <c r="E784" s="34">
        <v>6000000</v>
      </c>
      <c r="F784" s="29">
        <v>0.1106</v>
      </c>
      <c r="G784" s="30">
        <v>45404</v>
      </c>
      <c r="H784">
        <v>48</v>
      </c>
      <c r="I784">
        <v>120</v>
      </c>
      <c r="J784" s="34">
        <v>4320000</v>
      </c>
      <c r="K784" t="s">
        <v>178</v>
      </c>
      <c r="L784" s="34">
        <f>PMT(Loans[[#This Row],[InterestRate]]/12,Loans[[#This Row],[LoanTenureMonths]],-Loans[[#This Row],[LoanAmount]])</f>
        <v>155248.02057407852</v>
      </c>
      <c r="M784" s="30">
        <f>EDATE(Loans[[#This Row],[LoanStartDate]],Loans[[#This Row],[LoanTenureMonths]])</f>
        <v>46865</v>
      </c>
      <c r="N784" s="33">
        <f>IF(Loans[[#This Row],[LoanAmount]]=0,0,Loans[[#This Row],[CollateralValue]]/Loans[[#This Row],[LoanAmount]])</f>
        <v>0.72</v>
      </c>
      <c r="O784" t="str">
        <f>IF(Loans[[#This Row],[CollateralCoverageRatio]]&lt;1,"Undersecured","Secured")</f>
        <v>Undersecured</v>
      </c>
      <c r="P784" t="str">
        <f>_xlfn.XLOOKUP(Loans[[#This Row],[BranchCode]],BranchesTbl[BranchCode],BranchesTbl[BranchName])</f>
        <v>Eldoret</v>
      </c>
      <c r="Q784">
        <f>_xlfn.XLOOKUP(Loans[[#This Row],[CustomerID]],CustomerTbl[CustomerID],CustomerTbl[RiskScore])</f>
        <v>797</v>
      </c>
      <c r="R784" t="str">
        <f>IFERROR(INDEX(RiskTbl[Risk_Category],MATCH(Loans[[#This Row],[RiskScore]],RiskTbl[Score_Min],1)),"Unknown")</f>
        <v>Very Low Risk</v>
      </c>
      <c r="S784" t="str">
        <f>IF(OR(Loans[[#This Row],[LoanStatus]]="Default",Loans[[#This Row],[LoanStatus]]="Watchlist",Loans[[#This Row],[CollateralRisk]]="Undersecured",Loans[[#This Row],[RiskCategory]]="High Risk"),"High Risk Exposure","Normal")</f>
        <v>High Risk Exposure</v>
      </c>
      <c r="T784" t="str" cm="1">
        <f t="array" ref="T784">_xlfn.IFS(
Loans[[#This Row],[LoanStatus]]="Default","Critical",
OR(Loans[[#This Row],[LoanStatus]]="Watchlist",Loans[[#This Row],[CollateralRisk]]="Undersecured",Loans[[#This Row],[RiskCategory]]="High Risk"),"High",
TRUE,"Normal"
)</f>
        <v>Critical</v>
      </c>
    </row>
    <row r="785" spans="1:20" x14ac:dyDescent="0.35">
      <c r="A785" t="s">
        <v>1446</v>
      </c>
      <c r="B785" t="s">
        <v>1447</v>
      </c>
      <c r="C785" t="s">
        <v>181</v>
      </c>
      <c r="D785" t="s">
        <v>157</v>
      </c>
      <c r="E785" s="34">
        <v>80000000</v>
      </c>
      <c r="F785" s="29">
        <v>9.0399999999999994E-2</v>
      </c>
      <c r="G785" s="30">
        <v>44989</v>
      </c>
      <c r="H785">
        <v>36</v>
      </c>
      <c r="I785">
        <v>120</v>
      </c>
      <c r="J785" s="34">
        <v>72800000</v>
      </c>
      <c r="K785" t="s">
        <v>178</v>
      </c>
      <c r="L785" s="34">
        <f>PMT(Loans[[#This Row],[InterestRate]]/12,Loans[[#This Row],[LoanTenureMonths]],-Loans[[#This Row],[LoanAmount]])</f>
        <v>2545468.1953413594</v>
      </c>
      <c r="M785" s="30">
        <f>EDATE(Loans[[#This Row],[LoanStartDate]],Loans[[#This Row],[LoanTenureMonths]])</f>
        <v>46085</v>
      </c>
      <c r="N785" s="33">
        <f>IF(Loans[[#This Row],[LoanAmount]]=0,0,Loans[[#This Row],[CollateralValue]]/Loans[[#This Row],[LoanAmount]])</f>
        <v>0.91</v>
      </c>
      <c r="O785" t="str">
        <f>IF(Loans[[#This Row],[CollateralCoverageRatio]]&lt;1,"Undersecured","Secured")</f>
        <v>Undersecured</v>
      </c>
      <c r="P785" t="str">
        <f>_xlfn.XLOOKUP(Loans[[#This Row],[BranchCode]],BranchesTbl[BranchCode],BranchesTbl[BranchName])</f>
        <v>Kitale</v>
      </c>
      <c r="Q785">
        <f>_xlfn.XLOOKUP(Loans[[#This Row],[CustomerID]],CustomerTbl[CustomerID],CustomerTbl[RiskScore])</f>
        <v>684</v>
      </c>
      <c r="R785" t="str">
        <f>IFERROR(INDEX(RiskTbl[Risk_Category],MATCH(Loans[[#This Row],[RiskScore]],RiskTbl[Score_Min],1)),"Unknown")</f>
        <v>Low Risk</v>
      </c>
      <c r="S785" t="str">
        <f>IF(OR(Loans[[#This Row],[LoanStatus]]="Default",Loans[[#This Row],[LoanStatus]]="Watchlist",Loans[[#This Row],[CollateralRisk]]="Undersecured",Loans[[#This Row],[RiskCategory]]="High Risk"),"High Risk Exposure","Normal")</f>
        <v>High Risk Exposure</v>
      </c>
      <c r="T785" t="str" cm="1">
        <f t="array" ref="T785">_xlfn.IFS(
Loans[[#This Row],[LoanStatus]]="Default","Critical",
OR(Loans[[#This Row],[LoanStatus]]="Watchlist",Loans[[#This Row],[CollateralRisk]]="Undersecured",Loans[[#This Row],[RiskCategory]]="High Risk"),"High",
TRUE,"Normal"
)</f>
        <v>Critical</v>
      </c>
    </row>
    <row r="786" spans="1:20" x14ac:dyDescent="0.35">
      <c r="A786" t="s">
        <v>1448</v>
      </c>
      <c r="B786" t="s">
        <v>1449</v>
      </c>
      <c r="C786" t="s">
        <v>174</v>
      </c>
      <c r="D786" t="s">
        <v>157</v>
      </c>
      <c r="E786" s="34">
        <v>6000000</v>
      </c>
      <c r="F786" s="29">
        <v>9.2999999999999999E-2</v>
      </c>
      <c r="G786" s="30">
        <v>44359</v>
      </c>
      <c r="H786">
        <v>24</v>
      </c>
      <c r="I786">
        <v>0</v>
      </c>
      <c r="J786" s="34">
        <v>6660000</v>
      </c>
      <c r="K786" t="s">
        <v>171</v>
      </c>
      <c r="L786" s="34">
        <f>PMT(Loans[[#This Row],[InterestRate]]/12,Loans[[#This Row],[LoanTenureMonths]],-Loans[[#This Row],[LoanAmount]])</f>
        <v>274935.06450233527</v>
      </c>
      <c r="M786" s="30">
        <f>EDATE(Loans[[#This Row],[LoanStartDate]],Loans[[#This Row],[LoanTenureMonths]])</f>
        <v>45089</v>
      </c>
      <c r="N786" s="33">
        <f>IF(Loans[[#This Row],[LoanAmount]]=0,0,Loans[[#This Row],[CollateralValue]]/Loans[[#This Row],[LoanAmount]])</f>
        <v>1.1100000000000001</v>
      </c>
      <c r="O786" t="str">
        <f>IF(Loans[[#This Row],[CollateralCoverageRatio]]&lt;1,"Undersecured","Secured")</f>
        <v>Secured</v>
      </c>
      <c r="P786" t="str">
        <f>_xlfn.XLOOKUP(Loans[[#This Row],[BranchCode]],BranchesTbl[BranchCode],BranchesTbl[BranchName])</f>
        <v>Westlands</v>
      </c>
      <c r="Q786">
        <f>_xlfn.XLOOKUP(Loans[[#This Row],[CustomerID]],CustomerTbl[CustomerID],CustomerTbl[RiskScore])</f>
        <v>739</v>
      </c>
      <c r="R786" t="str">
        <f>IFERROR(INDEX(RiskTbl[Risk_Category],MATCH(Loans[[#This Row],[RiskScore]],RiskTbl[Score_Min],1)),"Unknown")</f>
        <v>Low Risk</v>
      </c>
      <c r="S786" t="str">
        <f>IF(OR(Loans[[#This Row],[LoanStatus]]="Default",Loans[[#This Row],[LoanStatus]]="Watchlist",Loans[[#This Row],[CollateralRisk]]="Undersecured",Loans[[#This Row],[RiskCategory]]="High Risk"),"High Risk Exposure","Normal")</f>
        <v>Normal</v>
      </c>
      <c r="T786" t="str" cm="1">
        <f t="array" ref="T786">_xlfn.IFS(
Loans[[#This Row],[LoanStatus]]="Default","Critical",
OR(Loans[[#This Row],[LoanStatus]]="Watchlist",Loans[[#This Row],[CollateralRisk]]="Undersecured",Loans[[#This Row],[RiskCategory]]="High Risk"),"High",
TRUE,"Normal"
)</f>
        <v>Normal</v>
      </c>
    </row>
    <row r="787" spans="1:20" x14ac:dyDescent="0.35">
      <c r="A787" t="s">
        <v>1450</v>
      </c>
      <c r="B787" t="s">
        <v>1451</v>
      </c>
      <c r="C787" t="s">
        <v>232</v>
      </c>
      <c r="D787" t="s">
        <v>155</v>
      </c>
      <c r="E787" s="34">
        <v>500000</v>
      </c>
      <c r="F787" s="29">
        <v>0.16400000000000001</v>
      </c>
      <c r="G787" s="30">
        <v>44192</v>
      </c>
      <c r="H787">
        <v>36</v>
      </c>
      <c r="I787">
        <v>0</v>
      </c>
      <c r="J787" s="34">
        <v>0</v>
      </c>
      <c r="K787" t="s">
        <v>171</v>
      </c>
      <c r="L787" s="34">
        <f>PMT(Loans[[#This Row],[InterestRate]]/12,Loans[[#This Row],[LoanTenureMonths]],-Loans[[#This Row],[LoanAmount]])</f>
        <v>17677.416472271205</v>
      </c>
      <c r="M787" s="30">
        <f>EDATE(Loans[[#This Row],[LoanStartDate]],Loans[[#This Row],[LoanTenureMonths]])</f>
        <v>45287</v>
      </c>
      <c r="N787" s="33">
        <f>IF(Loans[[#This Row],[LoanAmount]]=0,0,Loans[[#This Row],[CollateralValue]]/Loans[[#This Row],[LoanAmount]])</f>
        <v>0</v>
      </c>
      <c r="O787" t="str">
        <f>IF(Loans[[#This Row],[CollateralCoverageRatio]]&lt;1,"Undersecured","Secured")</f>
        <v>Undersecured</v>
      </c>
      <c r="P787" t="str">
        <f>_xlfn.XLOOKUP(Loans[[#This Row],[BranchCode]],BranchesTbl[BranchCode],BranchesTbl[BranchName])</f>
        <v>Upper Hill</v>
      </c>
      <c r="Q787">
        <f>_xlfn.XLOOKUP(Loans[[#This Row],[CustomerID]],CustomerTbl[CustomerID],CustomerTbl[RiskScore])</f>
        <v>464</v>
      </c>
      <c r="R787" t="str">
        <f>IFERROR(INDEX(RiskTbl[Risk_Category],MATCH(Loans[[#This Row],[RiskScore]],RiskTbl[Score_Min],1)),"Unknown")</f>
        <v>High Risk</v>
      </c>
      <c r="S787" t="str">
        <f>IF(OR(Loans[[#This Row],[LoanStatus]]="Default",Loans[[#This Row],[LoanStatus]]="Watchlist",Loans[[#This Row],[CollateralRisk]]="Undersecured",Loans[[#This Row],[RiskCategory]]="High Risk"),"High Risk Exposure","Normal")</f>
        <v>High Risk Exposure</v>
      </c>
      <c r="T787" t="str" cm="1">
        <f t="array" ref="T787">_xlfn.IFS(
Loans[[#This Row],[LoanStatus]]="Default","Critical",
OR(Loans[[#This Row],[LoanStatus]]="Watchlist",Loans[[#This Row],[CollateralRisk]]="Undersecured",Loans[[#This Row],[RiskCategory]]="High Risk"),"High",
TRUE,"Normal"
)</f>
        <v>High</v>
      </c>
    </row>
    <row r="788" spans="1:20" x14ac:dyDescent="0.35">
      <c r="A788" t="s">
        <v>1452</v>
      </c>
      <c r="B788" t="s">
        <v>1139</v>
      </c>
      <c r="C788" t="s">
        <v>181</v>
      </c>
      <c r="D788" t="s">
        <v>155</v>
      </c>
      <c r="E788" s="34">
        <v>1000000</v>
      </c>
      <c r="F788" s="29">
        <v>0.24590000000000001</v>
      </c>
      <c r="G788" s="30">
        <v>44446</v>
      </c>
      <c r="H788">
        <v>60</v>
      </c>
      <c r="I788">
        <v>45</v>
      </c>
      <c r="J788" s="34">
        <v>0</v>
      </c>
      <c r="K788" t="s">
        <v>199</v>
      </c>
      <c r="L788" s="34">
        <f>PMT(Loans[[#This Row],[InterestRate]]/12,Loans[[#This Row],[LoanTenureMonths]],-Loans[[#This Row],[LoanAmount]])</f>
        <v>29111.442412601325</v>
      </c>
      <c r="M788" s="30">
        <f>EDATE(Loans[[#This Row],[LoanStartDate]],Loans[[#This Row],[LoanTenureMonths]])</f>
        <v>46272</v>
      </c>
      <c r="N788" s="33">
        <f>IF(Loans[[#This Row],[LoanAmount]]=0,0,Loans[[#This Row],[CollateralValue]]/Loans[[#This Row],[LoanAmount]])</f>
        <v>0</v>
      </c>
      <c r="O788" t="str">
        <f>IF(Loans[[#This Row],[CollateralCoverageRatio]]&lt;1,"Undersecured","Secured")</f>
        <v>Undersecured</v>
      </c>
      <c r="P788" t="str">
        <f>_xlfn.XLOOKUP(Loans[[#This Row],[BranchCode]],BranchesTbl[BranchCode],BranchesTbl[BranchName])</f>
        <v>Kitale</v>
      </c>
      <c r="Q788">
        <f>_xlfn.XLOOKUP(Loans[[#This Row],[CustomerID]],CustomerTbl[CustomerID],CustomerTbl[RiskScore])</f>
        <v>696</v>
      </c>
      <c r="R788" t="str">
        <f>IFERROR(INDEX(RiskTbl[Risk_Category],MATCH(Loans[[#This Row],[RiskScore]],RiskTbl[Score_Min],1)),"Unknown")</f>
        <v>Low Risk</v>
      </c>
      <c r="S788" t="str">
        <f>IF(OR(Loans[[#This Row],[LoanStatus]]="Default",Loans[[#This Row],[LoanStatus]]="Watchlist",Loans[[#This Row],[CollateralRisk]]="Undersecured",Loans[[#This Row],[RiskCategory]]="High Risk"),"High Risk Exposure","Normal")</f>
        <v>High Risk Exposure</v>
      </c>
      <c r="T788" t="str" cm="1">
        <f t="array" ref="T788">_xlfn.IFS(
Loans[[#This Row],[LoanStatus]]="Default","Critical",
OR(Loans[[#This Row],[LoanStatus]]="Watchlist",Loans[[#This Row],[CollateralRisk]]="Undersecured",Loans[[#This Row],[RiskCategory]]="High Risk"),"High",
TRUE,"Normal"
)</f>
        <v>High</v>
      </c>
    </row>
    <row r="789" spans="1:20" x14ac:dyDescent="0.35">
      <c r="A789" t="s">
        <v>1453</v>
      </c>
      <c r="B789" t="s">
        <v>1454</v>
      </c>
      <c r="C789" t="s">
        <v>270</v>
      </c>
      <c r="D789" t="s">
        <v>156</v>
      </c>
      <c r="E789" s="34">
        <v>3000000</v>
      </c>
      <c r="F789" s="29">
        <v>0.19420000000000001</v>
      </c>
      <c r="G789" s="30">
        <v>45726</v>
      </c>
      <c r="H789">
        <v>72</v>
      </c>
      <c r="I789">
        <v>0</v>
      </c>
      <c r="J789" s="34">
        <v>3000000</v>
      </c>
      <c r="K789" t="s">
        <v>171</v>
      </c>
      <c r="L789" s="34">
        <f>PMT(Loans[[#This Row],[InterestRate]]/12,Loans[[#This Row],[LoanTenureMonths]],-Loans[[#This Row],[LoanAmount]])</f>
        <v>70853.456222403081</v>
      </c>
      <c r="M789" s="30">
        <f>EDATE(Loans[[#This Row],[LoanStartDate]],Loans[[#This Row],[LoanTenureMonths]])</f>
        <v>47917</v>
      </c>
      <c r="N789" s="33">
        <f>IF(Loans[[#This Row],[LoanAmount]]=0,0,Loans[[#This Row],[CollateralValue]]/Loans[[#This Row],[LoanAmount]])</f>
        <v>1</v>
      </c>
      <c r="O789" t="str">
        <f>IF(Loans[[#This Row],[CollateralCoverageRatio]]&lt;1,"Undersecured","Secured")</f>
        <v>Secured</v>
      </c>
      <c r="P789" t="str">
        <f>_xlfn.XLOOKUP(Loans[[#This Row],[BranchCode]],BranchesTbl[BranchCode],BranchesTbl[BranchName])</f>
        <v>Nakuru</v>
      </c>
      <c r="Q789">
        <f>_xlfn.XLOOKUP(Loans[[#This Row],[CustomerID]],CustomerTbl[CustomerID],CustomerTbl[RiskScore])</f>
        <v>502</v>
      </c>
      <c r="R789" t="str">
        <f>IFERROR(INDEX(RiskTbl[Risk_Category],MATCH(Loans[[#This Row],[RiskScore]],RiskTbl[Score_Min],1)),"Unknown")</f>
        <v>High Risk</v>
      </c>
      <c r="S789" t="str">
        <f>IF(OR(Loans[[#This Row],[LoanStatus]]="Default",Loans[[#This Row],[LoanStatus]]="Watchlist",Loans[[#This Row],[CollateralRisk]]="Undersecured",Loans[[#This Row],[RiskCategory]]="High Risk"),"High Risk Exposure","Normal")</f>
        <v>High Risk Exposure</v>
      </c>
      <c r="T789" t="str" cm="1">
        <f t="array" ref="T789">_xlfn.IFS(
Loans[[#This Row],[LoanStatus]]="Default","Critical",
OR(Loans[[#This Row],[LoanStatus]]="Watchlist",Loans[[#This Row],[CollateralRisk]]="Undersecured",Loans[[#This Row],[RiskCategory]]="High Risk"),"High",
TRUE,"Normal"
)</f>
        <v>High</v>
      </c>
    </row>
    <row r="790" spans="1:20" x14ac:dyDescent="0.35">
      <c r="A790" t="s">
        <v>1455</v>
      </c>
      <c r="B790" t="s">
        <v>861</v>
      </c>
      <c r="C790" t="s">
        <v>177</v>
      </c>
      <c r="D790" t="s">
        <v>157</v>
      </c>
      <c r="E790" s="34">
        <v>80000000</v>
      </c>
      <c r="F790" s="29">
        <v>0.1177</v>
      </c>
      <c r="G790" s="30">
        <v>44639</v>
      </c>
      <c r="H790">
        <v>24</v>
      </c>
      <c r="I790">
        <v>0</v>
      </c>
      <c r="J790" s="34">
        <v>42400000</v>
      </c>
      <c r="K790" t="s">
        <v>171</v>
      </c>
      <c r="L790" s="34">
        <f>PMT(Loans[[#This Row],[InterestRate]]/12,Loans[[#This Row],[LoanTenureMonths]],-Loans[[#This Row],[LoanAmount]])</f>
        <v>3757290.8520458206</v>
      </c>
      <c r="M790" s="30">
        <f>EDATE(Loans[[#This Row],[LoanStartDate]],Loans[[#This Row],[LoanTenureMonths]])</f>
        <v>45370</v>
      </c>
      <c r="N790" s="33">
        <f>IF(Loans[[#This Row],[LoanAmount]]=0,0,Loans[[#This Row],[CollateralValue]]/Loans[[#This Row],[LoanAmount]])</f>
        <v>0.53</v>
      </c>
      <c r="O790" t="str">
        <f>IF(Loans[[#This Row],[CollateralCoverageRatio]]&lt;1,"Undersecured","Secured")</f>
        <v>Undersecured</v>
      </c>
      <c r="P790" t="str">
        <f>_xlfn.XLOOKUP(Loans[[#This Row],[BranchCode]],BranchesTbl[BranchCode],BranchesTbl[BranchName])</f>
        <v>Naivasha</v>
      </c>
      <c r="Q790">
        <f>_xlfn.XLOOKUP(Loans[[#This Row],[CustomerID]],CustomerTbl[CustomerID],CustomerTbl[RiskScore])</f>
        <v>687</v>
      </c>
      <c r="R790" t="str">
        <f>IFERROR(INDEX(RiskTbl[Risk_Category],MATCH(Loans[[#This Row],[RiskScore]],RiskTbl[Score_Min],1)),"Unknown")</f>
        <v>Low Risk</v>
      </c>
      <c r="S790" t="str">
        <f>IF(OR(Loans[[#This Row],[LoanStatus]]="Default",Loans[[#This Row],[LoanStatus]]="Watchlist",Loans[[#This Row],[CollateralRisk]]="Undersecured",Loans[[#This Row],[RiskCategory]]="High Risk"),"High Risk Exposure","Normal")</f>
        <v>High Risk Exposure</v>
      </c>
      <c r="T790" t="str" cm="1">
        <f t="array" ref="T790">_xlfn.IFS(
Loans[[#This Row],[LoanStatus]]="Default","Critical",
OR(Loans[[#This Row],[LoanStatus]]="Watchlist",Loans[[#This Row],[CollateralRisk]]="Undersecured",Loans[[#This Row],[RiskCategory]]="High Risk"),"High",
TRUE,"Normal"
)</f>
        <v>High</v>
      </c>
    </row>
    <row r="791" spans="1:20" x14ac:dyDescent="0.35">
      <c r="A791" t="s">
        <v>1456</v>
      </c>
      <c r="B791" t="s">
        <v>1457</v>
      </c>
      <c r="C791" t="s">
        <v>239</v>
      </c>
      <c r="D791" t="s">
        <v>158</v>
      </c>
      <c r="E791" s="34">
        <v>3000000</v>
      </c>
      <c r="F791" s="29">
        <v>0.1651</v>
      </c>
      <c r="G791" s="30">
        <v>45434</v>
      </c>
      <c r="H791">
        <v>60</v>
      </c>
      <c r="I791">
        <v>0</v>
      </c>
      <c r="J791" s="34">
        <v>4500000</v>
      </c>
      <c r="K791" t="s">
        <v>171</v>
      </c>
      <c r="L791" s="34">
        <f>PMT(Loans[[#This Row],[InterestRate]]/12,Loans[[#This Row],[LoanTenureMonths]],-Loans[[#This Row],[LoanAmount]])</f>
        <v>73769.599876160821</v>
      </c>
      <c r="M791" s="30">
        <f>EDATE(Loans[[#This Row],[LoanStartDate]],Loans[[#This Row],[LoanTenureMonths]])</f>
        <v>47260</v>
      </c>
      <c r="N791" s="33">
        <f>IF(Loans[[#This Row],[LoanAmount]]=0,0,Loans[[#This Row],[CollateralValue]]/Loans[[#This Row],[LoanAmount]])</f>
        <v>1.5</v>
      </c>
      <c r="O791" t="str">
        <f>IF(Loans[[#This Row],[CollateralCoverageRatio]]&lt;1,"Undersecured","Secured")</f>
        <v>Secured</v>
      </c>
      <c r="P791" t="str">
        <f>_xlfn.XLOOKUP(Loans[[#This Row],[BranchCode]],BranchesTbl[BranchCode],BranchesTbl[BranchName])</f>
        <v>Machakos</v>
      </c>
      <c r="Q791">
        <f>_xlfn.XLOOKUP(Loans[[#This Row],[CustomerID]],CustomerTbl[CustomerID],CustomerTbl[RiskScore])</f>
        <v>738</v>
      </c>
      <c r="R791" t="str">
        <f>IFERROR(INDEX(RiskTbl[Risk_Category],MATCH(Loans[[#This Row],[RiskScore]],RiskTbl[Score_Min],1)),"Unknown")</f>
        <v>Low Risk</v>
      </c>
      <c r="S791" t="str">
        <f>IF(OR(Loans[[#This Row],[LoanStatus]]="Default",Loans[[#This Row],[LoanStatus]]="Watchlist",Loans[[#This Row],[CollateralRisk]]="Undersecured",Loans[[#This Row],[RiskCategory]]="High Risk"),"High Risk Exposure","Normal")</f>
        <v>Normal</v>
      </c>
      <c r="T791" t="str" cm="1">
        <f t="array" ref="T791">_xlfn.IFS(
Loans[[#This Row],[LoanStatus]]="Default","Critical",
OR(Loans[[#This Row],[LoanStatus]]="Watchlist",Loans[[#This Row],[CollateralRisk]]="Undersecured",Loans[[#This Row],[RiskCategory]]="High Risk"),"High",
TRUE,"Normal"
)</f>
        <v>Normal</v>
      </c>
    </row>
    <row r="792" spans="1:20" x14ac:dyDescent="0.35">
      <c r="A792" t="s">
        <v>1458</v>
      </c>
      <c r="B792" t="s">
        <v>272</v>
      </c>
      <c r="C792" t="s">
        <v>181</v>
      </c>
      <c r="D792" t="s">
        <v>155</v>
      </c>
      <c r="E792" s="34">
        <v>1000000</v>
      </c>
      <c r="F792" s="29">
        <v>0.16969999999999999</v>
      </c>
      <c r="G792" s="30">
        <v>45969</v>
      </c>
      <c r="H792">
        <v>12</v>
      </c>
      <c r="I792">
        <v>0</v>
      </c>
      <c r="J792" s="34">
        <v>0</v>
      </c>
      <c r="K792" t="s">
        <v>171</v>
      </c>
      <c r="L792" s="34">
        <f>PMT(Loans[[#This Row],[InterestRate]]/12,Loans[[#This Row],[LoanTenureMonths]],-Loans[[#This Row],[LoanAmount]])</f>
        <v>91190.515648120549</v>
      </c>
      <c r="M792" s="30">
        <f>EDATE(Loans[[#This Row],[LoanStartDate]],Loans[[#This Row],[LoanTenureMonths]])</f>
        <v>46334</v>
      </c>
      <c r="N792" s="33">
        <f>IF(Loans[[#This Row],[LoanAmount]]=0,0,Loans[[#This Row],[CollateralValue]]/Loans[[#This Row],[LoanAmount]])</f>
        <v>0</v>
      </c>
      <c r="O792" t="str">
        <f>IF(Loans[[#This Row],[CollateralCoverageRatio]]&lt;1,"Undersecured","Secured")</f>
        <v>Undersecured</v>
      </c>
      <c r="P792" t="str">
        <f>_xlfn.XLOOKUP(Loans[[#This Row],[BranchCode]],BranchesTbl[BranchCode],BranchesTbl[BranchName])</f>
        <v>Kitale</v>
      </c>
      <c r="Q792">
        <f>_xlfn.XLOOKUP(Loans[[#This Row],[CustomerID]],CustomerTbl[CustomerID],CustomerTbl[RiskScore])</f>
        <v>661</v>
      </c>
      <c r="R792" t="str">
        <f>IFERROR(INDEX(RiskTbl[Risk_Category],MATCH(Loans[[#This Row],[RiskScore]],RiskTbl[Score_Min],1)),"Unknown")</f>
        <v>Medium Risk</v>
      </c>
      <c r="S792" t="str">
        <f>IF(OR(Loans[[#This Row],[LoanStatus]]="Default",Loans[[#This Row],[LoanStatus]]="Watchlist",Loans[[#This Row],[CollateralRisk]]="Undersecured",Loans[[#This Row],[RiskCategory]]="High Risk"),"High Risk Exposure","Normal")</f>
        <v>High Risk Exposure</v>
      </c>
      <c r="T792" t="str" cm="1">
        <f t="array" ref="T792">_xlfn.IFS(
Loans[[#This Row],[LoanStatus]]="Default","Critical",
OR(Loans[[#This Row],[LoanStatus]]="Watchlist",Loans[[#This Row],[CollateralRisk]]="Undersecured",Loans[[#This Row],[RiskCategory]]="High Risk"),"High",
TRUE,"Normal"
)</f>
        <v>High</v>
      </c>
    </row>
    <row r="793" spans="1:20" x14ac:dyDescent="0.35">
      <c r="A793" t="s">
        <v>1459</v>
      </c>
      <c r="B793" t="s">
        <v>1460</v>
      </c>
      <c r="C793" t="s">
        <v>177</v>
      </c>
      <c r="D793" t="s">
        <v>156</v>
      </c>
      <c r="E793" s="34">
        <v>1000000</v>
      </c>
      <c r="F793" s="29">
        <v>0.20960000000000001</v>
      </c>
      <c r="G793" s="30">
        <v>44383</v>
      </c>
      <c r="H793">
        <v>12</v>
      </c>
      <c r="I793">
        <v>0</v>
      </c>
      <c r="J793" s="34">
        <v>720000</v>
      </c>
      <c r="K793" t="s">
        <v>171</v>
      </c>
      <c r="L793" s="34">
        <f>PMT(Loans[[#This Row],[InterestRate]]/12,Loans[[#This Row],[LoanTenureMonths]],-Loans[[#This Row],[LoanAmount]])</f>
        <v>93094.577343508252</v>
      </c>
      <c r="M793" s="30">
        <f>EDATE(Loans[[#This Row],[LoanStartDate]],Loans[[#This Row],[LoanTenureMonths]])</f>
        <v>44748</v>
      </c>
      <c r="N793" s="33">
        <f>IF(Loans[[#This Row],[LoanAmount]]=0,0,Loans[[#This Row],[CollateralValue]]/Loans[[#This Row],[LoanAmount]])</f>
        <v>0.72</v>
      </c>
      <c r="O793" t="str">
        <f>IF(Loans[[#This Row],[CollateralCoverageRatio]]&lt;1,"Undersecured","Secured")</f>
        <v>Undersecured</v>
      </c>
      <c r="P793" t="str">
        <f>_xlfn.XLOOKUP(Loans[[#This Row],[BranchCode]],BranchesTbl[BranchCode],BranchesTbl[BranchName])</f>
        <v>Naivasha</v>
      </c>
      <c r="Q793">
        <f>_xlfn.XLOOKUP(Loans[[#This Row],[CustomerID]],CustomerTbl[CustomerID],CustomerTbl[RiskScore])</f>
        <v>537</v>
      </c>
      <c r="R793" t="str">
        <f>IFERROR(INDEX(RiskTbl[Risk_Category],MATCH(Loans[[#This Row],[RiskScore]],RiskTbl[Score_Min],1)),"Unknown")</f>
        <v>High Risk</v>
      </c>
      <c r="S793" t="str">
        <f>IF(OR(Loans[[#This Row],[LoanStatus]]="Default",Loans[[#This Row],[LoanStatus]]="Watchlist",Loans[[#This Row],[CollateralRisk]]="Undersecured",Loans[[#This Row],[RiskCategory]]="High Risk"),"High Risk Exposure","Normal")</f>
        <v>High Risk Exposure</v>
      </c>
      <c r="T793" t="str" cm="1">
        <f t="array" ref="T793">_xlfn.IFS(
Loans[[#This Row],[LoanStatus]]="Default","Critical",
OR(Loans[[#This Row],[LoanStatus]]="Watchlist",Loans[[#This Row],[CollateralRisk]]="Undersecured",Loans[[#This Row],[RiskCategory]]="High Risk"),"High",
TRUE,"Normal"
)</f>
        <v>High</v>
      </c>
    </row>
    <row r="794" spans="1:20" x14ac:dyDescent="0.35">
      <c r="A794" t="s">
        <v>1461</v>
      </c>
      <c r="B794" t="s">
        <v>1462</v>
      </c>
      <c r="C794" t="s">
        <v>187</v>
      </c>
      <c r="D794" t="s">
        <v>156</v>
      </c>
      <c r="E794" s="34">
        <v>25000000</v>
      </c>
      <c r="F794" s="29">
        <v>0.2387</v>
      </c>
      <c r="G794" s="30">
        <v>44198</v>
      </c>
      <c r="H794">
        <v>60</v>
      </c>
      <c r="I794">
        <v>10</v>
      </c>
      <c r="J794" s="34">
        <v>37000000</v>
      </c>
      <c r="K794" t="s">
        <v>171</v>
      </c>
      <c r="L794" s="34">
        <f>PMT(Loans[[#This Row],[InterestRate]]/12,Loans[[#This Row],[LoanTenureMonths]],-Loans[[#This Row],[LoanAmount]])</f>
        <v>717313.95998298633</v>
      </c>
      <c r="M794" s="30">
        <f>EDATE(Loans[[#This Row],[LoanStartDate]],Loans[[#This Row],[LoanTenureMonths]])</f>
        <v>46024</v>
      </c>
      <c r="N794" s="33">
        <f>IF(Loans[[#This Row],[LoanAmount]]=0,0,Loans[[#This Row],[CollateralValue]]/Loans[[#This Row],[LoanAmount]])</f>
        <v>1.48</v>
      </c>
      <c r="O794" t="str">
        <f>IF(Loans[[#This Row],[CollateralCoverageRatio]]&lt;1,"Undersecured","Secured")</f>
        <v>Secured</v>
      </c>
      <c r="P794" t="str">
        <f>_xlfn.XLOOKUP(Loans[[#This Row],[BranchCode]],BranchesTbl[BranchCode],BranchesTbl[BranchName])</f>
        <v>Eldoret</v>
      </c>
      <c r="Q794">
        <f>_xlfn.XLOOKUP(Loans[[#This Row],[CustomerID]],CustomerTbl[CustomerID],CustomerTbl[RiskScore])</f>
        <v>456</v>
      </c>
      <c r="R794" t="str">
        <f>IFERROR(INDEX(RiskTbl[Risk_Category],MATCH(Loans[[#This Row],[RiskScore]],RiskTbl[Score_Min],1)),"Unknown")</f>
        <v>High Risk</v>
      </c>
      <c r="S794" t="str">
        <f>IF(OR(Loans[[#This Row],[LoanStatus]]="Default",Loans[[#This Row],[LoanStatus]]="Watchlist",Loans[[#This Row],[CollateralRisk]]="Undersecured",Loans[[#This Row],[RiskCategory]]="High Risk"),"High Risk Exposure","Normal")</f>
        <v>High Risk Exposure</v>
      </c>
      <c r="T794" t="str" cm="1">
        <f t="array" ref="T794">_xlfn.IFS(
Loans[[#This Row],[LoanStatus]]="Default","Critical",
OR(Loans[[#This Row],[LoanStatus]]="Watchlist",Loans[[#This Row],[CollateralRisk]]="Undersecured",Loans[[#This Row],[RiskCategory]]="High Risk"),"High",
TRUE,"Normal"
)</f>
        <v>High</v>
      </c>
    </row>
    <row r="795" spans="1:20" x14ac:dyDescent="0.35">
      <c r="A795" t="s">
        <v>1463</v>
      </c>
      <c r="B795" t="s">
        <v>446</v>
      </c>
      <c r="C795" t="s">
        <v>206</v>
      </c>
      <c r="D795" t="s">
        <v>157</v>
      </c>
      <c r="E795" s="34">
        <v>25000000</v>
      </c>
      <c r="F795" s="29">
        <v>0.1171</v>
      </c>
      <c r="G795" s="30">
        <v>44417</v>
      </c>
      <c r="H795">
        <v>60</v>
      </c>
      <c r="I795">
        <v>20</v>
      </c>
      <c r="J795" s="34">
        <v>24750000</v>
      </c>
      <c r="K795" t="s">
        <v>171</v>
      </c>
      <c r="L795" s="34">
        <f>PMT(Loans[[#This Row],[InterestRate]]/12,Loans[[#This Row],[LoanTenureMonths]],-Loans[[#This Row],[LoanAmount]])</f>
        <v>552454.47330986639</v>
      </c>
      <c r="M795" s="30">
        <f>EDATE(Loans[[#This Row],[LoanStartDate]],Loans[[#This Row],[LoanTenureMonths]])</f>
        <v>46243</v>
      </c>
      <c r="N795" s="33">
        <f>IF(Loans[[#This Row],[LoanAmount]]=0,0,Loans[[#This Row],[CollateralValue]]/Loans[[#This Row],[LoanAmount]])</f>
        <v>0.99</v>
      </c>
      <c r="O795" t="str">
        <f>IF(Loans[[#This Row],[CollateralCoverageRatio]]&lt;1,"Undersecured","Secured")</f>
        <v>Undersecured</v>
      </c>
      <c r="P795" t="str">
        <f>_xlfn.XLOOKUP(Loans[[#This Row],[BranchCode]],BranchesTbl[BranchCode],BranchesTbl[BranchName])</f>
        <v>Nyahururu</v>
      </c>
      <c r="Q795">
        <f>_xlfn.XLOOKUP(Loans[[#This Row],[CustomerID]],CustomerTbl[CustomerID],CustomerTbl[RiskScore])</f>
        <v>345</v>
      </c>
      <c r="R795" t="str">
        <f>IFERROR(INDEX(RiskTbl[Risk_Category],MATCH(Loans[[#This Row],[RiskScore]],RiskTbl[Score_Min],1)),"Unknown")</f>
        <v>High Risk</v>
      </c>
      <c r="S795" t="str">
        <f>IF(OR(Loans[[#This Row],[LoanStatus]]="Default",Loans[[#This Row],[LoanStatus]]="Watchlist",Loans[[#This Row],[CollateralRisk]]="Undersecured",Loans[[#This Row],[RiskCategory]]="High Risk"),"High Risk Exposure","Normal")</f>
        <v>High Risk Exposure</v>
      </c>
      <c r="T795" t="str" cm="1">
        <f t="array" ref="T795">_xlfn.IFS(
Loans[[#This Row],[LoanStatus]]="Default","Critical",
OR(Loans[[#This Row],[LoanStatus]]="Watchlist",Loans[[#This Row],[CollateralRisk]]="Undersecured",Loans[[#This Row],[RiskCategory]]="High Risk"),"High",
TRUE,"Normal"
)</f>
        <v>High</v>
      </c>
    </row>
    <row r="796" spans="1:20" x14ac:dyDescent="0.35">
      <c r="A796" t="s">
        <v>1464</v>
      </c>
      <c r="B796" t="s">
        <v>218</v>
      </c>
      <c r="C796" t="s">
        <v>174</v>
      </c>
      <c r="D796" t="s">
        <v>156</v>
      </c>
      <c r="E796" s="34">
        <v>1000000</v>
      </c>
      <c r="F796" s="29">
        <v>0.2036</v>
      </c>
      <c r="G796" s="30">
        <v>45176</v>
      </c>
      <c r="H796">
        <v>36</v>
      </c>
      <c r="I796">
        <v>0</v>
      </c>
      <c r="J796" s="34">
        <v>1090000</v>
      </c>
      <c r="K796" t="s">
        <v>171</v>
      </c>
      <c r="L796" s="34">
        <f>PMT(Loans[[#This Row],[InterestRate]]/12,Loans[[#This Row],[LoanTenureMonths]],-Loans[[#This Row],[LoanAmount]])</f>
        <v>37347.266901985946</v>
      </c>
      <c r="M796" s="30">
        <f>EDATE(Loans[[#This Row],[LoanStartDate]],Loans[[#This Row],[LoanTenureMonths]])</f>
        <v>46272</v>
      </c>
      <c r="N796" s="33">
        <f>IF(Loans[[#This Row],[LoanAmount]]=0,0,Loans[[#This Row],[CollateralValue]]/Loans[[#This Row],[LoanAmount]])</f>
        <v>1.0900000000000001</v>
      </c>
      <c r="O796" t="str">
        <f>IF(Loans[[#This Row],[CollateralCoverageRatio]]&lt;1,"Undersecured","Secured")</f>
        <v>Secured</v>
      </c>
      <c r="P796" t="str">
        <f>_xlfn.XLOOKUP(Loans[[#This Row],[BranchCode]],BranchesTbl[BranchCode],BranchesTbl[BranchName])</f>
        <v>Westlands</v>
      </c>
      <c r="Q796">
        <f>_xlfn.XLOOKUP(Loans[[#This Row],[CustomerID]],CustomerTbl[CustomerID],CustomerTbl[RiskScore])</f>
        <v>576</v>
      </c>
      <c r="R796" t="str">
        <f>IFERROR(INDEX(RiskTbl[Risk_Category],MATCH(Loans[[#This Row],[RiskScore]],RiskTbl[Score_Min],1)),"Unknown")</f>
        <v>High Risk</v>
      </c>
      <c r="S796" t="str">
        <f>IF(OR(Loans[[#This Row],[LoanStatus]]="Default",Loans[[#This Row],[LoanStatus]]="Watchlist",Loans[[#This Row],[CollateralRisk]]="Undersecured",Loans[[#This Row],[RiskCategory]]="High Risk"),"High Risk Exposure","Normal")</f>
        <v>High Risk Exposure</v>
      </c>
      <c r="T796" t="str" cm="1">
        <f t="array" ref="T796">_xlfn.IFS(
Loans[[#This Row],[LoanStatus]]="Default","Critical",
OR(Loans[[#This Row],[LoanStatus]]="Watchlist",Loans[[#This Row],[CollateralRisk]]="Undersecured",Loans[[#This Row],[RiskCategory]]="High Risk"),"High",
TRUE,"Normal"
)</f>
        <v>High</v>
      </c>
    </row>
    <row r="797" spans="1:20" x14ac:dyDescent="0.35">
      <c r="A797" t="s">
        <v>1465</v>
      </c>
      <c r="B797" t="s">
        <v>567</v>
      </c>
      <c r="C797" t="s">
        <v>174</v>
      </c>
      <c r="D797" t="s">
        <v>156</v>
      </c>
      <c r="E797" s="34">
        <v>1000000</v>
      </c>
      <c r="F797" s="29">
        <v>0.22989999999999999</v>
      </c>
      <c r="G797" s="30">
        <v>46010</v>
      </c>
      <c r="H797">
        <v>72</v>
      </c>
      <c r="I797">
        <v>0</v>
      </c>
      <c r="J797" s="34">
        <v>1240000</v>
      </c>
      <c r="K797" t="s">
        <v>171</v>
      </c>
      <c r="L797" s="34">
        <f>PMT(Loans[[#This Row],[InterestRate]]/12,Loans[[#This Row],[LoanTenureMonths]],-Loans[[#This Row],[LoanAmount]])</f>
        <v>25717.106059191436</v>
      </c>
      <c r="M797" s="30">
        <f>EDATE(Loans[[#This Row],[LoanStartDate]],Loans[[#This Row],[LoanTenureMonths]])</f>
        <v>48201</v>
      </c>
      <c r="N797" s="33">
        <f>IF(Loans[[#This Row],[LoanAmount]]=0,0,Loans[[#This Row],[CollateralValue]]/Loans[[#This Row],[LoanAmount]])</f>
        <v>1.24</v>
      </c>
      <c r="O797" t="str">
        <f>IF(Loans[[#This Row],[CollateralCoverageRatio]]&lt;1,"Undersecured","Secured")</f>
        <v>Secured</v>
      </c>
      <c r="P797" t="str">
        <f>_xlfn.XLOOKUP(Loans[[#This Row],[BranchCode]],BranchesTbl[BranchCode],BranchesTbl[BranchName])</f>
        <v>Westlands</v>
      </c>
      <c r="Q797">
        <f>_xlfn.XLOOKUP(Loans[[#This Row],[CustomerID]],CustomerTbl[CustomerID],CustomerTbl[RiskScore])</f>
        <v>597</v>
      </c>
      <c r="R797" t="str">
        <f>IFERROR(INDEX(RiskTbl[Risk_Category],MATCH(Loans[[#This Row],[RiskScore]],RiskTbl[Score_Min],1)),"Unknown")</f>
        <v>Medium Risk</v>
      </c>
      <c r="S797" t="str">
        <f>IF(OR(Loans[[#This Row],[LoanStatus]]="Default",Loans[[#This Row],[LoanStatus]]="Watchlist",Loans[[#This Row],[CollateralRisk]]="Undersecured",Loans[[#This Row],[RiskCategory]]="High Risk"),"High Risk Exposure","Normal")</f>
        <v>Normal</v>
      </c>
      <c r="T797" t="str" cm="1">
        <f t="array" ref="T797">_xlfn.IFS(
Loans[[#This Row],[LoanStatus]]="Default","Critical",
OR(Loans[[#This Row],[LoanStatus]]="Watchlist",Loans[[#This Row],[CollateralRisk]]="Undersecured",Loans[[#This Row],[RiskCategory]]="High Risk"),"High",
TRUE,"Normal"
)</f>
        <v>Normal</v>
      </c>
    </row>
    <row r="798" spans="1:20" x14ac:dyDescent="0.35">
      <c r="A798" t="s">
        <v>1466</v>
      </c>
      <c r="B798" t="s">
        <v>1385</v>
      </c>
      <c r="C798" t="s">
        <v>181</v>
      </c>
      <c r="D798" t="s">
        <v>158</v>
      </c>
      <c r="E798" s="34">
        <v>6000000</v>
      </c>
      <c r="F798" s="29">
        <v>0.19109999999999999</v>
      </c>
      <c r="G798" s="30">
        <v>44473</v>
      </c>
      <c r="H798">
        <v>36</v>
      </c>
      <c r="I798">
        <v>45</v>
      </c>
      <c r="J798" s="34">
        <v>8280000</v>
      </c>
      <c r="K798" t="s">
        <v>199</v>
      </c>
      <c r="L798" s="34">
        <f>PMT(Loans[[#This Row],[InterestRate]]/12,Loans[[#This Row],[LoanTenureMonths]],-Loans[[#This Row],[LoanAmount]])</f>
        <v>220269.95705272685</v>
      </c>
      <c r="M798" s="30">
        <f>EDATE(Loans[[#This Row],[LoanStartDate]],Loans[[#This Row],[LoanTenureMonths]])</f>
        <v>45569</v>
      </c>
      <c r="N798" s="33">
        <f>IF(Loans[[#This Row],[LoanAmount]]=0,0,Loans[[#This Row],[CollateralValue]]/Loans[[#This Row],[LoanAmount]])</f>
        <v>1.38</v>
      </c>
      <c r="O798" t="str">
        <f>IF(Loans[[#This Row],[CollateralCoverageRatio]]&lt;1,"Undersecured","Secured")</f>
        <v>Secured</v>
      </c>
      <c r="P798" t="str">
        <f>_xlfn.XLOOKUP(Loans[[#This Row],[BranchCode]],BranchesTbl[BranchCode],BranchesTbl[BranchName])</f>
        <v>Kitale</v>
      </c>
      <c r="Q798">
        <f>_xlfn.XLOOKUP(Loans[[#This Row],[CustomerID]],CustomerTbl[CustomerID],CustomerTbl[RiskScore])</f>
        <v>476</v>
      </c>
      <c r="R798" t="str">
        <f>IFERROR(INDEX(RiskTbl[Risk_Category],MATCH(Loans[[#This Row],[RiskScore]],RiskTbl[Score_Min],1)),"Unknown")</f>
        <v>High Risk</v>
      </c>
      <c r="S798" t="str">
        <f>IF(OR(Loans[[#This Row],[LoanStatus]]="Default",Loans[[#This Row],[LoanStatus]]="Watchlist",Loans[[#This Row],[CollateralRisk]]="Undersecured",Loans[[#This Row],[RiskCategory]]="High Risk"),"High Risk Exposure","Normal")</f>
        <v>High Risk Exposure</v>
      </c>
      <c r="T798" t="str" cm="1">
        <f t="array" ref="T798">_xlfn.IFS(
Loans[[#This Row],[LoanStatus]]="Default","Critical",
OR(Loans[[#This Row],[LoanStatus]]="Watchlist",Loans[[#This Row],[CollateralRisk]]="Undersecured",Loans[[#This Row],[RiskCategory]]="High Risk"),"High",
TRUE,"Normal"
)</f>
        <v>High</v>
      </c>
    </row>
    <row r="799" spans="1:20" x14ac:dyDescent="0.35">
      <c r="A799" t="s">
        <v>1467</v>
      </c>
      <c r="B799" t="s">
        <v>1013</v>
      </c>
      <c r="C799" t="s">
        <v>219</v>
      </c>
      <c r="D799" t="s">
        <v>158</v>
      </c>
      <c r="E799" s="34">
        <v>6000000</v>
      </c>
      <c r="F799" s="29">
        <v>0.18529999999999999</v>
      </c>
      <c r="G799" s="30">
        <v>44684</v>
      </c>
      <c r="H799">
        <v>48</v>
      </c>
      <c r="I799">
        <v>120</v>
      </c>
      <c r="J799" s="34">
        <v>4380000</v>
      </c>
      <c r="K799" t="s">
        <v>178</v>
      </c>
      <c r="L799" s="34">
        <f>PMT(Loans[[#This Row],[InterestRate]]/12,Loans[[#This Row],[LoanTenureMonths]],-Loans[[#This Row],[LoanAmount]])</f>
        <v>177916.03123222198</v>
      </c>
      <c r="M799" s="30">
        <f>EDATE(Loans[[#This Row],[LoanStartDate]],Loans[[#This Row],[LoanTenureMonths]])</f>
        <v>46145</v>
      </c>
      <c r="N799" s="33">
        <f>IF(Loans[[#This Row],[LoanAmount]]=0,0,Loans[[#This Row],[CollateralValue]]/Loans[[#This Row],[LoanAmount]])</f>
        <v>0.73</v>
      </c>
      <c r="O799" t="str">
        <f>IF(Loans[[#This Row],[CollateralCoverageRatio]]&lt;1,"Undersecured","Secured")</f>
        <v>Undersecured</v>
      </c>
      <c r="P799" t="str">
        <f>_xlfn.XLOOKUP(Loans[[#This Row],[BranchCode]],BranchesTbl[BranchCode],BranchesTbl[BranchName])</f>
        <v>Meru</v>
      </c>
      <c r="Q799">
        <f>_xlfn.XLOOKUP(Loans[[#This Row],[CustomerID]],CustomerTbl[CustomerID],CustomerTbl[RiskScore])</f>
        <v>637</v>
      </c>
      <c r="R799" t="str">
        <f>IFERROR(INDEX(RiskTbl[Risk_Category],MATCH(Loans[[#This Row],[RiskScore]],RiskTbl[Score_Min],1)),"Unknown")</f>
        <v>Medium Risk</v>
      </c>
      <c r="S799" t="str">
        <f>IF(OR(Loans[[#This Row],[LoanStatus]]="Default",Loans[[#This Row],[LoanStatus]]="Watchlist",Loans[[#This Row],[CollateralRisk]]="Undersecured",Loans[[#This Row],[RiskCategory]]="High Risk"),"High Risk Exposure","Normal")</f>
        <v>High Risk Exposure</v>
      </c>
      <c r="T799" t="str" cm="1">
        <f t="array" ref="T799">_xlfn.IFS(
Loans[[#This Row],[LoanStatus]]="Default","Critical",
OR(Loans[[#This Row],[LoanStatus]]="Watchlist",Loans[[#This Row],[CollateralRisk]]="Undersecured",Loans[[#This Row],[RiskCategory]]="High Risk"),"High",
TRUE,"Normal"
)</f>
        <v>Critical</v>
      </c>
    </row>
    <row r="800" spans="1:20" x14ac:dyDescent="0.35">
      <c r="A800" t="s">
        <v>1468</v>
      </c>
      <c r="B800" t="s">
        <v>733</v>
      </c>
      <c r="C800" t="s">
        <v>174</v>
      </c>
      <c r="D800" t="s">
        <v>157</v>
      </c>
      <c r="E800" s="34">
        <v>6000000</v>
      </c>
      <c r="F800" s="29">
        <v>9.5699999999999993E-2</v>
      </c>
      <c r="G800" s="30">
        <v>44088</v>
      </c>
      <c r="H800">
        <v>60</v>
      </c>
      <c r="I800">
        <v>0</v>
      </c>
      <c r="J800" s="34">
        <v>7500000</v>
      </c>
      <c r="K800" t="s">
        <v>171</v>
      </c>
      <c r="L800" s="34">
        <f>PMT(Loans[[#This Row],[InterestRate]]/12,Loans[[#This Row],[LoanTenureMonths]],-Loans[[#This Row],[LoanAmount]])</f>
        <v>126216.51674993199</v>
      </c>
      <c r="M800" s="30">
        <f>EDATE(Loans[[#This Row],[LoanStartDate]],Loans[[#This Row],[LoanTenureMonths]])</f>
        <v>45914</v>
      </c>
      <c r="N800" s="33">
        <f>IF(Loans[[#This Row],[LoanAmount]]=0,0,Loans[[#This Row],[CollateralValue]]/Loans[[#This Row],[LoanAmount]])</f>
        <v>1.25</v>
      </c>
      <c r="O800" t="str">
        <f>IF(Loans[[#This Row],[CollateralCoverageRatio]]&lt;1,"Undersecured","Secured")</f>
        <v>Secured</v>
      </c>
      <c r="P800" t="str">
        <f>_xlfn.XLOOKUP(Loans[[#This Row],[BranchCode]],BranchesTbl[BranchCode],BranchesTbl[BranchName])</f>
        <v>Westlands</v>
      </c>
      <c r="Q800">
        <f>_xlfn.XLOOKUP(Loans[[#This Row],[CustomerID]],CustomerTbl[CustomerID],CustomerTbl[RiskScore])</f>
        <v>719</v>
      </c>
      <c r="R800" t="str">
        <f>IFERROR(INDEX(RiskTbl[Risk_Category],MATCH(Loans[[#This Row],[RiskScore]],RiskTbl[Score_Min],1)),"Unknown")</f>
        <v>Low Risk</v>
      </c>
      <c r="S800" t="str">
        <f>IF(OR(Loans[[#This Row],[LoanStatus]]="Default",Loans[[#This Row],[LoanStatus]]="Watchlist",Loans[[#This Row],[CollateralRisk]]="Undersecured",Loans[[#This Row],[RiskCategory]]="High Risk"),"High Risk Exposure","Normal")</f>
        <v>Normal</v>
      </c>
      <c r="T800" t="str" cm="1">
        <f t="array" ref="T800">_xlfn.IFS(
Loans[[#This Row],[LoanStatus]]="Default","Critical",
OR(Loans[[#This Row],[LoanStatus]]="Watchlist",Loans[[#This Row],[CollateralRisk]]="Undersecured",Loans[[#This Row],[RiskCategory]]="High Risk"),"High",
TRUE,"Normal"
)</f>
        <v>Normal</v>
      </c>
    </row>
    <row r="801" spans="1:20" x14ac:dyDescent="0.35">
      <c r="A801" t="s">
        <v>1469</v>
      </c>
      <c r="B801" t="s">
        <v>1470</v>
      </c>
      <c r="C801" t="s">
        <v>239</v>
      </c>
      <c r="D801" t="s">
        <v>157</v>
      </c>
      <c r="E801" s="34">
        <v>25000000</v>
      </c>
      <c r="F801" s="29">
        <v>0.13850000000000001</v>
      </c>
      <c r="G801" s="30">
        <v>45690</v>
      </c>
      <c r="H801">
        <v>24</v>
      </c>
      <c r="I801">
        <v>120</v>
      </c>
      <c r="J801" s="34">
        <v>30500000</v>
      </c>
      <c r="K801" t="s">
        <v>178</v>
      </c>
      <c r="L801" s="34">
        <f>PMT(Loans[[#This Row],[InterestRate]]/12,Loans[[#This Row],[LoanTenureMonths]],-Loans[[#This Row],[LoanAmount]])</f>
        <v>1198551.2906510413</v>
      </c>
      <c r="M801" s="30">
        <f>EDATE(Loans[[#This Row],[LoanStartDate]],Loans[[#This Row],[LoanTenureMonths]])</f>
        <v>46420</v>
      </c>
      <c r="N801" s="33">
        <f>IF(Loans[[#This Row],[LoanAmount]]=0,0,Loans[[#This Row],[CollateralValue]]/Loans[[#This Row],[LoanAmount]])</f>
        <v>1.22</v>
      </c>
      <c r="O801" t="str">
        <f>IF(Loans[[#This Row],[CollateralCoverageRatio]]&lt;1,"Undersecured","Secured")</f>
        <v>Secured</v>
      </c>
      <c r="P801" t="str">
        <f>_xlfn.XLOOKUP(Loans[[#This Row],[BranchCode]],BranchesTbl[BranchCode],BranchesTbl[BranchName])</f>
        <v>Machakos</v>
      </c>
      <c r="Q801">
        <f>_xlfn.XLOOKUP(Loans[[#This Row],[CustomerID]],CustomerTbl[CustomerID],CustomerTbl[RiskScore])</f>
        <v>680</v>
      </c>
      <c r="R801" t="str">
        <f>IFERROR(INDEX(RiskTbl[Risk_Category],MATCH(Loans[[#This Row],[RiskScore]],RiskTbl[Score_Min],1)),"Unknown")</f>
        <v>Low Risk</v>
      </c>
      <c r="S801" t="str">
        <f>IF(OR(Loans[[#This Row],[LoanStatus]]="Default",Loans[[#This Row],[LoanStatus]]="Watchlist",Loans[[#This Row],[CollateralRisk]]="Undersecured",Loans[[#This Row],[RiskCategory]]="High Risk"),"High Risk Exposure","Normal")</f>
        <v>High Risk Exposure</v>
      </c>
      <c r="T801" t="str" cm="1">
        <f t="array" ref="T801">_xlfn.IFS(
Loans[[#This Row],[LoanStatus]]="Default","Critical",
OR(Loans[[#This Row],[LoanStatus]]="Watchlist",Loans[[#This Row],[CollateralRisk]]="Undersecured",Loans[[#This Row],[RiskCategory]]="High Risk"),"High",
TRUE,"Normal"
)</f>
        <v>Critical</v>
      </c>
    </row>
    <row r="802" spans="1:20" x14ac:dyDescent="0.35">
      <c r="A802" t="s">
        <v>1471</v>
      </c>
      <c r="B802" t="s">
        <v>1176</v>
      </c>
      <c r="C802" t="s">
        <v>239</v>
      </c>
      <c r="D802" t="s">
        <v>156</v>
      </c>
      <c r="E802" s="34">
        <v>3000000</v>
      </c>
      <c r="F802" s="29">
        <v>0.2092</v>
      </c>
      <c r="G802" s="30">
        <v>45782</v>
      </c>
      <c r="H802">
        <v>72</v>
      </c>
      <c r="I802">
        <v>0</v>
      </c>
      <c r="J802" s="34">
        <v>3390000</v>
      </c>
      <c r="K802" t="s">
        <v>171</v>
      </c>
      <c r="L802" s="34">
        <f>PMT(Loans[[#This Row],[InterestRate]]/12,Loans[[#This Row],[LoanTenureMonths]],-Loans[[#This Row],[LoanAmount]])</f>
        <v>73467.255707716613</v>
      </c>
      <c r="M802" s="30">
        <f>EDATE(Loans[[#This Row],[LoanStartDate]],Loans[[#This Row],[LoanTenureMonths]])</f>
        <v>47973</v>
      </c>
      <c r="N802" s="33">
        <f>IF(Loans[[#This Row],[LoanAmount]]=0,0,Loans[[#This Row],[CollateralValue]]/Loans[[#This Row],[LoanAmount]])</f>
        <v>1.1299999999999999</v>
      </c>
      <c r="O802" t="str">
        <f>IF(Loans[[#This Row],[CollateralCoverageRatio]]&lt;1,"Undersecured","Secured")</f>
        <v>Secured</v>
      </c>
      <c r="P802" t="str">
        <f>_xlfn.XLOOKUP(Loans[[#This Row],[BranchCode]],BranchesTbl[BranchCode],BranchesTbl[BranchName])</f>
        <v>Machakos</v>
      </c>
      <c r="Q802">
        <f>_xlfn.XLOOKUP(Loans[[#This Row],[CustomerID]],CustomerTbl[CustomerID],CustomerTbl[RiskScore])</f>
        <v>436</v>
      </c>
      <c r="R802" t="str">
        <f>IFERROR(INDEX(RiskTbl[Risk_Category],MATCH(Loans[[#This Row],[RiskScore]],RiskTbl[Score_Min],1)),"Unknown")</f>
        <v>High Risk</v>
      </c>
      <c r="S802" t="str">
        <f>IF(OR(Loans[[#This Row],[LoanStatus]]="Default",Loans[[#This Row],[LoanStatus]]="Watchlist",Loans[[#This Row],[CollateralRisk]]="Undersecured",Loans[[#This Row],[RiskCategory]]="High Risk"),"High Risk Exposure","Normal")</f>
        <v>High Risk Exposure</v>
      </c>
      <c r="T802" t="str" cm="1">
        <f t="array" ref="T802">_xlfn.IFS(
Loans[[#This Row],[LoanStatus]]="Default","Critical",
OR(Loans[[#This Row],[LoanStatus]]="Watchlist",Loans[[#This Row],[CollateralRisk]]="Undersecured",Loans[[#This Row],[RiskCategory]]="High Risk"),"High",
TRUE,"Normal"
)</f>
        <v>High</v>
      </c>
    </row>
    <row r="803" spans="1:20" x14ac:dyDescent="0.35">
      <c r="A803" t="s">
        <v>1472</v>
      </c>
      <c r="B803" t="s">
        <v>1473</v>
      </c>
      <c r="C803" t="s">
        <v>187</v>
      </c>
      <c r="D803" t="s">
        <v>158</v>
      </c>
      <c r="E803" s="34">
        <v>3000000</v>
      </c>
      <c r="F803" s="29">
        <v>0.13339999999999999</v>
      </c>
      <c r="G803" s="30">
        <v>45277</v>
      </c>
      <c r="H803">
        <v>24</v>
      </c>
      <c r="I803">
        <v>5</v>
      </c>
      <c r="J803" s="34">
        <v>4020000</v>
      </c>
      <c r="K803" t="s">
        <v>171</v>
      </c>
      <c r="L803" s="34">
        <f>PMT(Loans[[#This Row],[InterestRate]]/12,Loans[[#This Row],[LoanTenureMonths]],-Loans[[#This Row],[LoanAmount]])</f>
        <v>143105.03828957779</v>
      </c>
      <c r="M803" s="30">
        <f>EDATE(Loans[[#This Row],[LoanStartDate]],Loans[[#This Row],[LoanTenureMonths]])</f>
        <v>46008</v>
      </c>
      <c r="N803" s="33">
        <f>IF(Loans[[#This Row],[LoanAmount]]=0,0,Loans[[#This Row],[CollateralValue]]/Loans[[#This Row],[LoanAmount]])</f>
        <v>1.34</v>
      </c>
      <c r="O803" t="str">
        <f>IF(Loans[[#This Row],[CollateralCoverageRatio]]&lt;1,"Undersecured","Secured")</f>
        <v>Secured</v>
      </c>
      <c r="P803" t="str">
        <f>_xlfn.XLOOKUP(Loans[[#This Row],[BranchCode]],BranchesTbl[BranchCode],BranchesTbl[BranchName])</f>
        <v>Eldoret</v>
      </c>
      <c r="Q803">
        <f>_xlfn.XLOOKUP(Loans[[#This Row],[CustomerID]],CustomerTbl[CustomerID],CustomerTbl[RiskScore])</f>
        <v>428</v>
      </c>
      <c r="R803" t="str">
        <f>IFERROR(INDEX(RiskTbl[Risk_Category],MATCH(Loans[[#This Row],[RiskScore]],RiskTbl[Score_Min],1)),"Unknown")</f>
        <v>High Risk</v>
      </c>
      <c r="S803" t="str">
        <f>IF(OR(Loans[[#This Row],[LoanStatus]]="Default",Loans[[#This Row],[LoanStatus]]="Watchlist",Loans[[#This Row],[CollateralRisk]]="Undersecured",Loans[[#This Row],[RiskCategory]]="High Risk"),"High Risk Exposure","Normal")</f>
        <v>High Risk Exposure</v>
      </c>
      <c r="T803" t="str" cm="1">
        <f t="array" ref="T803">_xlfn.IFS(
Loans[[#This Row],[LoanStatus]]="Default","Critical",
OR(Loans[[#This Row],[LoanStatus]]="Watchlist",Loans[[#This Row],[CollateralRisk]]="Undersecured",Loans[[#This Row],[RiskCategory]]="High Risk"),"High",
TRUE,"Normal"
)</f>
        <v>High</v>
      </c>
    </row>
    <row r="804" spans="1:20" x14ac:dyDescent="0.35">
      <c r="A804" t="s">
        <v>1474</v>
      </c>
      <c r="B804" t="s">
        <v>1475</v>
      </c>
      <c r="C804" t="s">
        <v>177</v>
      </c>
      <c r="D804" t="s">
        <v>156</v>
      </c>
      <c r="E804" s="34">
        <v>1000000</v>
      </c>
      <c r="F804" s="29">
        <v>0.1951</v>
      </c>
      <c r="G804" s="30">
        <v>43910</v>
      </c>
      <c r="H804">
        <v>12</v>
      </c>
      <c r="I804">
        <v>45</v>
      </c>
      <c r="J804" s="34">
        <v>850000</v>
      </c>
      <c r="K804" t="s">
        <v>199</v>
      </c>
      <c r="L804" s="34">
        <f>PMT(Loans[[#This Row],[InterestRate]]/12,Loans[[#This Row],[LoanTenureMonths]],-Loans[[#This Row],[LoanAmount]])</f>
        <v>92400.153746215219</v>
      </c>
      <c r="M804" s="30">
        <f>EDATE(Loans[[#This Row],[LoanStartDate]],Loans[[#This Row],[LoanTenureMonths]])</f>
        <v>44275</v>
      </c>
      <c r="N804" s="33">
        <f>IF(Loans[[#This Row],[LoanAmount]]=0,0,Loans[[#This Row],[CollateralValue]]/Loans[[#This Row],[LoanAmount]])</f>
        <v>0.85</v>
      </c>
      <c r="O804" t="str">
        <f>IF(Loans[[#This Row],[CollateralCoverageRatio]]&lt;1,"Undersecured","Secured")</f>
        <v>Undersecured</v>
      </c>
      <c r="P804" t="str">
        <f>_xlfn.XLOOKUP(Loans[[#This Row],[BranchCode]],BranchesTbl[BranchCode],BranchesTbl[BranchName])</f>
        <v>Naivasha</v>
      </c>
      <c r="Q804">
        <f>_xlfn.XLOOKUP(Loans[[#This Row],[CustomerID]],CustomerTbl[CustomerID],CustomerTbl[RiskScore])</f>
        <v>777</v>
      </c>
      <c r="R804" t="str">
        <f>IFERROR(INDEX(RiskTbl[Risk_Category],MATCH(Loans[[#This Row],[RiskScore]],RiskTbl[Score_Min],1)),"Unknown")</f>
        <v>Very Low Risk</v>
      </c>
      <c r="S804" t="str">
        <f>IF(OR(Loans[[#This Row],[LoanStatus]]="Default",Loans[[#This Row],[LoanStatus]]="Watchlist",Loans[[#This Row],[CollateralRisk]]="Undersecured",Loans[[#This Row],[RiskCategory]]="High Risk"),"High Risk Exposure","Normal")</f>
        <v>High Risk Exposure</v>
      </c>
      <c r="T804" t="str" cm="1">
        <f t="array" ref="T804">_xlfn.IFS(
Loans[[#This Row],[LoanStatus]]="Default","Critical",
OR(Loans[[#This Row],[LoanStatus]]="Watchlist",Loans[[#This Row],[CollateralRisk]]="Undersecured",Loans[[#This Row],[RiskCategory]]="High Risk"),"High",
TRUE,"Normal"
)</f>
        <v>High</v>
      </c>
    </row>
    <row r="805" spans="1:20" x14ac:dyDescent="0.35">
      <c r="A805" t="s">
        <v>1476</v>
      </c>
      <c r="B805" t="s">
        <v>1043</v>
      </c>
      <c r="C805" t="s">
        <v>170</v>
      </c>
      <c r="D805" t="s">
        <v>157</v>
      </c>
      <c r="E805" s="34">
        <v>6000000</v>
      </c>
      <c r="F805" s="29">
        <v>0.1174</v>
      </c>
      <c r="G805" s="30">
        <v>44912</v>
      </c>
      <c r="H805">
        <v>12</v>
      </c>
      <c r="I805">
        <v>0</v>
      </c>
      <c r="J805" s="34">
        <v>4260000</v>
      </c>
      <c r="K805" t="s">
        <v>171</v>
      </c>
      <c r="L805" s="34">
        <f>PMT(Loans[[#This Row],[InterestRate]]/12,Loans[[#This Row],[LoanTenureMonths]],-Loans[[#This Row],[LoanAmount]])</f>
        <v>532363.22535195039</v>
      </c>
      <c r="M805" s="30">
        <f>EDATE(Loans[[#This Row],[LoanStartDate]],Loans[[#This Row],[LoanTenureMonths]])</f>
        <v>45277</v>
      </c>
      <c r="N805" s="33">
        <f>IF(Loans[[#This Row],[LoanAmount]]=0,0,Loans[[#This Row],[CollateralValue]]/Loans[[#This Row],[LoanAmount]])</f>
        <v>0.71</v>
      </c>
      <c r="O805" t="str">
        <f>IF(Loans[[#This Row],[CollateralCoverageRatio]]&lt;1,"Undersecured","Secured")</f>
        <v>Undersecured</v>
      </c>
      <c r="P805" t="str">
        <f>_xlfn.XLOOKUP(Loans[[#This Row],[BranchCode]],BranchesTbl[BranchCode],BranchesTbl[BranchName])</f>
        <v>Thika</v>
      </c>
      <c r="Q805">
        <f>_xlfn.XLOOKUP(Loans[[#This Row],[CustomerID]],CustomerTbl[CustomerID],CustomerTbl[RiskScore])</f>
        <v>361</v>
      </c>
      <c r="R805" t="str">
        <f>IFERROR(INDEX(RiskTbl[Risk_Category],MATCH(Loans[[#This Row],[RiskScore]],RiskTbl[Score_Min],1)),"Unknown")</f>
        <v>High Risk</v>
      </c>
      <c r="S805" t="str">
        <f>IF(OR(Loans[[#This Row],[LoanStatus]]="Default",Loans[[#This Row],[LoanStatus]]="Watchlist",Loans[[#This Row],[CollateralRisk]]="Undersecured",Loans[[#This Row],[RiskCategory]]="High Risk"),"High Risk Exposure","Normal")</f>
        <v>High Risk Exposure</v>
      </c>
      <c r="T805" t="str" cm="1">
        <f t="array" ref="T805">_xlfn.IFS(
Loans[[#This Row],[LoanStatus]]="Default","Critical",
OR(Loans[[#This Row],[LoanStatus]]="Watchlist",Loans[[#This Row],[CollateralRisk]]="Undersecured",Loans[[#This Row],[RiskCategory]]="High Risk"),"High",
TRUE,"Normal"
)</f>
        <v>High</v>
      </c>
    </row>
    <row r="806" spans="1:20" x14ac:dyDescent="0.35">
      <c r="A806" t="s">
        <v>1477</v>
      </c>
      <c r="B806" t="s">
        <v>466</v>
      </c>
      <c r="C806" t="s">
        <v>206</v>
      </c>
      <c r="D806" t="s">
        <v>158</v>
      </c>
      <c r="E806" s="34">
        <v>3000000</v>
      </c>
      <c r="F806" s="29">
        <v>0.19450000000000001</v>
      </c>
      <c r="G806" s="30">
        <v>43916</v>
      </c>
      <c r="H806">
        <v>12</v>
      </c>
      <c r="I806">
        <v>0</v>
      </c>
      <c r="J806" s="34">
        <v>2160000</v>
      </c>
      <c r="K806" t="s">
        <v>171</v>
      </c>
      <c r="L806" s="34">
        <f>PMT(Loans[[#This Row],[InterestRate]]/12,Loans[[#This Row],[LoanTenureMonths]],-Loans[[#This Row],[LoanAmount]])</f>
        <v>277114.43907025998</v>
      </c>
      <c r="M806" s="30">
        <f>EDATE(Loans[[#This Row],[LoanStartDate]],Loans[[#This Row],[LoanTenureMonths]])</f>
        <v>44281</v>
      </c>
      <c r="N806" s="33">
        <f>IF(Loans[[#This Row],[LoanAmount]]=0,0,Loans[[#This Row],[CollateralValue]]/Loans[[#This Row],[LoanAmount]])</f>
        <v>0.72</v>
      </c>
      <c r="O806" t="str">
        <f>IF(Loans[[#This Row],[CollateralCoverageRatio]]&lt;1,"Undersecured","Secured")</f>
        <v>Undersecured</v>
      </c>
      <c r="P806" t="str">
        <f>_xlfn.XLOOKUP(Loans[[#This Row],[BranchCode]],BranchesTbl[BranchCode],BranchesTbl[BranchName])</f>
        <v>Nyahururu</v>
      </c>
      <c r="Q806">
        <f>_xlfn.XLOOKUP(Loans[[#This Row],[CustomerID]],CustomerTbl[CustomerID],CustomerTbl[RiskScore])</f>
        <v>746</v>
      </c>
      <c r="R806" t="str">
        <f>IFERROR(INDEX(RiskTbl[Risk_Category],MATCH(Loans[[#This Row],[RiskScore]],RiskTbl[Score_Min],1)),"Unknown")</f>
        <v>Very Low Risk</v>
      </c>
      <c r="S806" t="str">
        <f>IF(OR(Loans[[#This Row],[LoanStatus]]="Default",Loans[[#This Row],[LoanStatus]]="Watchlist",Loans[[#This Row],[CollateralRisk]]="Undersecured",Loans[[#This Row],[RiskCategory]]="High Risk"),"High Risk Exposure","Normal")</f>
        <v>High Risk Exposure</v>
      </c>
      <c r="T806" t="str" cm="1">
        <f t="array" ref="T806">_xlfn.IFS(
Loans[[#This Row],[LoanStatus]]="Default","Critical",
OR(Loans[[#This Row],[LoanStatus]]="Watchlist",Loans[[#This Row],[CollateralRisk]]="Undersecured",Loans[[#This Row],[RiskCategory]]="High Risk"),"High",
TRUE,"Normal"
)</f>
        <v>High</v>
      </c>
    </row>
    <row r="807" spans="1:20" x14ac:dyDescent="0.35">
      <c r="A807" t="s">
        <v>1478</v>
      </c>
      <c r="B807" t="s">
        <v>784</v>
      </c>
      <c r="C807" t="s">
        <v>184</v>
      </c>
      <c r="D807" t="s">
        <v>155</v>
      </c>
      <c r="E807" s="34">
        <v>100000</v>
      </c>
      <c r="F807" s="29">
        <v>0.22739999999999999</v>
      </c>
      <c r="G807" s="30">
        <v>44269</v>
      </c>
      <c r="H807">
        <v>12</v>
      </c>
      <c r="I807">
        <v>0</v>
      </c>
      <c r="J807" s="34">
        <v>0</v>
      </c>
      <c r="K807" t="s">
        <v>171</v>
      </c>
      <c r="L807" s="34">
        <f>PMT(Loans[[#This Row],[InterestRate]]/12,Loans[[#This Row],[LoanTenureMonths]],-Loans[[#This Row],[LoanAmount]])</f>
        <v>9395.0888113511337</v>
      </c>
      <c r="M807" s="30">
        <f>EDATE(Loans[[#This Row],[LoanStartDate]],Loans[[#This Row],[LoanTenureMonths]])</f>
        <v>44634</v>
      </c>
      <c r="N807" s="33">
        <f>IF(Loans[[#This Row],[LoanAmount]]=0,0,Loans[[#This Row],[CollateralValue]]/Loans[[#This Row],[LoanAmount]])</f>
        <v>0</v>
      </c>
      <c r="O807" t="str">
        <f>IF(Loans[[#This Row],[CollateralCoverageRatio]]&lt;1,"Undersecured","Secured")</f>
        <v>Undersecured</v>
      </c>
      <c r="P807" t="str">
        <f>_xlfn.XLOOKUP(Loans[[#This Row],[BranchCode]],BranchesTbl[BranchCode],BranchesTbl[BranchName])</f>
        <v>Kisumu</v>
      </c>
      <c r="Q807">
        <f>_xlfn.XLOOKUP(Loans[[#This Row],[CustomerID]],CustomerTbl[CustomerID],CustomerTbl[RiskScore])</f>
        <v>649</v>
      </c>
      <c r="R807" t="str">
        <f>IFERROR(INDEX(RiskTbl[Risk_Category],MATCH(Loans[[#This Row],[RiskScore]],RiskTbl[Score_Min],1)),"Unknown")</f>
        <v>Medium Risk</v>
      </c>
      <c r="S807" t="str">
        <f>IF(OR(Loans[[#This Row],[LoanStatus]]="Default",Loans[[#This Row],[LoanStatus]]="Watchlist",Loans[[#This Row],[CollateralRisk]]="Undersecured",Loans[[#This Row],[RiskCategory]]="High Risk"),"High Risk Exposure","Normal")</f>
        <v>High Risk Exposure</v>
      </c>
      <c r="T807" t="str" cm="1">
        <f t="array" ref="T807">_xlfn.IFS(
Loans[[#This Row],[LoanStatus]]="Default","Critical",
OR(Loans[[#This Row],[LoanStatus]]="Watchlist",Loans[[#This Row],[CollateralRisk]]="Undersecured",Loans[[#This Row],[RiskCategory]]="High Risk"),"High",
TRUE,"Normal"
)</f>
        <v>High</v>
      </c>
    </row>
    <row r="808" spans="1:20" x14ac:dyDescent="0.35">
      <c r="A808" t="s">
        <v>1479</v>
      </c>
      <c r="B808" t="s">
        <v>294</v>
      </c>
      <c r="C808" t="s">
        <v>193</v>
      </c>
      <c r="D808" t="s">
        <v>155</v>
      </c>
      <c r="E808" s="34">
        <v>1000000</v>
      </c>
      <c r="F808" s="29">
        <v>0.1613</v>
      </c>
      <c r="G808" s="30">
        <v>44304</v>
      </c>
      <c r="H808">
        <v>12</v>
      </c>
      <c r="I808">
        <v>0</v>
      </c>
      <c r="J808" s="34">
        <v>0</v>
      </c>
      <c r="K808" t="s">
        <v>171</v>
      </c>
      <c r="L808" s="34">
        <f>PMT(Loans[[#This Row],[InterestRate]]/12,Loans[[#This Row],[LoanTenureMonths]],-Loans[[#This Row],[LoanAmount]])</f>
        <v>90792.387882869822</v>
      </c>
      <c r="M808" s="30">
        <f>EDATE(Loans[[#This Row],[LoanStartDate]],Loans[[#This Row],[LoanTenureMonths]])</f>
        <v>44669</v>
      </c>
      <c r="N808" s="33">
        <f>IF(Loans[[#This Row],[LoanAmount]]=0,0,Loans[[#This Row],[CollateralValue]]/Loans[[#This Row],[LoanAmount]])</f>
        <v>0</v>
      </c>
      <c r="O808" t="str">
        <f>IF(Loans[[#This Row],[CollateralCoverageRatio]]&lt;1,"Undersecured","Secured")</f>
        <v>Undersecured</v>
      </c>
      <c r="P808" t="str">
        <f>_xlfn.XLOOKUP(Loans[[#This Row],[BranchCode]],BranchesTbl[BranchCode],BranchesTbl[BranchName])</f>
        <v>Mombasa</v>
      </c>
      <c r="Q808">
        <f>_xlfn.XLOOKUP(Loans[[#This Row],[CustomerID]],CustomerTbl[CustomerID],CustomerTbl[RiskScore])</f>
        <v>511</v>
      </c>
      <c r="R808" t="str">
        <f>IFERROR(INDEX(RiskTbl[Risk_Category],MATCH(Loans[[#This Row],[RiskScore]],RiskTbl[Score_Min],1)),"Unknown")</f>
        <v>High Risk</v>
      </c>
      <c r="S808" t="str">
        <f>IF(OR(Loans[[#This Row],[LoanStatus]]="Default",Loans[[#This Row],[LoanStatus]]="Watchlist",Loans[[#This Row],[CollateralRisk]]="Undersecured",Loans[[#This Row],[RiskCategory]]="High Risk"),"High Risk Exposure","Normal")</f>
        <v>High Risk Exposure</v>
      </c>
      <c r="T808" t="str" cm="1">
        <f t="array" ref="T808">_xlfn.IFS(
Loans[[#This Row],[LoanStatus]]="Default","Critical",
OR(Loans[[#This Row],[LoanStatus]]="Watchlist",Loans[[#This Row],[CollateralRisk]]="Undersecured",Loans[[#This Row],[RiskCategory]]="High Risk"),"High",
TRUE,"Normal"
)</f>
        <v>High</v>
      </c>
    </row>
    <row r="809" spans="1:20" x14ac:dyDescent="0.35">
      <c r="A809" t="s">
        <v>1480</v>
      </c>
      <c r="B809" t="s">
        <v>682</v>
      </c>
      <c r="C809" t="s">
        <v>267</v>
      </c>
      <c r="D809" t="s">
        <v>156</v>
      </c>
      <c r="E809" s="34">
        <v>6000000</v>
      </c>
      <c r="F809" s="29">
        <v>0.1535</v>
      </c>
      <c r="G809" s="30">
        <v>45638</v>
      </c>
      <c r="H809">
        <v>24</v>
      </c>
      <c r="I809">
        <v>45</v>
      </c>
      <c r="J809" s="34">
        <v>7260000</v>
      </c>
      <c r="K809" t="s">
        <v>199</v>
      </c>
      <c r="L809" s="34">
        <f>PMT(Loans[[#This Row],[InterestRate]]/12,Loans[[#This Row],[LoanTenureMonths]],-Loans[[#This Row],[LoanAmount]])</f>
        <v>291918.62029694737</v>
      </c>
      <c r="M809" s="30">
        <f>EDATE(Loans[[#This Row],[LoanStartDate]],Loans[[#This Row],[LoanTenureMonths]])</f>
        <v>46368</v>
      </c>
      <c r="N809" s="33">
        <f>IF(Loans[[#This Row],[LoanAmount]]=0,0,Loans[[#This Row],[CollateralValue]]/Loans[[#This Row],[LoanAmount]])</f>
        <v>1.21</v>
      </c>
      <c r="O809" t="str">
        <f>IF(Loans[[#This Row],[CollateralCoverageRatio]]&lt;1,"Undersecured","Secured")</f>
        <v>Secured</v>
      </c>
      <c r="P809" t="str">
        <f>_xlfn.XLOOKUP(Loans[[#This Row],[BranchCode]],BranchesTbl[BranchCode],BranchesTbl[BranchName])</f>
        <v>Malindi</v>
      </c>
      <c r="Q809">
        <f>_xlfn.XLOOKUP(Loans[[#This Row],[CustomerID]],CustomerTbl[CustomerID],CustomerTbl[RiskScore])</f>
        <v>700</v>
      </c>
      <c r="R809" t="str">
        <f>IFERROR(INDEX(RiskTbl[Risk_Category],MATCH(Loans[[#This Row],[RiskScore]],RiskTbl[Score_Min],1)),"Unknown")</f>
        <v>Low Risk</v>
      </c>
      <c r="S809" t="str">
        <f>IF(OR(Loans[[#This Row],[LoanStatus]]="Default",Loans[[#This Row],[LoanStatus]]="Watchlist",Loans[[#This Row],[CollateralRisk]]="Undersecured",Loans[[#This Row],[RiskCategory]]="High Risk"),"High Risk Exposure","Normal")</f>
        <v>High Risk Exposure</v>
      </c>
      <c r="T809" t="str" cm="1">
        <f t="array" ref="T809">_xlfn.IFS(
Loans[[#This Row],[LoanStatus]]="Default","Critical",
OR(Loans[[#This Row],[LoanStatus]]="Watchlist",Loans[[#This Row],[CollateralRisk]]="Undersecured",Loans[[#This Row],[RiskCategory]]="High Risk"),"High",
TRUE,"Normal"
)</f>
        <v>High</v>
      </c>
    </row>
    <row r="810" spans="1:20" x14ac:dyDescent="0.35">
      <c r="A810" t="s">
        <v>1481</v>
      </c>
      <c r="B810" t="s">
        <v>421</v>
      </c>
      <c r="C810" t="s">
        <v>219</v>
      </c>
      <c r="D810" t="s">
        <v>158</v>
      </c>
      <c r="E810" s="34">
        <v>1000000</v>
      </c>
      <c r="F810" s="29">
        <v>0.19189999999999999</v>
      </c>
      <c r="G810" s="30">
        <v>45032</v>
      </c>
      <c r="H810">
        <v>48</v>
      </c>
      <c r="I810">
        <v>0</v>
      </c>
      <c r="J810" s="34">
        <v>1060000</v>
      </c>
      <c r="K810" t="s">
        <v>171</v>
      </c>
      <c r="L810" s="34">
        <f>PMT(Loans[[#This Row],[InterestRate]]/12,Loans[[#This Row],[LoanTenureMonths]],-Loans[[#This Row],[LoanAmount]])</f>
        <v>30000.47130312321</v>
      </c>
      <c r="M810" s="30">
        <f>EDATE(Loans[[#This Row],[LoanStartDate]],Loans[[#This Row],[LoanTenureMonths]])</f>
        <v>46493</v>
      </c>
      <c r="N810" s="33">
        <f>IF(Loans[[#This Row],[LoanAmount]]=0,0,Loans[[#This Row],[CollateralValue]]/Loans[[#This Row],[LoanAmount]])</f>
        <v>1.06</v>
      </c>
      <c r="O810" t="str">
        <f>IF(Loans[[#This Row],[CollateralCoverageRatio]]&lt;1,"Undersecured","Secured")</f>
        <v>Secured</v>
      </c>
      <c r="P810" t="str">
        <f>_xlfn.XLOOKUP(Loans[[#This Row],[BranchCode]],BranchesTbl[BranchCode],BranchesTbl[BranchName])</f>
        <v>Meru</v>
      </c>
      <c r="Q810">
        <f>_xlfn.XLOOKUP(Loans[[#This Row],[CustomerID]],CustomerTbl[CustomerID],CustomerTbl[RiskScore])</f>
        <v>803</v>
      </c>
      <c r="R810" t="str">
        <f>IFERROR(INDEX(RiskTbl[Risk_Category],MATCH(Loans[[#This Row],[RiskScore]],RiskTbl[Score_Min],1)),"Unknown")</f>
        <v>Prime</v>
      </c>
      <c r="S810" t="str">
        <f>IF(OR(Loans[[#This Row],[LoanStatus]]="Default",Loans[[#This Row],[LoanStatus]]="Watchlist",Loans[[#This Row],[CollateralRisk]]="Undersecured",Loans[[#This Row],[RiskCategory]]="High Risk"),"High Risk Exposure","Normal")</f>
        <v>Normal</v>
      </c>
      <c r="T810" t="str" cm="1">
        <f t="array" ref="T810">_xlfn.IFS(
Loans[[#This Row],[LoanStatus]]="Default","Critical",
OR(Loans[[#This Row],[LoanStatus]]="Watchlist",Loans[[#This Row],[CollateralRisk]]="Undersecured",Loans[[#This Row],[RiskCategory]]="High Risk"),"High",
TRUE,"Normal"
)</f>
        <v>Normal</v>
      </c>
    </row>
    <row r="811" spans="1:20" x14ac:dyDescent="0.35">
      <c r="A811" t="s">
        <v>1482</v>
      </c>
      <c r="B811" t="s">
        <v>402</v>
      </c>
      <c r="C811" t="s">
        <v>190</v>
      </c>
      <c r="D811" t="s">
        <v>156</v>
      </c>
      <c r="E811" s="34">
        <v>1000000</v>
      </c>
      <c r="F811" s="29">
        <v>0.15989999999999999</v>
      </c>
      <c r="G811" s="30">
        <v>44947</v>
      </c>
      <c r="H811">
        <v>24</v>
      </c>
      <c r="I811">
        <v>20</v>
      </c>
      <c r="J811" s="34">
        <v>1030000</v>
      </c>
      <c r="K811" t="s">
        <v>171</v>
      </c>
      <c r="L811" s="34">
        <f>PMT(Loans[[#This Row],[InterestRate]]/12,Loans[[#This Row],[LoanTenureMonths]],-Loans[[#This Row],[LoanAmount]])</f>
        <v>48958.332560826719</v>
      </c>
      <c r="M811" s="30">
        <f>EDATE(Loans[[#This Row],[LoanStartDate]],Loans[[#This Row],[LoanTenureMonths]])</f>
        <v>45678</v>
      </c>
      <c r="N811" s="33">
        <f>IF(Loans[[#This Row],[LoanAmount]]=0,0,Loans[[#This Row],[CollateralValue]]/Loans[[#This Row],[LoanAmount]])</f>
        <v>1.03</v>
      </c>
      <c r="O811" t="str">
        <f>IF(Loans[[#This Row],[CollateralCoverageRatio]]&lt;1,"Undersecured","Secured")</f>
        <v>Secured</v>
      </c>
      <c r="P811" t="str">
        <f>_xlfn.XLOOKUP(Loans[[#This Row],[BranchCode]],BranchesTbl[BranchCode],BranchesTbl[BranchName])</f>
        <v>Nyeri</v>
      </c>
      <c r="Q811">
        <f>_xlfn.XLOOKUP(Loans[[#This Row],[CustomerID]],CustomerTbl[CustomerID],CustomerTbl[RiskScore])</f>
        <v>376</v>
      </c>
      <c r="R811" t="str">
        <f>IFERROR(INDEX(RiskTbl[Risk_Category],MATCH(Loans[[#This Row],[RiskScore]],RiskTbl[Score_Min],1)),"Unknown")</f>
        <v>High Risk</v>
      </c>
      <c r="S811" t="str">
        <f>IF(OR(Loans[[#This Row],[LoanStatus]]="Default",Loans[[#This Row],[LoanStatus]]="Watchlist",Loans[[#This Row],[CollateralRisk]]="Undersecured",Loans[[#This Row],[RiskCategory]]="High Risk"),"High Risk Exposure","Normal")</f>
        <v>High Risk Exposure</v>
      </c>
      <c r="T811" t="str" cm="1">
        <f t="array" ref="T811">_xlfn.IFS(
Loans[[#This Row],[LoanStatus]]="Default","Critical",
OR(Loans[[#This Row],[LoanStatus]]="Watchlist",Loans[[#This Row],[CollateralRisk]]="Undersecured",Loans[[#This Row],[RiskCategory]]="High Risk"),"High",
TRUE,"Normal"
)</f>
        <v>High</v>
      </c>
    </row>
    <row r="812" spans="1:20" x14ac:dyDescent="0.35">
      <c r="A812" t="s">
        <v>1483</v>
      </c>
      <c r="B812" t="s">
        <v>1484</v>
      </c>
      <c r="C812" t="s">
        <v>170</v>
      </c>
      <c r="D812" t="s">
        <v>155</v>
      </c>
      <c r="E812" s="34">
        <v>500000</v>
      </c>
      <c r="F812" s="29">
        <v>0.17430000000000001</v>
      </c>
      <c r="G812" s="30">
        <v>44503</v>
      </c>
      <c r="H812">
        <v>60</v>
      </c>
      <c r="I812">
        <v>0</v>
      </c>
      <c r="J812" s="34">
        <v>0</v>
      </c>
      <c r="K812" t="s">
        <v>171</v>
      </c>
      <c r="L812" s="34">
        <f>PMT(Loans[[#This Row],[InterestRate]]/12,Loans[[#This Row],[LoanTenureMonths]],-Loans[[#This Row],[LoanAmount]])</f>
        <v>12542.184689345415</v>
      </c>
      <c r="M812" s="30">
        <f>EDATE(Loans[[#This Row],[LoanStartDate]],Loans[[#This Row],[LoanTenureMonths]])</f>
        <v>46329</v>
      </c>
      <c r="N812" s="33">
        <f>IF(Loans[[#This Row],[LoanAmount]]=0,0,Loans[[#This Row],[CollateralValue]]/Loans[[#This Row],[LoanAmount]])</f>
        <v>0</v>
      </c>
      <c r="O812" t="str">
        <f>IF(Loans[[#This Row],[CollateralCoverageRatio]]&lt;1,"Undersecured","Secured")</f>
        <v>Undersecured</v>
      </c>
      <c r="P812" t="str">
        <f>_xlfn.XLOOKUP(Loans[[#This Row],[BranchCode]],BranchesTbl[BranchCode],BranchesTbl[BranchName])</f>
        <v>Thika</v>
      </c>
      <c r="Q812">
        <f>_xlfn.XLOOKUP(Loans[[#This Row],[CustomerID]],CustomerTbl[CustomerID],CustomerTbl[RiskScore])</f>
        <v>554</v>
      </c>
      <c r="R812" t="str">
        <f>IFERROR(INDEX(RiskTbl[Risk_Category],MATCH(Loans[[#This Row],[RiskScore]],RiskTbl[Score_Min],1)),"Unknown")</f>
        <v>High Risk</v>
      </c>
      <c r="S812" t="str">
        <f>IF(OR(Loans[[#This Row],[LoanStatus]]="Default",Loans[[#This Row],[LoanStatus]]="Watchlist",Loans[[#This Row],[CollateralRisk]]="Undersecured",Loans[[#This Row],[RiskCategory]]="High Risk"),"High Risk Exposure","Normal")</f>
        <v>High Risk Exposure</v>
      </c>
      <c r="T812" t="str" cm="1">
        <f t="array" ref="T812">_xlfn.IFS(
Loans[[#This Row],[LoanStatus]]="Default","Critical",
OR(Loans[[#This Row],[LoanStatus]]="Watchlist",Loans[[#This Row],[CollateralRisk]]="Undersecured",Loans[[#This Row],[RiskCategory]]="High Risk"),"High",
TRUE,"Normal"
)</f>
        <v>High</v>
      </c>
    </row>
    <row r="813" spans="1:20" x14ac:dyDescent="0.35">
      <c r="A813" t="s">
        <v>1485</v>
      </c>
      <c r="B813" t="s">
        <v>1037</v>
      </c>
      <c r="C813" t="s">
        <v>196</v>
      </c>
      <c r="D813" t="s">
        <v>155</v>
      </c>
      <c r="E813" s="34">
        <v>100000</v>
      </c>
      <c r="F813" s="29">
        <v>0.20039999999999999</v>
      </c>
      <c r="G813" s="30">
        <v>44486</v>
      </c>
      <c r="H813">
        <v>48</v>
      </c>
      <c r="I813">
        <v>0</v>
      </c>
      <c r="J813" s="34">
        <v>0</v>
      </c>
      <c r="K813" t="s">
        <v>171</v>
      </c>
      <c r="L813" s="34">
        <f>PMT(Loans[[#This Row],[InterestRate]]/12,Loans[[#This Row],[LoanTenureMonths]],-Loans[[#This Row],[LoanAmount]])</f>
        <v>3045.1678200318297</v>
      </c>
      <c r="M813" s="30">
        <f>EDATE(Loans[[#This Row],[LoanStartDate]],Loans[[#This Row],[LoanTenureMonths]])</f>
        <v>45947</v>
      </c>
      <c r="N813" s="33">
        <f>IF(Loans[[#This Row],[LoanAmount]]=0,0,Loans[[#This Row],[CollateralValue]]/Loans[[#This Row],[LoanAmount]])</f>
        <v>0</v>
      </c>
      <c r="O813" t="str">
        <f>IF(Loans[[#This Row],[CollateralCoverageRatio]]&lt;1,"Undersecured","Secured")</f>
        <v>Undersecured</v>
      </c>
      <c r="P813" t="str">
        <f>_xlfn.XLOOKUP(Loans[[#This Row],[BranchCode]],BranchesTbl[BranchCode],BranchesTbl[BranchName])</f>
        <v>Karen</v>
      </c>
      <c r="Q813">
        <f>_xlfn.XLOOKUP(Loans[[#This Row],[CustomerID]],CustomerTbl[CustomerID],CustomerTbl[RiskScore])</f>
        <v>444</v>
      </c>
      <c r="R813" t="str">
        <f>IFERROR(INDEX(RiskTbl[Risk_Category],MATCH(Loans[[#This Row],[RiskScore]],RiskTbl[Score_Min],1)),"Unknown")</f>
        <v>High Risk</v>
      </c>
      <c r="S813" t="str">
        <f>IF(OR(Loans[[#This Row],[LoanStatus]]="Default",Loans[[#This Row],[LoanStatus]]="Watchlist",Loans[[#This Row],[CollateralRisk]]="Undersecured",Loans[[#This Row],[RiskCategory]]="High Risk"),"High Risk Exposure","Normal")</f>
        <v>High Risk Exposure</v>
      </c>
      <c r="T813" t="str" cm="1">
        <f t="array" ref="T813">_xlfn.IFS(
Loans[[#This Row],[LoanStatus]]="Default","Critical",
OR(Loans[[#This Row],[LoanStatus]]="Watchlist",Loans[[#This Row],[CollateralRisk]]="Undersecured",Loans[[#This Row],[RiskCategory]]="High Risk"),"High",
TRUE,"Normal"
)</f>
        <v>High</v>
      </c>
    </row>
    <row r="814" spans="1:20" x14ac:dyDescent="0.35">
      <c r="A814" t="s">
        <v>1486</v>
      </c>
      <c r="B814" t="s">
        <v>320</v>
      </c>
      <c r="C814" t="s">
        <v>190</v>
      </c>
      <c r="D814" t="s">
        <v>158</v>
      </c>
      <c r="E814" s="34">
        <v>3000000</v>
      </c>
      <c r="F814" s="29">
        <v>0.14879999999999999</v>
      </c>
      <c r="G814" s="30">
        <v>45469</v>
      </c>
      <c r="H814">
        <v>24</v>
      </c>
      <c r="I814">
        <v>90</v>
      </c>
      <c r="J814" s="34">
        <v>2580000</v>
      </c>
      <c r="K814" t="s">
        <v>199</v>
      </c>
      <c r="L814" s="34">
        <f>PMT(Loans[[#This Row],[InterestRate]]/12,Loans[[#This Row],[LoanTenureMonths]],-Loans[[#This Row],[LoanAmount]])</f>
        <v>145288.96112202661</v>
      </c>
      <c r="M814" s="30">
        <f>EDATE(Loans[[#This Row],[LoanStartDate]],Loans[[#This Row],[LoanTenureMonths]])</f>
        <v>46199</v>
      </c>
      <c r="N814" s="33">
        <f>IF(Loans[[#This Row],[LoanAmount]]=0,0,Loans[[#This Row],[CollateralValue]]/Loans[[#This Row],[LoanAmount]])</f>
        <v>0.86</v>
      </c>
      <c r="O814" t="str">
        <f>IF(Loans[[#This Row],[CollateralCoverageRatio]]&lt;1,"Undersecured","Secured")</f>
        <v>Undersecured</v>
      </c>
      <c r="P814" t="str">
        <f>_xlfn.XLOOKUP(Loans[[#This Row],[BranchCode]],BranchesTbl[BranchCode],BranchesTbl[BranchName])</f>
        <v>Nyeri</v>
      </c>
      <c r="Q814">
        <f>_xlfn.XLOOKUP(Loans[[#This Row],[CustomerID]],CustomerTbl[CustomerID],CustomerTbl[RiskScore])</f>
        <v>406</v>
      </c>
      <c r="R814" t="str">
        <f>IFERROR(INDEX(RiskTbl[Risk_Category],MATCH(Loans[[#This Row],[RiskScore]],RiskTbl[Score_Min],1)),"Unknown")</f>
        <v>High Risk</v>
      </c>
      <c r="S814" t="str">
        <f>IF(OR(Loans[[#This Row],[LoanStatus]]="Default",Loans[[#This Row],[LoanStatus]]="Watchlist",Loans[[#This Row],[CollateralRisk]]="Undersecured",Loans[[#This Row],[RiskCategory]]="High Risk"),"High Risk Exposure","Normal")</f>
        <v>High Risk Exposure</v>
      </c>
      <c r="T814" t="str" cm="1">
        <f t="array" ref="T814">_xlfn.IFS(
Loans[[#This Row],[LoanStatus]]="Default","Critical",
OR(Loans[[#This Row],[LoanStatus]]="Watchlist",Loans[[#This Row],[CollateralRisk]]="Undersecured",Loans[[#This Row],[RiskCategory]]="High Risk"),"High",
TRUE,"Normal"
)</f>
        <v>High</v>
      </c>
    </row>
    <row r="815" spans="1:20" x14ac:dyDescent="0.35">
      <c r="A815" t="s">
        <v>1487</v>
      </c>
      <c r="B815" t="s">
        <v>1488</v>
      </c>
      <c r="C815" t="s">
        <v>193</v>
      </c>
      <c r="D815" t="s">
        <v>157</v>
      </c>
      <c r="E815" s="34">
        <v>6000000</v>
      </c>
      <c r="F815" s="29">
        <v>0.1125</v>
      </c>
      <c r="G815" s="30">
        <v>44811</v>
      </c>
      <c r="H815">
        <v>72</v>
      </c>
      <c r="I815">
        <v>0</v>
      </c>
      <c r="J815" s="34">
        <v>3120000</v>
      </c>
      <c r="K815" t="s">
        <v>171</v>
      </c>
      <c r="L815" s="34">
        <f>PMT(Loans[[#This Row],[InterestRate]]/12,Loans[[#This Row],[LoanTenureMonths]],-Loans[[#This Row],[LoanAmount]])</f>
        <v>114974.23275104431</v>
      </c>
      <c r="M815" s="30">
        <f>EDATE(Loans[[#This Row],[LoanStartDate]],Loans[[#This Row],[LoanTenureMonths]])</f>
        <v>47003</v>
      </c>
      <c r="N815" s="33">
        <f>IF(Loans[[#This Row],[LoanAmount]]=0,0,Loans[[#This Row],[CollateralValue]]/Loans[[#This Row],[LoanAmount]])</f>
        <v>0.52</v>
      </c>
      <c r="O815" t="str">
        <f>IF(Loans[[#This Row],[CollateralCoverageRatio]]&lt;1,"Undersecured","Secured")</f>
        <v>Undersecured</v>
      </c>
      <c r="P815" t="str">
        <f>_xlfn.XLOOKUP(Loans[[#This Row],[BranchCode]],BranchesTbl[BranchCode],BranchesTbl[BranchName])</f>
        <v>Mombasa</v>
      </c>
      <c r="Q815">
        <f>_xlfn.XLOOKUP(Loans[[#This Row],[CustomerID]],CustomerTbl[CustomerID],CustomerTbl[RiskScore])</f>
        <v>692</v>
      </c>
      <c r="R815" t="str">
        <f>IFERROR(INDEX(RiskTbl[Risk_Category],MATCH(Loans[[#This Row],[RiskScore]],RiskTbl[Score_Min],1)),"Unknown")</f>
        <v>Low Risk</v>
      </c>
      <c r="S815" t="str">
        <f>IF(OR(Loans[[#This Row],[LoanStatus]]="Default",Loans[[#This Row],[LoanStatus]]="Watchlist",Loans[[#This Row],[CollateralRisk]]="Undersecured",Loans[[#This Row],[RiskCategory]]="High Risk"),"High Risk Exposure","Normal")</f>
        <v>High Risk Exposure</v>
      </c>
      <c r="T815" t="str" cm="1">
        <f t="array" ref="T815">_xlfn.IFS(
Loans[[#This Row],[LoanStatus]]="Default","Critical",
OR(Loans[[#This Row],[LoanStatus]]="Watchlist",Loans[[#This Row],[CollateralRisk]]="Undersecured",Loans[[#This Row],[RiskCategory]]="High Risk"),"High",
TRUE,"Normal"
)</f>
        <v>High</v>
      </c>
    </row>
    <row r="816" spans="1:20" x14ac:dyDescent="0.35">
      <c r="A816" t="s">
        <v>1489</v>
      </c>
      <c r="B816" t="s">
        <v>462</v>
      </c>
      <c r="C816" t="s">
        <v>196</v>
      </c>
      <c r="D816" t="s">
        <v>158</v>
      </c>
      <c r="E816" s="34">
        <v>1000000</v>
      </c>
      <c r="F816" s="29">
        <v>0.1212</v>
      </c>
      <c r="G816" s="30">
        <v>44341</v>
      </c>
      <c r="H816">
        <v>12</v>
      </c>
      <c r="I816">
        <v>0</v>
      </c>
      <c r="J816" s="34">
        <v>1020000</v>
      </c>
      <c r="K816" t="s">
        <v>171</v>
      </c>
      <c r="L816" s="34">
        <f>PMT(Loans[[#This Row],[InterestRate]]/12,Loans[[#This Row],[LoanTenureMonths]],-Loans[[#This Row],[LoanAmount]])</f>
        <v>88904.935518689075</v>
      </c>
      <c r="M816" s="30">
        <f>EDATE(Loans[[#This Row],[LoanStartDate]],Loans[[#This Row],[LoanTenureMonths]])</f>
        <v>44706</v>
      </c>
      <c r="N816" s="33">
        <f>IF(Loans[[#This Row],[LoanAmount]]=0,0,Loans[[#This Row],[CollateralValue]]/Loans[[#This Row],[LoanAmount]])</f>
        <v>1.02</v>
      </c>
      <c r="O816" t="str">
        <f>IF(Loans[[#This Row],[CollateralCoverageRatio]]&lt;1,"Undersecured","Secured")</f>
        <v>Secured</v>
      </c>
      <c r="P816" t="str">
        <f>_xlfn.XLOOKUP(Loans[[#This Row],[BranchCode]],BranchesTbl[BranchCode],BranchesTbl[BranchName])</f>
        <v>Karen</v>
      </c>
      <c r="Q816">
        <f>_xlfn.XLOOKUP(Loans[[#This Row],[CustomerID]],CustomerTbl[CustomerID],CustomerTbl[RiskScore])</f>
        <v>809</v>
      </c>
      <c r="R816" t="str">
        <f>IFERROR(INDEX(RiskTbl[Risk_Category],MATCH(Loans[[#This Row],[RiskScore]],RiskTbl[Score_Min],1)),"Unknown")</f>
        <v>Prime</v>
      </c>
      <c r="S816" t="str">
        <f>IF(OR(Loans[[#This Row],[LoanStatus]]="Default",Loans[[#This Row],[LoanStatus]]="Watchlist",Loans[[#This Row],[CollateralRisk]]="Undersecured",Loans[[#This Row],[RiskCategory]]="High Risk"),"High Risk Exposure","Normal")</f>
        <v>Normal</v>
      </c>
      <c r="T816" t="str" cm="1">
        <f t="array" ref="T816">_xlfn.IFS(
Loans[[#This Row],[LoanStatus]]="Default","Critical",
OR(Loans[[#This Row],[LoanStatus]]="Watchlist",Loans[[#This Row],[CollateralRisk]]="Undersecured",Loans[[#This Row],[RiskCategory]]="High Risk"),"High",
TRUE,"Normal"
)</f>
        <v>Normal</v>
      </c>
    </row>
    <row r="817" spans="1:20" x14ac:dyDescent="0.35">
      <c r="A817" t="s">
        <v>1490</v>
      </c>
      <c r="B817" t="s">
        <v>1281</v>
      </c>
      <c r="C817" t="s">
        <v>232</v>
      </c>
      <c r="D817" t="s">
        <v>156</v>
      </c>
      <c r="E817" s="34">
        <v>25000000</v>
      </c>
      <c r="F817" s="29">
        <v>0.2397</v>
      </c>
      <c r="G817" s="30">
        <v>45487</v>
      </c>
      <c r="H817">
        <v>24</v>
      </c>
      <c r="I817">
        <v>120</v>
      </c>
      <c r="J817" s="34">
        <v>30000000</v>
      </c>
      <c r="K817" t="s">
        <v>178</v>
      </c>
      <c r="L817" s="34">
        <f>PMT(Loans[[#This Row],[InterestRate]]/12,Loans[[#This Row],[LoanTenureMonths]],-Loans[[#This Row],[LoanAmount]])</f>
        <v>1321403.1295773603</v>
      </c>
      <c r="M817" s="30">
        <f>EDATE(Loans[[#This Row],[LoanStartDate]],Loans[[#This Row],[LoanTenureMonths]])</f>
        <v>46217</v>
      </c>
      <c r="N817" s="33">
        <f>IF(Loans[[#This Row],[LoanAmount]]=0,0,Loans[[#This Row],[CollateralValue]]/Loans[[#This Row],[LoanAmount]])</f>
        <v>1.2</v>
      </c>
      <c r="O817" t="str">
        <f>IF(Loans[[#This Row],[CollateralCoverageRatio]]&lt;1,"Undersecured","Secured")</f>
        <v>Secured</v>
      </c>
      <c r="P817" t="str">
        <f>_xlfn.XLOOKUP(Loans[[#This Row],[BranchCode]],BranchesTbl[BranchCode],BranchesTbl[BranchName])</f>
        <v>Upper Hill</v>
      </c>
      <c r="Q817">
        <f>_xlfn.XLOOKUP(Loans[[#This Row],[CustomerID]],CustomerTbl[CustomerID],CustomerTbl[RiskScore])</f>
        <v>322</v>
      </c>
      <c r="R817" t="str">
        <f>IFERROR(INDEX(RiskTbl[Risk_Category],MATCH(Loans[[#This Row],[RiskScore]],RiskTbl[Score_Min],1)),"Unknown")</f>
        <v>High Risk</v>
      </c>
      <c r="S817" t="str">
        <f>IF(OR(Loans[[#This Row],[LoanStatus]]="Default",Loans[[#This Row],[LoanStatus]]="Watchlist",Loans[[#This Row],[CollateralRisk]]="Undersecured",Loans[[#This Row],[RiskCategory]]="High Risk"),"High Risk Exposure","Normal")</f>
        <v>High Risk Exposure</v>
      </c>
      <c r="T817" t="str" cm="1">
        <f t="array" ref="T817">_xlfn.IFS(
Loans[[#This Row],[LoanStatus]]="Default","Critical",
OR(Loans[[#This Row],[LoanStatus]]="Watchlist",Loans[[#This Row],[CollateralRisk]]="Undersecured",Loans[[#This Row],[RiskCategory]]="High Risk"),"High",
TRUE,"Normal"
)</f>
        <v>Critical</v>
      </c>
    </row>
    <row r="818" spans="1:20" x14ac:dyDescent="0.35">
      <c r="A818" t="s">
        <v>1491</v>
      </c>
      <c r="B818" t="s">
        <v>1492</v>
      </c>
      <c r="C818" t="s">
        <v>181</v>
      </c>
      <c r="D818" t="s">
        <v>157</v>
      </c>
      <c r="E818" s="34">
        <v>80000000</v>
      </c>
      <c r="F818" s="29">
        <v>0.13089999999999999</v>
      </c>
      <c r="G818" s="30">
        <v>44987</v>
      </c>
      <c r="H818">
        <v>36</v>
      </c>
      <c r="I818">
        <v>0</v>
      </c>
      <c r="J818" s="34">
        <v>57600000</v>
      </c>
      <c r="K818" t="s">
        <v>171</v>
      </c>
      <c r="L818" s="34">
        <f>PMT(Loans[[#This Row],[InterestRate]]/12,Loans[[#This Row],[LoanTenureMonths]],-Loans[[#This Row],[LoanAmount]])</f>
        <v>2698985.4365717098</v>
      </c>
      <c r="M818" s="30">
        <f>EDATE(Loans[[#This Row],[LoanStartDate]],Loans[[#This Row],[LoanTenureMonths]])</f>
        <v>46083</v>
      </c>
      <c r="N818" s="33">
        <f>IF(Loans[[#This Row],[LoanAmount]]=0,0,Loans[[#This Row],[CollateralValue]]/Loans[[#This Row],[LoanAmount]])</f>
        <v>0.72</v>
      </c>
      <c r="O818" t="str">
        <f>IF(Loans[[#This Row],[CollateralCoverageRatio]]&lt;1,"Undersecured","Secured")</f>
        <v>Undersecured</v>
      </c>
      <c r="P818" t="str">
        <f>_xlfn.XLOOKUP(Loans[[#This Row],[BranchCode]],BranchesTbl[BranchCode],BranchesTbl[BranchName])</f>
        <v>Kitale</v>
      </c>
      <c r="Q818">
        <f>_xlfn.XLOOKUP(Loans[[#This Row],[CustomerID]],CustomerTbl[CustomerID],CustomerTbl[RiskScore])</f>
        <v>321</v>
      </c>
      <c r="R818" t="str">
        <f>IFERROR(INDEX(RiskTbl[Risk_Category],MATCH(Loans[[#This Row],[RiskScore]],RiskTbl[Score_Min],1)),"Unknown")</f>
        <v>High Risk</v>
      </c>
      <c r="S818" t="str">
        <f>IF(OR(Loans[[#This Row],[LoanStatus]]="Default",Loans[[#This Row],[LoanStatus]]="Watchlist",Loans[[#This Row],[CollateralRisk]]="Undersecured",Loans[[#This Row],[RiskCategory]]="High Risk"),"High Risk Exposure","Normal")</f>
        <v>High Risk Exposure</v>
      </c>
      <c r="T818" t="str" cm="1">
        <f t="array" ref="T818">_xlfn.IFS(
Loans[[#This Row],[LoanStatus]]="Default","Critical",
OR(Loans[[#This Row],[LoanStatus]]="Watchlist",Loans[[#This Row],[CollateralRisk]]="Undersecured",Loans[[#This Row],[RiskCategory]]="High Risk"),"High",
TRUE,"Normal"
)</f>
        <v>High</v>
      </c>
    </row>
    <row r="819" spans="1:20" x14ac:dyDescent="0.35">
      <c r="A819" t="s">
        <v>1493</v>
      </c>
      <c r="B819" t="s">
        <v>1494</v>
      </c>
      <c r="C819" t="s">
        <v>181</v>
      </c>
      <c r="D819" t="s">
        <v>158</v>
      </c>
      <c r="E819" s="34">
        <v>6000000</v>
      </c>
      <c r="F819" s="29">
        <v>0.19450000000000001</v>
      </c>
      <c r="G819" s="30">
        <v>45506</v>
      </c>
      <c r="H819">
        <v>60</v>
      </c>
      <c r="I819">
        <v>5</v>
      </c>
      <c r="J819" s="34">
        <v>3180000</v>
      </c>
      <c r="K819" t="s">
        <v>171</v>
      </c>
      <c r="L819" s="34">
        <f>PMT(Loans[[#This Row],[InterestRate]]/12,Loans[[#This Row],[LoanTenureMonths]],-Loans[[#This Row],[LoanAmount]])</f>
        <v>157132.71788080799</v>
      </c>
      <c r="M819" s="30">
        <f>EDATE(Loans[[#This Row],[LoanStartDate]],Loans[[#This Row],[LoanTenureMonths]])</f>
        <v>47332</v>
      </c>
      <c r="N819" s="33">
        <f>IF(Loans[[#This Row],[LoanAmount]]=0,0,Loans[[#This Row],[CollateralValue]]/Loans[[#This Row],[LoanAmount]])</f>
        <v>0.53</v>
      </c>
      <c r="O819" t="str">
        <f>IF(Loans[[#This Row],[CollateralCoverageRatio]]&lt;1,"Undersecured","Secured")</f>
        <v>Undersecured</v>
      </c>
      <c r="P819" t="str">
        <f>_xlfn.XLOOKUP(Loans[[#This Row],[BranchCode]],BranchesTbl[BranchCode],BranchesTbl[BranchName])</f>
        <v>Kitale</v>
      </c>
      <c r="Q819">
        <f>_xlfn.XLOOKUP(Loans[[#This Row],[CustomerID]],CustomerTbl[CustomerID],CustomerTbl[RiskScore])</f>
        <v>333</v>
      </c>
      <c r="R819" t="str">
        <f>IFERROR(INDEX(RiskTbl[Risk_Category],MATCH(Loans[[#This Row],[RiskScore]],RiskTbl[Score_Min],1)),"Unknown")</f>
        <v>High Risk</v>
      </c>
      <c r="S819" t="str">
        <f>IF(OR(Loans[[#This Row],[LoanStatus]]="Default",Loans[[#This Row],[LoanStatus]]="Watchlist",Loans[[#This Row],[CollateralRisk]]="Undersecured",Loans[[#This Row],[RiskCategory]]="High Risk"),"High Risk Exposure","Normal")</f>
        <v>High Risk Exposure</v>
      </c>
      <c r="T819" t="str" cm="1">
        <f t="array" ref="T819">_xlfn.IFS(
Loans[[#This Row],[LoanStatus]]="Default","Critical",
OR(Loans[[#This Row],[LoanStatus]]="Watchlist",Loans[[#This Row],[CollateralRisk]]="Undersecured",Loans[[#This Row],[RiskCategory]]="High Risk"),"High",
TRUE,"Normal"
)</f>
        <v>High</v>
      </c>
    </row>
    <row r="820" spans="1:20" x14ac:dyDescent="0.35">
      <c r="A820" t="s">
        <v>1495</v>
      </c>
      <c r="B820" t="s">
        <v>379</v>
      </c>
      <c r="C820" t="s">
        <v>270</v>
      </c>
      <c r="D820" t="s">
        <v>156</v>
      </c>
      <c r="E820" s="34">
        <v>1000000</v>
      </c>
      <c r="F820" s="29">
        <v>0.20519999999999999</v>
      </c>
      <c r="G820" s="30">
        <v>44657</v>
      </c>
      <c r="H820">
        <v>60</v>
      </c>
      <c r="I820">
        <v>0</v>
      </c>
      <c r="J820" s="34">
        <v>540000</v>
      </c>
      <c r="K820" t="s">
        <v>171</v>
      </c>
      <c r="L820" s="34">
        <f>PMT(Loans[[#This Row],[InterestRate]]/12,Loans[[#This Row],[LoanTenureMonths]],-Loans[[#This Row],[LoanAmount]])</f>
        <v>26784.048785146766</v>
      </c>
      <c r="M820" s="30">
        <f>EDATE(Loans[[#This Row],[LoanStartDate]],Loans[[#This Row],[LoanTenureMonths]])</f>
        <v>46483</v>
      </c>
      <c r="N820" s="33">
        <f>IF(Loans[[#This Row],[LoanAmount]]=0,0,Loans[[#This Row],[CollateralValue]]/Loans[[#This Row],[LoanAmount]])</f>
        <v>0.54</v>
      </c>
      <c r="O820" t="str">
        <f>IF(Loans[[#This Row],[CollateralCoverageRatio]]&lt;1,"Undersecured","Secured")</f>
        <v>Undersecured</v>
      </c>
      <c r="P820" t="str">
        <f>_xlfn.XLOOKUP(Loans[[#This Row],[BranchCode]],BranchesTbl[BranchCode],BranchesTbl[BranchName])</f>
        <v>Nakuru</v>
      </c>
      <c r="Q820">
        <f>_xlfn.XLOOKUP(Loans[[#This Row],[CustomerID]],CustomerTbl[CustomerID],CustomerTbl[RiskScore])</f>
        <v>696</v>
      </c>
      <c r="R820" t="str">
        <f>IFERROR(INDEX(RiskTbl[Risk_Category],MATCH(Loans[[#This Row],[RiskScore]],RiskTbl[Score_Min],1)),"Unknown")</f>
        <v>Low Risk</v>
      </c>
      <c r="S820" t="str">
        <f>IF(OR(Loans[[#This Row],[LoanStatus]]="Default",Loans[[#This Row],[LoanStatus]]="Watchlist",Loans[[#This Row],[CollateralRisk]]="Undersecured",Loans[[#This Row],[RiskCategory]]="High Risk"),"High Risk Exposure","Normal")</f>
        <v>High Risk Exposure</v>
      </c>
      <c r="T820" t="str" cm="1">
        <f t="array" ref="T820">_xlfn.IFS(
Loans[[#This Row],[LoanStatus]]="Default","Critical",
OR(Loans[[#This Row],[LoanStatus]]="Watchlist",Loans[[#This Row],[CollateralRisk]]="Undersecured",Loans[[#This Row],[RiskCategory]]="High Risk"),"High",
TRUE,"Normal"
)</f>
        <v>High</v>
      </c>
    </row>
    <row r="821" spans="1:20" x14ac:dyDescent="0.35">
      <c r="A821" t="s">
        <v>1496</v>
      </c>
      <c r="B821" t="s">
        <v>1337</v>
      </c>
      <c r="C821" t="s">
        <v>181</v>
      </c>
      <c r="D821" t="s">
        <v>155</v>
      </c>
      <c r="E821" s="34">
        <v>100000</v>
      </c>
      <c r="F821" s="29">
        <v>0.20749999999999999</v>
      </c>
      <c r="G821" s="30">
        <v>45206</v>
      </c>
      <c r="H821">
        <v>48</v>
      </c>
      <c r="I821">
        <v>0</v>
      </c>
      <c r="J821" s="34">
        <v>0</v>
      </c>
      <c r="K821" t="s">
        <v>171</v>
      </c>
      <c r="L821" s="34">
        <f>PMT(Loans[[#This Row],[InterestRate]]/12,Loans[[#This Row],[LoanTenureMonths]],-Loans[[#This Row],[LoanAmount]])</f>
        <v>3083.1386834871332</v>
      </c>
      <c r="M821" s="30">
        <f>EDATE(Loans[[#This Row],[LoanStartDate]],Loans[[#This Row],[LoanTenureMonths]])</f>
        <v>46667</v>
      </c>
      <c r="N821" s="33">
        <f>IF(Loans[[#This Row],[LoanAmount]]=0,0,Loans[[#This Row],[CollateralValue]]/Loans[[#This Row],[LoanAmount]])</f>
        <v>0</v>
      </c>
      <c r="O821" t="str">
        <f>IF(Loans[[#This Row],[CollateralCoverageRatio]]&lt;1,"Undersecured","Secured")</f>
        <v>Undersecured</v>
      </c>
      <c r="P821" t="str">
        <f>_xlfn.XLOOKUP(Loans[[#This Row],[BranchCode]],BranchesTbl[BranchCode],BranchesTbl[BranchName])</f>
        <v>Kitale</v>
      </c>
      <c r="Q821">
        <f>_xlfn.XLOOKUP(Loans[[#This Row],[CustomerID]],CustomerTbl[CustomerID],CustomerTbl[RiskScore])</f>
        <v>406</v>
      </c>
      <c r="R821" t="str">
        <f>IFERROR(INDEX(RiskTbl[Risk_Category],MATCH(Loans[[#This Row],[RiskScore]],RiskTbl[Score_Min],1)),"Unknown")</f>
        <v>High Risk</v>
      </c>
      <c r="S821" t="str">
        <f>IF(OR(Loans[[#This Row],[LoanStatus]]="Default",Loans[[#This Row],[LoanStatus]]="Watchlist",Loans[[#This Row],[CollateralRisk]]="Undersecured",Loans[[#This Row],[RiskCategory]]="High Risk"),"High Risk Exposure","Normal")</f>
        <v>High Risk Exposure</v>
      </c>
      <c r="T821" t="str" cm="1">
        <f t="array" ref="T821">_xlfn.IFS(
Loans[[#This Row],[LoanStatus]]="Default","Critical",
OR(Loans[[#This Row],[LoanStatus]]="Watchlist",Loans[[#This Row],[CollateralRisk]]="Undersecured",Loans[[#This Row],[RiskCategory]]="High Risk"),"High",
TRUE,"Normal"
)</f>
        <v>High</v>
      </c>
    </row>
    <row r="822" spans="1:20" x14ac:dyDescent="0.35">
      <c r="A822" t="s">
        <v>1497</v>
      </c>
      <c r="B822" t="s">
        <v>1065</v>
      </c>
      <c r="C822" t="s">
        <v>193</v>
      </c>
      <c r="D822" t="s">
        <v>156</v>
      </c>
      <c r="E822" s="34">
        <v>3000000</v>
      </c>
      <c r="F822" s="29">
        <v>0.23169999999999999</v>
      </c>
      <c r="G822" s="30">
        <v>44593</v>
      </c>
      <c r="H822">
        <v>48</v>
      </c>
      <c r="I822">
        <v>45</v>
      </c>
      <c r="J822" s="34">
        <v>4470000</v>
      </c>
      <c r="K822" t="s">
        <v>199</v>
      </c>
      <c r="L822" s="34">
        <f>PMT(Loans[[#This Row],[InterestRate]]/12,Loans[[#This Row],[LoanTenureMonths]],-Loans[[#This Row],[LoanAmount]])</f>
        <v>96434.051706295271</v>
      </c>
      <c r="M822" s="30">
        <f>EDATE(Loans[[#This Row],[LoanStartDate]],Loans[[#This Row],[LoanTenureMonths]])</f>
        <v>46054</v>
      </c>
      <c r="N822" s="33">
        <f>IF(Loans[[#This Row],[LoanAmount]]=0,0,Loans[[#This Row],[CollateralValue]]/Loans[[#This Row],[LoanAmount]])</f>
        <v>1.49</v>
      </c>
      <c r="O822" t="str">
        <f>IF(Loans[[#This Row],[CollateralCoverageRatio]]&lt;1,"Undersecured","Secured")</f>
        <v>Secured</v>
      </c>
      <c r="P822" t="str">
        <f>_xlfn.XLOOKUP(Loans[[#This Row],[BranchCode]],BranchesTbl[BranchCode],BranchesTbl[BranchName])</f>
        <v>Mombasa</v>
      </c>
      <c r="Q822">
        <f>_xlfn.XLOOKUP(Loans[[#This Row],[CustomerID]],CustomerTbl[CustomerID],CustomerTbl[RiskScore])</f>
        <v>707</v>
      </c>
      <c r="R822" t="str">
        <f>IFERROR(INDEX(RiskTbl[Risk_Category],MATCH(Loans[[#This Row],[RiskScore]],RiskTbl[Score_Min],1)),"Unknown")</f>
        <v>Low Risk</v>
      </c>
      <c r="S822" t="str">
        <f>IF(OR(Loans[[#This Row],[LoanStatus]]="Default",Loans[[#This Row],[LoanStatus]]="Watchlist",Loans[[#This Row],[CollateralRisk]]="Undersecured",Loans[[#This Row],[RiskCategory]]="High Risk"),"High Risk Exposure","Normal")</f>
        <v>High Risk Exposure</v>
      </c>
      <c r="T822" t="str" cm="1">
        <f t="array" ref="T822">_xlfn.IFS(
Loans[[#This Row],[LoanStatus]]="Default","Critical",
OR(Loans[[#This Row],[LoanStatus]]="Watchlist",Loans[[#This Row],[CollateralRisk]]="Undersecured",Loans[[#This Row],[RiskCategory]]="High Risk"),"High",
TRUE,"Normal"
)</f>
        <v>High</v>
      </c>
    </row>
    <row r="823" spans="1:20" x14ac:dyDescent="0.35">
      <c r="A823" t="s">
        <v>1498</v>
      </c>
      <c r="B823" t="s">
        <v>1492</v>
      </c>
      <c r="C823" t="s">
        <v>267</v>
      </c>
      <c r="D823" t="s">
        <v>156</v>
      </c>
      <c r="E823" s="34">
        <v>6000000</v>
      </c>
      <c r="F823" s="29">
        <v>0.19939999999999999</v>
      </c>
      <c r="G823" s="30">
        <v>44965</v>
      </c>
      <c r="H823">
        <v>60</v>
      </c>
      <c r="I823">
        <v>45</v>
      </c>
      <c r="J823" s="34">
        <v>5940000</v>
      </c>
      <c r="K823" t="s">
        <v>199</v>
      </c>
      <c r="L823" s="34">
        <f>PMT(Loans[[#This Row],[InterestRate]]/12,Loans[[#This Row],[LoanTenureMonths]],-Loans[[#This Row],[LoanAmount]])</f>
        <v>158763.05911384273</v>
      </c>
      <c r="M823" s="30">
        <f>EDATE(Loans[[#This Row],[LoanStartDate]],Loans[[#This Row],[LoanTenureMonths]])</f>
        <v>46791</v>
      </c>
      <c r="N823" s="33">
        <f>IF(Loans[[#This Row],[LoanAmount]]=0,0,Loans[[#This Row],[CollateralValue]]/Loans[[#This Row],[LoanAmount]])</f>
        <v>0.99</v>
      </c>
      <c r="O823" t="str">
        <f>IF(Loans[[#This Row],[CollateralCoverageRatio]]&lt;1,"Undersecured","Secured")</f>
        <v>Undersecured</v>
      </c>
      <c r="P823" t="str">
        <f>_xlfn.XLOOKUP(Loans[[#This Row],[BranchCode]],BranchesTbl[BranchCode],BranchesTbl[BranchName])</f>
        <v>Malindi</v>
      </c>
      <c r="Q823">
        <f>_xlfn.XLOOKUP(Loans[[#This Row],[CustomerID]],CustomerTbl[CustomerID],CustomerTbl[RiskScore])</f>
        <v>321</v>
      </c>
      <c r="R823" t="str">
        <f>IFERROR(INDEX(RiskTbl[Risk_Category],MATCH(Loans[[#This Row],[RiskScore]],RiskTbl[Score_Min],1)),"Unknown")</f>
        <v>High Risk</v>
      </c>
      <c r="S823" t="str">
        <f>IF(OR(Loans[[#This Row],[LoanStatus]]="Default",Loans[[#This Row],[LoanStatus]]="Watchlist",Loans[[#This Row],[CollateralRisk]]="Undersecured",Loans[[#This Row],[RiskCategory]]="High Risk"),"High Risk Exposure","Normal")</f>
        <v>High Risk Exposure</v>
      </c>
      <c r="T823" t="str" cm="1">
        <f t="array" ref="T823">_xlfn.IFS(
Loans[[#This Row],[LoanStatus]]="Default","Critical",
OR(Loans[[#This Row],[LoanStatus]]="Watchlist",Loans[[#This Row],[CollateralRisk]]="Undersecured",Loans[[#This Row],[RiskCategory]]="High Risk"),"High",
TRUE,"Normal"
)</f>
        <v>High</v>
      </c>
    </row>
    <row r="824" spans="1:20" x14ac:dyDescent="0.35">
      <c r="A824" t="s">
        <v>1499</v>
      </c>
      <c r="B824" t="s">
        <v>169</v>
      </c>
      <c r="C824" t="s">
        <v>187</v>
      </c>
      <c r="D824" t="s">
        <v>155</v>
      </c>
      <c r="E824" s="34">
        <v>500000</v>
      </c>
      <c r="F824" s="29">
        <v>0.20480000000000001</v>
      </c>
      <c r="G824" s="30">
        <v>45488</v>
      </c>
      <c r="H824">
        <v>12</v>
      </c>
      <c r="I824">
        <v>5</v>
      </c>
      <c r="J824" s="34">
        <v>0</v>
      </c>
      <c r="K824" t="s">
        <v>171</v>
      </c>
      <c r="L824" s="34">
        <f>PMT(Loans[[#This Row],[InterestRate]]/12,Loans[[#This Row],[LoanTenureMonths]],-Loans[[#This Row],[LoanAmount]])</f>
        <v>46432.1936750319</v>
      </c>
      <c r="M824" s="30">
        <f>EDATE(Loans[[#This Row],[LoanStartDate]],Loans[[#This Row],[LoanTenureMonths]])</f>
        <v>45853</v>
      </c>
      <c r="N824" s="33">
        <f>IF(Loans[[#This Row],[LoanAmount]]=0,0,Loans[[#This Row],[CollateralValue]]/Loans[[#This Row],[LoanAmount]])</f>
        <v>0</v>
      </c>
      <c r="O824" t="str">
        <f>IF(Loans[[#This Row],[CollateralCoverageRatio]]&lt;1,"Undersecured","Secured")</f>
        <v>Undersecured</v>
      </c>
      <c r="P824" t="str">
        <f>_xlfn.XLOOKUP(Loans[[#This Row],[BranchCode]],BranchesTbl[BranchCode],BranchesTbl[BranchName])</f>
        <v>Eldoret</v>
      </c>
      <c r="Q824">
        <f>_xlfn.XLOOKUP(Loans[[#This Row],[CustomerID]],CustomerTbl[CustomerID],CustomerTbl[RiskScore])</f>
        <v>511</v>
      </c>
      <c r="R824" t="str">
        <f>IFERROR(INDEX(RiskTbl[Risk_Category],MATCH(Loans[[#This Row],[RiskScore]],RiskTbl[Score_Min],1)),"Unknown")</f>
        <v>High Risk</v>
      </c>
      <c r="S824" t="str">
        <f>IF(OR(Loans[[#This Row],[LoanStatus]]="Default",Loans[[#This Row],[LoanStatus]]="Watchlist",Loans[[#This Row],[CollateralRisk]]="Undersecured",Loans[[#This Row],[RiskCategory]]="High Risk"),"High Risk Exposure","Normal")</f>
        <v>High Risk Exposure</v>
      </c>
      <c r="T824" t="str" cm="1">
        <f t="array" ref="T824">_xlfn.IFS(
Loans[[#This Row],[LoanStatus]]="Default","Critical",
OR(Loans[[#This Row],[LoanStatus]]="Watchlist",Loans[[#This Row],[CollateralRisk]]="Undersecured",Loans[[#This Row],[RiskCategory]]="High Risk"),"High",
TRUE,"Normal"
)</f>
        <v>High</v>
      </c>
    </row>
    <row r="825" spans="1:20" x14ac:dyDescent="0.35">
      <c r="A825" t="s">
        <v>1500</v>
      </c>
      <c r="B825" t="s">
        <v>290</v>
      </c>
      <c r="C825" t="s">
        <v>232</v>
      </c>
      <c r="D825" t="s">
        <v>155</v>
      </c>
      <c r="E825" s="34">
        <v>500000</v>
      </c>
      <c r="F825" s="29">
        <v>0.23930000000000001</v>
      </c>
      <c r="G825" s="30">
        <v>43959</v>
      </c>
      <c r="H825">
        <v>36</v>
      </c>
      <c r="I825">
        <v>0</v>
      </c>
      <c r="J825" s="34">
        <v>0</v>
      </c>
      <c r="K825" t="s">
        <v>171</v>
      </c>
      <c r="L825" s="34">
        <f>PMT(Loans[[#This Row],[InterestRate]]/12,Loans[[#This Row],[LoanTenureMonths]],-Loans[[#This Row],[LoanAmount]])</f>
        <v>19598.05405973296</v>
      </c>
      <c r="M825" s="30">
        <f>EDATE(Loans[[#This Row],[LoanStartDate]],Loans[[#This Row],[LoanTenureMonths]])</f>
        <v>45054</v>
      </c>
      <c r="N825" s="33">
        <f>IF(Loans[[#This Row],[LoanAmount]]=0,0,Loans[[#This Row],[CollateralValue]]/Loans[[#This Row],[LoanAmount]])</f>
        <v>0</v>
      </c>
      <c r="O825" t="str">
        <f>IF(Loans[[#This Row],[CollateralCoverageRatio]]&lt;1,"Undersecured","Secured")</f>
        <v>Undersecured</v>
      </c>
      <c r="P825" t="str">
        <f>_xlfn.XLOOKUP(Loans[[#This Row],[BranchCode]],BranchesTbl[BranchCode],BranchesTbl[BranchName])</f>
        <v>Upper Hill</v>
      </c>
      <c r="Q825">
        <f>_xlfn.XLOOKUP(Loans[[#This Row],[CustomerID]],CustomerTbl[CustomerID],CustomerTbl[RiskScore])</f>
        <v>572</v>
      </c>
      <c r="R825" t="str">
        <f>IFERROR(INDEX(RiskTbl[Risk_Category],MATCH(Loans[[#This Row],[RiskScore]],RiskTbl[Score_Min],1)),"Unknown")</f>
        <v>High Risk</v>
      </c>
      <c r="S825" t="str">
        <f>IF(OR(Loans[[#This Row],[LoanStatus]]="Default",Loans[[#This Row],[LoanStatus]]="Watchlist",Loans[[#This Row],[CollateralRisk]]="Undersecured",Loans[[#This Row],[RiskCategory]]="High Risk"),"High Risk Exposure","Normal")</f>
        <v>High Risk Exposure</v>
      </c>
      <c r="T825" t="str" cm="1">
        <f t="array" ref="T825">_xlfn.IFS(
Loans[[#This Row],[LoanStatus]]="Default","Critical",
OR(Loans[[#This Row],[LoanStatus]]="Watchlist",Loans[[#This Row],[CollateralRisk]]="Undersecured",Loans[[#This Row],[RiskCategory]]="High Risk"),"High",
TRUE,"Normal"
)</f>
        <v>High</v>
      </c>
    </row>
    <row r="826" spans="1:20" x14ac:dyDescent="0.35">
      <c r="A826" t="s">
        <v>1501</v>
      </c>
      <c r="B826" t="s">
        <v>1347</v>
      </c>
      <c r="C826" t="s">
        <v>170</v>
      </c>
      <c r="D826" t="s">
        <v>157</v>
      </c>
      <c r="E826" s="34">
        <v>25000000</v>
      </c>
      <c r="F826" s="29">
        <v>0.1138</v>
      </c>
      <c r="G826" s="30">
        <v>45908</v>
      </c>
      <c r="H826">
        <v>24</v>
      </c>
      <c r="I826">
        <v>90</v>
      </c>
      <c r="J826" s="34">
        <v>20000000</v>
      </c>
      <c r="K826" t="s">
        <v>199</v>
      </c>
      <c r="L826" s="34">
        <f>PMT(Loans[[#This Row],[InterestRate]]/12,Loans[[#This Row],[LoanTenureMonths]],-Loans[[#This Row],[LoanAmount]])</f>
        <v>1169611.4691728898</v>
      </c>
      <c r="M826" s="30">
        <f>EDATE(Loans[[#This Row],[LoanStartDate]],Loans[[#This Row],[LoanTenureMonths]])</f>
        <v>46638</v>
      </c>
      <c r="N826" s="33">
        <f>IF(Loans[[#This Row],[LoanAmount]]=0,0,Loans[[#This Row],[CollateralValue]]/Loans[[#This Row],[LoanAmount]])</f>
        <v>0.8</v>
      </c>
      <c r="O826" t="str">
        <f>IF(Loans[[#This Row],[CollateralCoverageRatio]]&lt;1,"Undersecured","Secured")</f>
        <v>Undersecured</v>
      </c>
      <c r="P826" t="str">
        <f>_xlfn.XLOOKUP(Loans[[#This Row],[BranchCode]],BranchesTbl[BranchCode],BranchesTbl[BranchName])</f>
        <v>Thika</v>
      </c>
      <c r="Q826">
        <f>_xlfn.XLOOKUP(Loans[[#This Row],[CustomerID]],CustomerTbl[CustomerID],CustomerTbl[RiskScore])</f>
        <v>511</v>
      </c>
      <c r="R826" t="str">
        <f>IFERROR(INDEX(RiskTbl[Risk_Category],MATCH(Loans[[#This Row],[RiskScore]],RiskTbl[Score_Min],1)),"Unknown")</f>
        <v>High Risk</v>
      </c>
      <c r="S826" t="str">
        <f>IF(OR(Loans[[#This Row],[LoanStatus]]="Default",Loans[[#This Row],[LoanStatus]]="Watchlist",Loans[[#This Row],[CollateralRisk]]="Undersecured",Loans[[#This Row],[RiskCategory]]="High Risk"),"High Risk Exposure","Normal")</f>
        <v>High Risk Exposure</v>
      </c>
      <c r="T826" t="str" cm="1">
        <f t="array" ref="T826">_xlfn.IFS(
Loans[[#This Row],[LoanStatus]]="Default","Critical",
OR(Loans[[#This Row],[LoanStatus]]="Watchlist",Loans[[#This Row],[CollateralRisk]]="Undersecured",Loans[[#This Row],[RiskCategory]]="High Risk"),"High",
TRUE,"Normal"
)</f>
        <v>High</v>
      </c>
    </row>
    <row r="827" spans="1:20" x14ac:dyDescent="0.35">
      <c r="A827" t="s">
        <v>1502</v>
      </c>
      <c r="B827" t="s">
        <v>1503</v>
      </c>
      <c r="C827" t="s">
        <v>184</v>
      </c>
      <c r="D827" t="s">
        <v>158</v>
      </c>
      <c r="E827" s="34">
        <v>500000</v>
      </c>
      <c r="F827" s="29">
        <v>0.1663</v>
      </c>
      <c r="G827" s="30">
        <v>45283</v>
      </c>
      <c r="H827">
        <v>60</v>
      </c>
      <c r="I827">
        <v>0</v>
      </c>
      <c r="J827" s="34">
        <v>540000</v>
      </c>
      <c r="K827" t="s">
        <v>171</v>
      </c>
      <c r="L827" s="34">
        <f>PMT(Loans[[#This Row],[InterestRate]]/12,Loans[[#This Row],[LoanTenureMonths]],-Loans[[#This Row],[LoanAmount]])</f>
        <v>12327.031291369036</v>
      </c>
      <c r="M827" s="30">
        <f>EDATE(Loans[[#This Row],[LoanStartDate]],Loans[[#This Row],[LoanTenureMonths]])</f>
        <v>47110</v>
      </c>
      <c r="N827" s="33">
        <f>IF(Loans[[#This Row],[LoanAmount]]=0,0,Loans[[#This Row],[CollateralValue]]/Loans[[#This Row],[LoanAmount]])</f>
        <v>1.08</v>
      </c>
      <c r="O827" t="str">
        <f>IF(Loans[[#This Row],[CollateralCoverageRatio]]&lt;1,"Undersecured","Secured")</f>
        <v>Secured</v>
      </c>
      <c r="P827" t="str">
        <f>_xlfn.XLOOKUP(Loans[[#This Row],[BranchCode]],BranchesTbl[BranchCode],BranchesTbl[BranchName])</f>
        <v>Kisumu</v>
      </c>
      <c r="Q827">
        <f>_xlfn.XLOOKUP(Loans[[#This Row],[CustomerID]],CustomerTbl[CustomerID],CustomerTbl[RiskScore])</f>
        <v>671</v>
      </c>
      <c r="R827" t="str">
        <f>IFERROR(INDEX(RiskTbl[Risk_Category],MATCH(Loans[[#This Row],[RiskScore]],RiskTbl[Score_Min],1)),"Unknown")</f>
        <v>Low Risk</v>
      </c>
      <c r="S827" t="str">
        <f>IF(OR(Loans[[#This Row],[LoanStatus]]="Default",Loans[[#This Row],[LoanStatus]]="Watchlist",Loans[[#This Row],[CollateralRisk]]="Undersecured",Loans[[#This Row],[RiskCategory]]="High Risk"),"High Risk Exposure","Normal")</f>
        <v>Normal</v>
      </c>
      <c r="T827" t="str" cm="1">
        <f t="array" ref="T827">_xlfn.IFS(
Loans[[#This Row],[LoanStatus]]="Default","Critical",
OR(Loans[[#This Row],[LoanStatus]]="Watchlist",Loans[[#This Row],[CollateralRisk]]="Undersecured",Loans[[#This Row],[RiskCategory]]="High Risk"),"High",
TRUE,"Normal"
)</f>
        <v>Normal</v>
      </c>
    </row>
    <row r="828" spans="1:20" x14ac:dyDescent="0.35">
      <c r="A828" t="s">
        <v>1504</v>
      </c>
      <c r="B828" t="s">
        <v>1473</v>
      </c>
      <c r="C828" t="s">
        <v>196</v>
      </c>
      <c r="D828" t="s">
        <v>158</v>
      </c>
      <c r="E828" s="34">
        <v>6000000</v>
      </c>
      <c r="F828" s="29">
        <v>0.1845</v>
      </c>
      <c r="G828" s="30">
        <v>44842</v>
      </c>
      <c r="H828">
        <v>48</v>
      </c>
      <c r="I828">
        <v>20</v>
      </c>
      <c r="J828" s="34">
        <v>3180000</v>
      </c>
      <c r="K828" t="s">
        <v>171</v>
      </c>
      <c r="L828" s="34">
        <f>PMT(Loans[[#This Row],[InterestRate]]/12,Loans[[#This Row],[LoanTenureMonths]],-Loans[[#This Row],[LoanAmount]])</f>
        <v>177663.99828068962</v>
      </c>
      <c r="M828" s="30">
        <f>EDATE(Loans[[#This Row],[LoanStartDate]],Loans[[#This Row],[LoanTenureMonths]])</f>
        <v>46303</v>
      </c>
      <c r="N828" s="33">
        <f>IF(Loans[[#This Row],[LoanAmount]]=0,0,Loans[[#This Row],[CollateralValue]]/Loans[[#This Row],[LoanAmount]])</f>
        <v>0.53</v>
      </c>
      <c r="O828" t="str">
        <f>IF(Loans[[#This Row],[CollateralCoverageRatio]]&lt;1,"Undersecured","Secured")</f>
        <v>Undersecured</v>
      </c>
      <c r="P828" t="str">
        <f>_xlfn.XLOOKUP(Loans[[#This Row],[BranchCode]],BranchesTbl[BranchCode],BranchesTbl[BranchName])</f>
        <v>Karen</v>
      </c>
      <c r="Q828">
        <f>_xlfn.XLOOKUP(Loans[[#This Row],[CustomerID]],CustomerTbl[CustomerID],CustomerTbl[RiskScore])</f>
        <v>428</v>
      </c>
      <c r="R828" t="str">
        <f>IFERROR(INDEX(RiskTbl[Risk_Category],MATCH(Loans[[#This Row],[RiskScore]],RiskTbl[Score_Min],1)),"Unknown")</f>
        <v>High Risk</v>
      </c>
      <c r="S828" t="str">
        <f>IF(OR(Loans[[#This Row],[LoanStatus]]="Default",Loans[[#This Row],[LoanStatus]]="Watchlist",Loans[[#This Row],[CollateralRisk]]="Undersecured",Loans[[#This Row],[RiskCategory]]="High Risk"),"High Risk Exposure","Normal")</f>
        <v>High Risk Exposure</v>
      </c>
      <c r="T828" t="str" cm="1">
        <f t="array" ref="T828">_xlfn.IFS(
Loans[[#This Row],[LoanStatus]]="Default","Critical",
OR(Loans[[#This Row],[LoanStatus]]="Watchlist",Loans[[#This Row],[CollateralRisk]]="Undersecured",Loans[[#This Row],[RiskCategory]]="High Risk"),"High",
TRUE,"Normal"
)</f>
        <v>High</v>
      </c>
    </row>
    <row r="829" spans="1:20" x14ac:dyDescent="0.35">
      <c r="A829" t="s">
        <v>1505</v>
      </c>
      <c r="B829" t="s">
        <v>1506</v>
      </c>
      <c r="C829" t="s">
        <v>219</v>
      </c>
      <c r="D829" t="s">
        <v>155</v>
      </c>
      <c r="E829" s="34">
        <v>100000</v>
      </c>
      <c r="F829" s="29">
        <v>0.19900000000000001</v>
      </c>
      <c r="G829" s="30">
        <v>45065</v>
      </c>
      <c r="H829">
        <v>12</v>
      </c>
      <c r="I829">
        <v>0</v>
      </c>
      <c r="J829" s="34">
        <v>0</v>
      </c>
      <c r="K829" t="s">
        <v>171</v>
      </c>
      <c r="L829" s="34">
        <f>PMT(Loans[[#This Row],[InterestRate]]/12,Loans[[#This Row],[LoanTenureMonths]],-Loans[[#This Row],[LoanAmount]])</f>
        <v>9258.6652785396018</v>
      </c>
      <c r="M829" s="30">
        <f>EDATE(Loans[[#This Row],[LoanStartDate]],Loans[[#This Row],[LoanTenureMonths]])</f>
        <v>45431</v>
      </c>
      <c r="N829" s="33">
        <f>IF(Loans[[#This Row],[LoanAmount]]=0,0,Loans[[#This Row],[CollateralValue]]/Loans[[#This Row],[LoanAmount]])</f>
        <v>0</v>
      </c>
      <c r="O829" t="str">
        <f>IF(Loans[[#This Row],[CollateralCoverageRatio]]&lt;1,"Undersecured","Secured")</f>
        <v>Undersecured</v>
      </c>
      <c r="P829" t="str">
        <f>_xlfn.XLOOKUP(Loans[[#This Row],[BranchCode]],BranchesTbl[BranchCode],BranchesTbl[BranchName])</f>
        <v>Meru</v>
      </c>
      <c r="Q829">
        <f>_xlfn.XLOOKUP(Loans[[#This Row],[CustomerID]],CustomerTbl[CustomerID],CustomerTbl[RiskScore])</f>
        <v>819</v>
      </c>
      <c r="R829" t="str">
        <f>IFERROR(INDEX(RiskTbl[Risk_Category],MATCH(Loans[[#This Row],[RiskScore]],RiskTbl[Score_Min],1)),"Unknown")</f>
        <v>Prime</v>
      </c>
      <c r="S829" t="str">
        <f>IF(OR(Loans[[#This Row],[LoanStatus]]="Default",Loans[[#This Row],[LoanStatus]]="Watchlist",Loans[[#This Row],[CollateralRisk]]="Undersecured",Loans[[#This Row],[RiskCategory]]="High Risk"),"High Risk Exposure","Normal")</f>
        <v>High Risk Exposure</v>
      </c>
      <c r="T829" t="str" cm="1">
        <f t="array" ref="T829">_xlfn.IFS(
Loans[[#This Row],[LoanStatus]]="Default","Critical",
OR(Loans[[#This Row],[LoanStatus]]="Watchlist",Loans[[#This Row],[CollateralRisk]]="Undersecured",Loans[[#This Row],[RiskCategory]]="High Risk"),"High",
TRUE,"Normal"
)</f>
        <v>High</v>
      </c>
    </row>
    <row r="830" spans="1:20" x14ac:dyDescent="0.35">
      <c r="A830" t="s">
        <v>1507</v>
      </c>
      <c r="B830" t="s">
        <v>349</v>
      </c>
      <c r="C830" t="s">
        <v>177</v>
      </c>
      <c r="D830" t="s">
        <v>156</v>
      </c>
      <c r="E830" s="34">
        <v>6000000</v>
      </c>
      <c r="F830" s="29">
        <v>0.18440000000000001</v>
      </c>
      <c r="G830" s="30">
        <v>44984</v>
      </c>
      <c r="H830">
        <v>72</v>
      </c>
      <c r="I830">
        <v>20</v>
      </c>
      <c r="J830" s="34">
        <v>4500000</v>
      </c>
      <c r="K830" t="s">
        <v>171</v>
      </c>
      <c r="L830" s="34">
        <f>PMT(Loans[[#This Row],[InterestRate]]/12,Loans[[#This Row],[LoanTenureMonths]],-Loans[[#This Row],[LoanAmount]])</f>
        <v>138343.38658884168</v>
      </c>
      <c r="M830" s="30">
        <f>EDATE(Loans[[#This Row],[LoanStartDate]],Loans[[#This Row],[LoanTenureMonths]])</f>
        <v>47176</v>
      </c>
      <c r="N830" s="33">
        <f>IF(Loans[[#This Row],[LoanAmount]]=0,0,Loans[[#This Row],[CollateralValue]]/Loans[[#This Row],[LoanAmount]])</f>
        <v>0.75</v>
      </c>
      <c r="O830" t="str">
        <f>IF(Loans[[#This Row],[CollateralCoverageRatio]]&lt;1,"Undersecured","Secured")</f>
        <v>Undersecured</v>
      </c>
      <c r="P830" t="str">
        <f>_xlfn.XLOOKUP(Loans[[#This Row],[BranchCode]],BranchesTbl[BranchCode],BranchesTbl[BranchName])</f>
        <v>Naivasha</v>
      </c>
      <c r="Q830">
        <f>_xlfn.XLOOKUP(Loans[[#This Row],[CustomerID]],CustomerTbl[CustomerID],CustomerTbl[RiskScore])</f>
        <v>561</v>
      </c>
      <c r="R830" t="str">
        <f>IFERROR(INDEX(RiskTbl[Risk_Category],MATCH(Loans[[#This Row],[RiskScore]],RiskTbl[Score_Min],1)),"Unknown")</f>
        <v>High Risk</v>
      </c>
      <c r="S830" t="str">
        <f>IF(OR(Loans[[#This Row],[LoanStatus]]="Default",Loans[[#This Row],[LoanStatus]]="Watchlist",Loans[[#This Row],[CollateralRisk]]="Undersecured",Loans[[#This Row],[RiskCategory]]="High Risk"),"High Risk Exposure","Normal")</f>
        <v>High Risk Exposure</v>
      </c>
      <c r="T830" t="str" cm="1">
        <f t="array" ref="T830">_xlfn.IFS(
Loans[[#This Row],[LoanStatus]]="Default","Critical",
OR(Loans[[#This Row],[LoanStatus]]="Watchlist",Loans[[#This Row],[CollateralRisk]]="Undersecured",Loans[[#This Row],[RiskCategory]]="High Risk"),"High",
TRUE,"Normal"
)</f>
        <v>High</v>
      </c>
    </row>
    <row r="831" spans="1:20" x14ac:dyDescent="0.35">
      <c r="A831" t="s">
        <v>1508</v>
      </c>
      <c r="B831" t="s">
        <v>440</v>
      </c>
      <c r="C831" t="s">
        <v>206</v>
      </c>
      <c r="D831" t="s">
        <v>156</v>
      </c>
      <c r="E831" s="34">
        <v>25000000</v>
      </c>
      <c r="F831" s="29">
        <v>0.17219999999999999</v>
      </c>
      <c r="G831" s="30">
        <v>45129</v>
      </c>
      <c r="H831">
        <v>48</v>
      </c>
      <c r="I831">
        <v>120</v>
      </c>
      <c r="J831" s="34">
        <v>33500000</v>
      </c>
      <c r="K831" t="s">
        <v>178</v>
      </c>
      <c r="L831" s="34">
        <f>PMT(Loans[[#This Row],[InterestRate]]/12,Loans[[#This Row],[LoanTenureMonths]],-Loans[[#This Row],[LoanAmount]])</f>
        <v>724224.70743177307</v>
      </c>
      <c r="M831" s="30">
        <f>EDATE(Loans[[#This Row],[LoanStartDate]],Loans[[#This Row],[LoanTenureMonths]])</f>
        <v>46590</v>
      </c>
      <c r="N831" s="33">
        <f>IF(Loans[[#This Row],[LoanAmount]]=0,0,Loans[[#This Row],[CollateralValue]]/Loans[[#This Row],[LoanAmount]])</f>
        <v>1.34</v>
      </c>
      <c r="O831" t="str">
        <f>IF(Loans[[#This Row],[CollateralCoverageRatio]]&lt;1,"Undersecured","Secured")</f>
        <v>Secured</v>
      </c>
      <c r="P831" t="str">
        <f>_xlfn.XLOOKUP(Loans[[#This Row],[BranchCode]],BranchesTbl[BranchCode],BranchesTbl[BranchName])</f>
        <v>Nyahururu</v>
      </c>
      <c r="Q831">
        <f>_xlfn.XLOOKUP(Loans[[#This Row],[CustomerID]],CustomerTbl[CustomerID],CustomerTbl[RiskScore])</f>
        <v>611</v>
      </c>
      <c r="R831" t="str">
        <f>IFERROR(INDEX(RiskTbl[Risk_Category],MATCH(Loans[[#This Row],[RiskScore]],RiskTbl[Score_Min],1)),"Unknown")</f>
        <v>Medium Risk</v>
      </c>
      <c r="S831" t="str">
        <f>IF(OR(Loans[[#This Row],[LoanStatus]]="Default",Loans[[#This Row],[LoanStatus]]="Watchlist",Loans[[#This Row],[CollateralRisk]]="Undersecured",Loans[[#This Row],[RiskCategory]]="High Risk"),"High Risk Exposure","Normal")</f>
        <v>High Risk Exposure</v>
      </c>
      <c r="T831" t="str" cm="1">
        <f t="array" ref="T831">_xlfn.IFS(
Loans[[#This Row],[LoanStatus]]="Default","Critical",
OR(Loans[[#This Row],[LoanStatus]]="Watchlist",Loans[[#This Row],[CollateralRisk]]="Undersecured",Loans[[#This Row],[RiskCategory]]="High Risk"),"High",
TRUE,"Normal"
)</f>
        <v>Critical</v>
      </c>
    </row>
    <row r="832" spans="1:20" x14ac:dyDescent="0.35">
      <c r="A832" t="s">
        <v>1509</v>
      </c>
      <c r="B832" t="s">
        <v>988</v>
      </c>
      <c r="C832" t="s">
        <v>187</v>
      </c>
      <c r="D832" t="s">
        <v>155</v>
      </c>
      <c r="E832" s="34">
        <v>1000000</v>
      </c>
      <c r="F832" s="29">
        <v>0.23130000000000001</v>
      </c>
      <c r="G832" s="30">
        <v>45833</v>
      </c>
      <c r="H832">
        <v>36</v>
      </c>
      <c r="I832">
        <v>90</v>
      </c>
      <c r="J832" s="34">
        <v>0</v>
      </c>
      <c r="K832" t="s">
        <v>199</v>
      </c>
      <c r="L832" s="34">
        <f>PMT(Loans[[#This Row],[InterestRate]]/12,Loans[[#This Row],[LoanTenureMonths]],-Loans[[#This Row],[LoanAmount]])</f>
        <v>38777.510587136305</v>
      </c>
      <c r="M832" s="30">
        <f>EDATE(Loans[[#This Row],[LoanStartDate]],Loans[[#This Row],[LoanTenureMonths]])</f>
        <v>46929</v>
      </c>
      <c r="N832" s="33">
        <f>IF(Loans[[#This Row],[LoanAmount]]=0,0,Loans[[#This Row],[CollateralValue]]/Loans[[#This Row],[LoanAmount]])</f>
        <v>0</v>
      </c>
      <c r="O832" t="str">
        <f>IF(Loans[[#This Row],[CollateralCoverageRatio]]&lt;1,"Undersecured","Secured")</f>
        <v>Undersecured</v>
      </c>
      <c r="P832" t="str">
        <f>_xlfn.XLOOKUP(Loans[[#This Row],[BranchCode]],BranchesTbl[BranchCode],BranchesTbl[BranchName])</f>
        <v>Eldoret</v>
      </c>
      <c r="Q832">
        <f>_xlfn.XLOOKUP(Loans[[#This Row],[CustomerID]],CustomerTbl[CustomerID],CustomerTbl[RiskScore])</f>
        <v>549</v>
      </c>
      <c r="R832" t="str">
        <f>IFERROR(INDEX(RiskTbl[Risk_Category],MATCH(Loans[[#This Row],[RiskScore]],RiskTbl[Score_Min],1)),"Unknown")</f>
        <v>High Risk</v>
      </c>
      <c r="S832" t="str">
        <f>IF(OR(Loans[[#This Row],[LoanStatus]]="Default",Loans[[#This Row],[LoanStatus]]="Watchlist",Loans[[#This Row],[CollateralRisk]]="Undersecured",Loans[[#This Row],[RiskCategory]]="High Risk"),"High Risk Exposure","Normal")</f>
        <v>High Risk Exposure</v>
      </c>
      <c r="T832" t="str" cm="1">
        <f t="array" ref="T832">_xlfn.IFS(
Loans[[#This Row],[LoanStatus]]="Default","Critical",
OR(Loans[[#This Row],[LoanStatus]]="Watchlist",Loans[[#This Row],[CollateralRisk]]="Undersecured",Loans[[#This Row],[RiskCategory]]="High Risk"),"High",
TRUE,"Normal"
)</f>
        <v>High</v>
      </c>
    </row>
    <row r="833" spans="1:20" x14ac:dyDescent="0.35">
      <c r="A833" t="s">
        <v>1510</v>
      </c>
      <c r="B833" t="s">
        <v>1222</v>
      </c>
      <c r="C833" t="s">
        <v>181</v>
      </c>
      <c r="D833" t="s">
        <v>155</v>
      </c>
      <c r="E833" s="34">
        <v>500000</v>
      </c>
      <c r="F833" s="29">
        <v>0.1663</v>
      </c>
      <c r="G833" s="30">
        <v>44081</v>
      </c>
      <c r="H833">
        <v>72</v>
      </c>
      <c r="I833">
        <v>20</v>
      </c>
      <c r="J833" s="34">
        <v>0</v>
      </c>
      <c r="K833" t="s">
        <v>171</v>
      </c>
      <c r="L833" s="34">
        <f>PMT(Loans[[#This Row],[InterestRate]]/12,Loans[[#This Row],[LoanTenureMonths]],-Loans[[#This Row],[LoanAmount]])</f>
        <v>11020.089833415597</v>
      </c>
      <c r="M833" s="30">
        <f>EDATE(Loans[[#This Row],[LoanStartDate]],Loans[[#This Row],[LoanTenureMonths]])</f>
        <v>46272</v>
      </c>
      <c r="N833" s="33">
        <f>IF(Loans[[#This Row],[LoanAmount]]=0,0,Loans[[#This Row],[CollateralValue]]/Loans[[#This Row],[LoanAmount]])</f>
        <v>0</v>
      </c>
      <c r="O833" t="str">
        <f>IF(Loans[[#This Row],[CollateralCoverageRatio]]&lt;1,"Undersecured","Secured")</f>
        <v>Undersecured</v>
      </c>
      <c r="P833" t="str">
        <f>_xlfn.XLOOKUP(Loans[[#This Row],[BranchCode]],BranchesTbl[BranchCode],BranchesTbl[BranchName])</f>
        <v>Kitale</v>
      </c>
      <c r="Q833">
        <f>_xlfn.XLOOKUP(Loans[[#This Row],[CustomerID]],CustomerTbl[CustomerID],CustomerTbl[RiskScore])</f>
        <v>472</v>
      </c>
      <c r="R833" t="str">
        <f>IFERROR(INDEX(RiskTbl[Risk_Category],MATCH(Loans[[#This Row],[RiskScore]],RiskTbl[Score_Min],1)),"Unknown")</f>
        <v>High Risk</v>
      </c>
      <c r="S833" t="str">
        <f>IF(OR(Loans[[#This Row],[LoanStatus]]="Default",Loans[[#This Row],[LoanStatus]]="Watchlist",Loans[[#This Row],[CollateralRisk]]="Undersecured",Loans[[#This Row],[RiskCategory]]="High Risk"),"High Risk Exposure","Normal")</f>
        <v>High Risk Exposure</v>
      </c>
      <c r="T833" t="str" cm="1">
        <f t="array" ref="T833">_xlfn.IFS(
Loans[[#This Row],[LoanStatus]]="Default","Critical",
OR(Loans[[#This Row],[LoanStatus]]="Watchlist",Loans[[#This Row],[CollateralRisk]]="Undersecured",Loans[[#This Row],[RiskCategory]]="High Risk"),"High",
TRUE,"Normal"
)</f>
        <v>High</v>
      </c>
    </row>
    <row r="834" spans="1:20" x14ac:dyDescent="0.35">
      <c r="A834" t="s">
        <v>1511</v>
      </c>
      <c r="B834" t="s">
        <v>990</v>
      </c>
      <c r="C834" t="s">
        <v>187</v>
      </c>
      <c r="D834" t="s">
        <v>157</v>
      </c>
      <c r="E834" s="34">
        <v>25000000</v>
      </c>
      <c r="F834" s="29">
        <v>0.11650000000000001</v>
      </c>
      <c r="G834" s="30">
        <v>45590</v>
      </c>
      <c r="H834">
        <v>12</v>
      </c>
      <c r="I834">
        <v>0</v>
      </c>
      <c r="J834" s="34">
        <v>19500000</v>
      </c>
      <c r="K834" t="s">
        <v>171</v>
      </c>
      <c r="L834" s="34">
        <f>PMT(Loans[[#This Row],[InterestRate]]/12,Loans[[#This Row],[LoanTenureMonths]],-Loans[[#This Row],[LoanAmount]])</f>
        <v>2217128.4669128102</v>
      </c>
      <c r="M834" s="30">
        <f>EDATE(Loans[[#This Row],[LoanStartDate]],Loans[[#This Row],[LoanTenureMonths]])</f>
        <v>45955</v>
      </c>
      <c r="N834" s="33">
        <f>IF(Loans[[#This Row],[LoanAmount]]=0,0,Loans[[#This Row],[CollateralValue]]/Loans[[#This Row],[LoanAmount]])</f>
        <v>0.78</v>
      </c>
      <c r="O834" t="str">
        <f>IF(Loans[[#This Row],[CollateralCoverageRatio]]&lt;1,"Undersecured","Secured")</f>
        <v>Undersecured</v>
      </c>
      <c r="P834" t="str">
        <f>_xlfn.XLOOKUP(Loans[[#This Row],[BranchCode]],BranchesTbl[BranchCode],BranchesTbl[BranchName])</f>
        <v>Eldoret</v>
      </c>
      <c r="Q834">
        <f>_xlfn.XLOOKUP(Loans[[#This Row],[CustomerID]],CustomerTbl[CustomerID],CustomerTbl[RiskScore])</f>
        <v>324</v>
      </c>
      <c r="R834" t="str">
        <f>IFERROR(INDEX(RiskTbl[Risk_Category],MATCH(Loans[[#This Row],[RiskScore]],RiskTbl[Score_Min],1)),"Unknown")</f>
        <v>High Risk</v>
      </c>
      <c r="S834" t="str">
        <f>IF(OR(Loans[[#This Row],[LoanStatus]]="Default",Loans[[#This Row],[LoanStatus]]="Watchlist",Loans[[#This Row],[CollateralRisk]]="Undersecured",Loans[[#This Row],[RiskCategory]]="High Risk"),"High Risk Exposure","Normal")</f>
        <v>High Risk Exposure</v>
      </c>
      <c r="T834" t="str" cm="1">
        <f t="array" ref="T834">_xlfn.IFS(
Loans[[#This Row],[LoanStatus]]="Default","Critical",
OR(Loans[[#This Row],[LoanStatus]]="Watchlist",Loans[[#This Row],[CollateralRisk]]="Undersecured",Loans[[#This Row],[RiskCategory]]="High Risk"),"High",
TRUE,"Normal"
)</f>
        <v>High</v>
      </c>
    </row>
    <row r="835" spans="1:20" x14ac:dyDescent="0.35">
      <c r="A835" t="s">
        <v>1512</v>
      </c>
      <c r="B835" t="s">
        <v>1513</v>
      </c>
      <c r="C835" t="s">
        <v>206</v>
      </c>
      <c r="D835" t="s">
        <v>155</v>
      </c>
      <c r="E835" s="34">
        <v>1000000</v>
      </c>
      <c r="F835" s="29">
        <v>0.1704</v>
      </c>
      <c r="G835" s="30">
        <v>45336</v>
      </c>
      <c r="H835">
        <v>24</v>
      </c>
      <c r="I835">
        <v>5</v>
      </c>
      <c r="J835" s="34">
        <v>0</v>
      </c>
      <c r="K835" t="s">
        <v>171</v>
      </c>
      <c r="L835" s="34">
        <f>PMT(Loans[[#This Row],[InterestRate]]/12,Loans[[#This Row],[LoanTenureMonths]],-Loans[[#This Row],[LoanAmount]])</f>
        <v>49461.486107750279</v>
      </c>
      <c r="M835" s="30">
        <f>EDATE(Loans[[#This Row],[LoanStartDate]],Loans[[#This Row],[LoanTenureMonths]])</f>
        <v>46067</v>
      </c>
      <c r="N835" s="33">
        <f>IF(Loans[[#This Row],[LoanAmount]]=0,0,Loans[[#This Row],[CollateralValue]]/Loans[[#This Row],[LoanAmount]])</f>
        <v>0</v>
      </c>
      <c r="O835" t="str">
        <f>IF(Loans[[#This Row],[CollateralCoverageRatio]]&lt;1,"Undersecured","Secured")</f>
        <v>Undersecured</v>
      </c>
      <c r="P835" t="str">
        <f>_xlfn.XLOOKUP(Loans[[#This Row],[BranchCode]],BranchesTbl[BranchCode],BranchesTbl[BranchName])</f>
        <v>Nyahururu</v>
      </c>
      <c r="Q835">
        <f>_xlfn.XLOOKUP(Loans[[#This Row],[CustomerID]],CustomerTbl[CustomerID],CustomerTbl[RiskScore])</f>
        <v>534</v>
      </c>
      <c r="R835" t="str">
        <f>IFERROR(INDEX(RiskTbl[Risk_Category],MATCH(Loans[[#This Row],[RiskScore]],RiskTbl[Score_Min],1)),"Unknown")</f>
        <v>High Risk</v>
      </c>
      <c r="S835" t="str">
        <f>IF(OR(Loans[[#This Row],[LoanStatus]]="Default",Loans[[#This Row],[LoanStatus]]="Watchlist",Loans[[#This Row],[CollateralRisk]]="Undersecured",Loans[[#This Row],[RiskCategory]]="High Risk"),"High Risk Exposure","Normal")</f>
        <v>High Risk Exposure</v>
      </c>
      <c r="T835" t="str" cm="1">
        <f t="array" ref="T835">_xlfn.IFS(
Loans[[#This Row],[LoanStatus]]="Default","Critical",
OR(Loans[[#This Row],[LoanStatus]]="Watchlist",Loans[[#This Row],[CollateralRisk]]="Undersecured",Loans[[#This Row],[RiskCategory]]="High Risk"),"High",
TRUE,"Normal"
)</f>
        <v>High</v>
      </c>
    </row>
    <row r="836" spans="1:20" x14ac:dyDescent="0.35">
      <c r="A836" t="s">
        <v>1514</v>
      </c>
      <c r="B836" t="s">
        <v>1290</v>
      </c>
      <c r="C836" t="s">
        <v>267</v>
      </c>
      <c r="D836" t="s">
        <v>155</v>
      </c>
      <c r="E836" s="34">
        <v>100000</v>
      </c>
      <c r="F836" s="29">
        <v>0.1731</v>
      </c>
      <c r="G836" s="30">
        <v>43883</v>
      </c>
      <c r="H836">
        <v>24</v>
      </c>
      <c r="I836">
        <v>0</v>
      </c>
      <c r="J836" s="34">
        <v>0</v>
      </c>
      <c r="K836" t="s">
        <v>171</v>
      </c>
      <c r="L836" s="34">
        <f>PMT(Loans[[#This Row],[InterestRate]]/12,Loans[[#This Row],[LoanTenureMonths]],-Loans[[#This Row],[LoanAmount]])</f>
        <v>4959.1347063603016</v>
      </c>
      <c r="M836" s="30">
        <f>EDATE(Loans[[#This Row],[LoanStartDate]],Loans[[#This Row],[LoanTenureMonths]])</f>
        <v>44614</v>
      </c>
      <c r="N836" s="33">
        <f>IF(Loans[[#This Row],[LoanAmount]]=0,0,Loans[[#This Row],[CollateralValue]]/Loans[[#This Row],[LoanAmount]])</f>
        <v>0</v>
      </c>
      <c r="O836" t="str">
        <f>IF(Loans[[#This Row],[CollateralCoverageRatio]]&lt;1,"Undersecured","Secured")</f>
        <v>Undersecured</v>
      </c>
      <c r="P836" t="str">
        <f>_xlfn.XLOOKUP(Loans[[#This Row],[BranchCode]],BranchesTbl[BranchCode],BranchesTbl[BranchName])</f>
        <v>Malindi</v>
      </c>
      <c r="Q836">
        <f>_xlfn.XLOOKUP(Loans[[#This Row],[CustomerID]],CustomerTbl[CustomerID],CustomerTbl[RiskScore])</f>
        <v>559</v>
      </c>
      <c r="R836" t="str">
        <f>IFERROR(INDEX(RiskTbl[Risk_Category],MATCH(Loans[[#This Row],[RiskScore]],RiskTbl[Score_Min],1)),"Unknown")</f>
        <v>High Risk</v>
      </c>
      <c r="S836" t="str">
        <f>IF(OR(Loans[[#This Row],[LoanStatus]]="Default",Loans[[#This Row],[LoanStatus]]="Watchlist",Loans[[#This Row],[CollateralRisk]]="Undersecured",Loans[[#This Row],[RiskCategory]]="High Risk"),"High Risk Exposure","Normal")</f>
        <v>High Risk Exposure</v>
      </c>
      <c r="T836" t="str" cm="1">
        <f t="array" ref="T836">_xlfn.IFS(
Loans[[#This Row],[LoanStatus]]="Default","Critical",
OR(Loans[[#This Row],[LoanStatus]]="Watchlist",Loans[[#This Row],[CollateralRisk]]="Undersecured",Loans[[#This Row],[RiskCategory]]="High Risk"),"High",
TRUE,"Normal"
)</f>
        <v>High</v>
      </c>
    </row>
    <row r="837" spans="1:20" x14ac:dyDescent="0.35">
      <c r="A837" t="s">
        <v>1515</v>
      </c>
      <c r="B837" t="s">
        <v>1516</v>
      </c>
      <c r="C837" t="s">
        <v>187</v>
      </c>
      <c r="D837" t="s">
        <v>156</v>
      </c>
      <c r="E837" s="34">
        <v>1000000</v>
      </c>
      <c r="F837" s="29">
        <v>0.15529999999999999</v>
      </c>
      <c r="G837" s="30">
        <v>44412</v>
      </c>
      <c r="H837">
        <v>24</v>
      </c>
      <c r="I837">
        <v>45</v>
      </c>
      <c r="J837" s="34">
        <v>1420000</v>
      </c>
      <c r="K837" t="s">
        <v>199</v>
      </c>
      <c r="L837" s="34">
        <f>PMT(Loans[[#This Row],[InterestRate]]/12,Loans[[#This Row],[LoanTenureMonths]],-Loans[[#This Row],[LoanAmount]])</f>
        <v>48738.837573387231</v>
      </c>
      <c r="M837" s="30">
        <f>EDATE(Loans[[#This Row],[LoanStartDate]],Loans[[#This Row],[LoanTenureMonths]])</f>
        <v>45142</v>
      </c>
      <c r="N837" s="33">
        <f>IF(Loans[[#This Row],[LoanAmount]]=0,0,Loans[[#This Row],[CollateralValue]]/Loans[[#This Row],[LoanAmount]])</f>
        <v>1.42</v>
      </c>
      <c r="O837" t="str">
        <f>IF(Loans[[#This Row],[CollateralCoverageRatio]]&lt;1,"Undersecured","Secured")</f>
        <v>Secured</v>
      </c>
      <c r="P837" t="str">
        <f>_xlfn.XLOOKUP(Loans[[#This Row],[BranchCode]],BranchesTbl[BranchCode],BranchesTbl[BranchName])</f>
        <v>Eldoret</v>
      </c>
      <c r="Q837">
        <f>_xlfn.XLOOKUP(Loans[[#This Row],[CustomerID]],CustomerTbl[CustomerID],CustomerTbl[RiskScore])</f>
        <v>626</v>
      </c>
      <c r="R837" t="str">
        <f>IFERROR(INDEX(RiskTbl[Risk_Category],MATCH(Loans[[#This Row],[RiskScore]],RiskTbl[Score_Min],1)),"Unknown")</f>
        <v>Medium Risk</v>
      </c>
      <c r="S837" t="str">
        <f>IF(OR(Loans[[#This Row],[LoanStatus]]="Default",Loans[[#This Row],[LoanStatus]]="Watchlist",Loans[[#This Row],[CollateralRisk]]="Undersecured",Loans[[#This Row],[RiskCategory]]="High Risk"),"High Risk Exposure","Normal")</f>
        <v>High Risk Exposure</v>
      </c>
      <c r="T837" t="str" cm="1">
        <f t="array" ref="T837">_xlfn.IFS(
Loans[[#This Row],[LoanStatus]]="Default","Critical",
OR(Loans[[#This Row],[LoanStatus]]="Watchlist",Loans[[#This Row],[CollateralRisk]]="Undersecured",Loans[[#This Row],[RiskCategory]]="High Risk"),"High",
TRUE,"Normal"
)</f>
        <v>High</v>
      </c>
    </row>
    <row r="838" spans="1:20" x14ac:dyDescent="0.35">
      <c r="A838" t="s">
        <v>1517</v>
      </c>
      <c r="B838" t="s">
        <v>1357</v>
      </c>
      <c r="C838" t="s">
        <v>187</v>
      </c>
      <c r="D838" t="s">
        <v>156</v>
      </c>
      <c r="E838" s="34">
        <v>25000000</v>
      </c>
      <c r="F838" s="29">
        <v>0.1741</v>
      </c>
      <c r="G838" s="30">
        <v>45730</v>
      </c>
      <c r="H838">
        <v>36</v>
      </c>
      <c r="I838">
        <v>0</v>
      </c>
      <c r="J838" s="34">
        <v>33250000</v>
      </c>
      <c r="K838" t="s">
        <v>171</v>
      </c>
      <c r="L838" s="34">
        <f>PMT(Loans[[#This Row],[InterestRate]]/12,Loans[[#This Row],[LoanTenureMonths]],-Loans[[#This Row],[LoanAmount]])</f>
        <v>896427.79421584262</v>
      </c>
      <c r="M838" s="30">
        <f>EDATE(Loans[[#This Row],[LoanStartDate]],Loans[[#This Row],[LoanTenureMonths]])</f>
        <v>46826</v>
      </c>
      <c r="N838" s="33">
        <f>IF(Loans[[#This Row],[LoanAmount]]=0,0,Loans[[#This Row],[CollateralValue]]/Loans[[#This Row],[LoanAmount]])</f>
        <v>1.33</v>
      </c>
      <c r="O838" t="str">
        <f>IF(Loans[[#This Row],[CollateralCoverageRatio]]&lt;1,"Undersecured","Secured")</f>
        <v>Secured</v>
      </c>
      <c r="P838" t="str">
        <f>_xlfn.XLOOKUP(Loans[[#This Row],[BranchCode]],BranchesTbl[BranchCode],BranchesTbl[BranchName])</f>
        <v>Eldoret</v>
      </c>
      <c r="Q838">
        <f>_xlfn.XLOOKUP(Loans[[#This Row],[CustomerID]],CustomerTbl[CustomerID],CustomerTbl[RiskScore])</f>
        <v>311</v>
      </c>
      <c r="R838" t="str">
        <f>IFERROR(INDEX(RiskTbl[Risk_Category],MATCH(Loans[[#This Row],[RiskScore]],RiskTbl[Score_Min],1)),"Unknown")</f>
        <v>High Risk</v>
      </c>
      <c r="S838" t="str">
        <f>IF(OR(Loans[[#This Row],[LoanStatus]]="Default",Loans[[#This Row],[LoanStatus]]="Watchlist",Loans[[#This Row],[CollateralRisk]]="Undersecured",Loans[[#This Row],[RiskCategory]]="High Risk"),"High Risk Exposure","Normal")</f>
        <v>High Risk Exposure</v>
      </c>
      <c r="T838" t="str" cm="1">
        <f t="array" ref="T838">_xlfn.IFS(
Loans[[#This Row],[LoanStatus]]="Default","Critical",
OR(Loans[[#This Row],[LoanStatus]]="Watchlist",Loans[[#This Row],[CollateralRisk]]="Undersecured",Loans[[#This Row],[RiskCategory]]="High Risk"),"High",
TRUE,"Normal"
)</f>
        <v>High</v>
      </c>
    </row>
    <row r="839" spans="1:20" x14ac:dyDescent="0.35">
      <c r="A839" t="s">
        <v>1518</v>
      </c>
      <c r="B839" t="s">
        <v>893</v>
      </c>
      <c r="C839" t="s">
        <v>270</v>
      </c>
      <c r="D839" t="s">
        <v>157</v>
      </c>
      <c r="E839" s="34">
        <v>25000000</v>
      </c>
      <c r="F839" s="29">
        <v>0.1128</v>
      </c>
      <c r="G839" s="30">
        <v>45986</v>
      </c>
      <c r="H839">
        <v>72</v>
      </c>
      <c r="I839">
        <v>0</v>
      </c>
      <c r="J839" s="34">
        <v>30000000</v>
      </c>
      <c r="K839" t="s">
        <v>171</v>
      </c>
      <c r="L839" s="34">
        <f>PMT(Loans[[#This Row],[InterestRate]]/12,Loans[[#This Row],[LoanTenureMonths]],-Loans[[#This Row],[LoanAmount]])</f>
        <v>479445.00781212252</v>
      </c>
      <c r="M839" s="30">
        <f>EDATE(Loans[[#This Row],[LoanStartDate]],Loans[[#This Row],[LoanTenureMonths]])</f>
        <v>48177</v>
      </c>
      <c r="N839" s="33">
        <f>IF(Loans[[#This Row],[LoanAmount]]=0,0,Loans[[#This Row],[CollateralValue]]/Loans[[#This Row],[LoanAmount]])</f>
        <v>1.2</v>
      </c>
      <c r="O839" t="str">
        <f>IF(Loans[[#This Row],[CollateralCoverageRatio]]&lt;1,"Undersecured","Secured")</f>
        <v>Secured</v>
      </c>
      <c r="P839" t="str">
        <f>_xlfn.XLOOKUP(Loans[[#This Row],[BranchCode]],BranchesTbl[BranchCode],BranchesTbl[BranchName])</f>
        <v>Nakuru</v>
      </c>
      <c r="Q839">
        <f>_xlfn.XLOOKUP(Loans[[#This Row],[CustomerID]],CustomerTbl[CustomerID],CustomerTbl[RiskScore])</f>
        <v>764</v>
      </c>
      <c r="R839" t="str">
        <f>IFERROR(INDEX(RiskTbl[Risk_Category],MATCH(Loans[[#This Row],[RiskScore]],RiskTbl[Score_Min],1)),"Unknown")</f>
        <v>Very Low Risk</v>
      </c>
      <c r="S839" t="str">
        <f>IF(OR(Loans[[#This Row],[LoanStatus]]="Default",Loans[[#This Row],[LoanStatus]]="Watchlist",Loans[[#This Row],[CollateralRisk]]="Undersecured",Loans[[#This Row],[RiskCategory]]="High Risk"),"High Risk Exposure","Normal")</f>
        <v>Normal</v>
      </c>
      <c r="T839" t="str" cm="1">
        <f t="array" ref="T839">_xlfn.IFS(
Loans[[#This Row],[LoanStatus]]="Default","Critical",
OR(Loans[[#This Row],[LoanStatus]]="Watchlist",Loans[[#This Row],[CollateralRisk]]="Undersecured",Loans[[#This Row],[RiskCategory]]="High Risk"),"High",
TRUE,"Normal"
)</f>
        <v>Normal</v>
      </c>
    </row>
    <row r="840" spans="1:20" x14ac:dyDescent="0.35">
      <c r="A840" t="s">
        <v>1519</v>
      </c>
      <c r="B840" t="s">
        <v>415</v>
      </c>
      <c r="C840" t="s">
        <v>170</v>
      </c>
      <c r="D840" t="s">
        <v>157</v>
      </c>
      <c r="E840" s="34">
        <v>6000000</v>
      </c>
      <c r="F840" s="29">
        <v>0.13189999999999999</v>
      </c>
      <c r="G840" s="30">
        <v>45562</v>
      </c>
      <c r="H840">
        <v>24</v>
      </c>
      <c r="I840">
        <v>45</v>
      </c>
      <c r="J840" s="34">
        <v>6900000</v>
      </c>
      <c r="K840" t="s">
        <v>199</v>
      </c>
      <c r="L840" s="34">
        <f>PMT(Loans[[#This Row],[InterestRate]]/12,Loans[[#This Row],[LoanTenureMonths]],-Loans[[#This Row],[LoanAmount]])</f>
        <v>285786.6944760672</v>
      </c>
      <c r="M840" s="30">
        <f>EDATE(Loans[[#This Row],[LoanStartDate]],Loans[[#This Row],[LoanTenureMonths]])</f>
        <v>46292</v>
      </c>
      <c r="N840" s="33">
        <f>IF(Loans[[#This Row],[LoanAmount]]=0,0,Loans[[#This Row],[CollateralValue]]/Loans[[#This Row],[LoanAmount]])</f>
        <v>1.1499999999999999</v>
      </c>
      <c r="O840" t="str">
        <f>IF(Loans[[#This Row],[CollateralCoverageRatio]]&lt;1,"Undersecured","Secured")</f>
        <v>Secured</v>
      </c>
      <c r="P840" t="str">
        <f>_xlfn.XLOOKUP(Loans[[#This Row],[BranchCode]],BranchesTbl[BranchCode],BranchesTbl[BranchName])</f>
        <v>Thika</v>
      </c>
      <c r="Q840">
        <f>_xlfn.XLOOKUP(Loans[[#This Row],[CustomerID]],CustomerTbl[CustomerID],CustomerTbl[RiskScore])</f>
        <v>790</v>
      </c>
      <c r="R840" t="str">
        <f>IFERROR(INDEX(RiskTbl[Risk_Category],MATCH(Loans[[#This Row],[RiskScore]],RiskTbl[Score_Min],1)),"Unknown")</f>
        <v>Very Low Risk</v>
      </c>
      <c r="S840" t="str">
        <f>IF(OR(Loans[[#This Row],[LoanStatus]]="Default",Loans[[#This Row],[LoanStatus]]="Watchlist",Loans[[#This Row],[CollateralRisk]]="Undersecured",Loans[[#This Row],[RiskCategory]]="High Risk"),"High Risk Exposure","Normal")</f>
        <v>High Risk Exposure</v>
      </c>
      <c r="T840" t="str" cm="1">
        <f t="array" ref="T840">_xlfn.IFS(
Loans[[#This Row],[LoanStatus]]="Default","Critical",
OR(Loans[[#This Row],[LoanStatus]]="Watchlist",Loans[[#This Row],[CollateralRisk]]="Undersecured",Loans[[#This Row],[RiskCategory]]="High Risk"),"High",
TRUE,"Normal"
)</f>
        <v>High</v>
      </c>
    </row>
    <row r="841" spans="1:20" x14ac:dyDescent="0.35">
      <c r="A841" t="s">
        <v>1520</v>
      </c>
      <c r="B841" t="s">
        <v>1521</v>
      </c>
      <c r="C841" t="s">
        <v>181</v>
      </c>
      <c r="D841" t="s">
        <v>158</v>
      </c>
      <c r="E841" s="34">
        <v>3000000</v>
      </c>
      <c r="F841" s="29">
        <v>0.15920000000000001</v>
      </c>
      <c r="G841" s="30">
        <v>45753</v>
      </c>
      <c r="H841">
        <v>72</v>
      </c>
      <c r="I841">
        <v>10</v>
      </c>
      <c r="J841" s="34">
        <v>2730000</v>
      </c>
      <c r="K841" t="s">
        <v>171</v>
      </c>
      <c r="L841" s="34">
        <f>PMT(Loans[[#This Row],[InterestRate]]/12,Loans[[#This Row],[LoanTenureMonths]],-Loans[[#This Row],[LoanAmount]])</f>
        <v>64943.455657863196</v>
      </c>
      <c r="M841" s="30">
        <f>EDATE(Loans[[#This Row],[LoanStartDate]],Loans[[#This Row],[LoanTenureMonths]])</f>
        <v>47944</v>
      </c>
      <c r="N841" s="33">
        <f>IF(Loans[[#This Row],[LoanAmount]]=0,0,Loans[[#This Row],[CollateralValue]]/Loans[[#This Row],[LoanAmount]])</f>
        <v>0.91</v>
      </c>
      <c r="O841" t="str">
        <f>IF(Loans[[#This Row],[CollateralCoverageRatio]]&lt;1,"Undersecured","Secured")</f>
        <v>Undersecured</v>
      </c>
      <c r="P841" t="str">
        <f>_xlfn.XLOOKUP(Loans[[#This Row],[BranchCode]],BranchesTbl[BranchCode],BranchesTbl[BranchName])</f>
        <v>Kitale</v>
      </c>
      <c r="Q841">
        <f>_xlfn.XLOOKUP(Loans[[#This Row],[CustomerID]],CustomerTbl[CustomerID],CustomerTbl[RiskScore])</f>
        <v>397</v>
      </c>
      <c r="R841" t="str">
        <f>IFERROR(INDEX(RiskTbl[Risk_Category],MATCH(Loans[[#This Row],[RiskScore]],RiskTbl[Score_Min],1)),"Unknown")</f>
        <v>High Risk</v>
      </c>
      <c r="S841" t="str">
        <f>IF(OR(Loans[[#This Row],[LoanStatus]]="Default",Loans[[#This Row],[LoanStatus]]="Watchlist",Loans[[#This Row],[CollateralRisk]]="Undersecured",Loans[[#This Row],[RiskCategory]]="High Risk"),"High Risk Exposure","Normal")</f>
        <v>High Risk Exposure</v>
      </c>
      <c r="T841" t="str" cm="1">
        <f t="array" ref="T841">_xlfn.IFS(
Loans[[#This Row],[LoanStatus]]="Default","Critical",
OR(Loans[[#This Row],[LoanStatus]]="Watchlist",Loans[[#This Row],[CollateralRisk]]="Undersecured",Loans[[#This Row],[RiskCategory]]="High Risk"),"High",
TRUE,"Normal"
)</f>
        <v>High</v>
      </c>
    </row>
    <row r="842" spans="1:20" x14ac:dyDescent="0.35">
      <c r="A842" t="s">
        <v>1522</v>
      </c>
      <c r="B842" t="s">
        <v>770</v>
      </c>
      <c r="C842" t="s">
        <v>270</v>
      </c>
      <c r="D842" t="s">
        <v>157</v>
      </c>
      <c r="E842" s="34">
        <v>25000000</v>
      </c>
      <c r="F842" s="29">
        <v>0.1169</v>
      </c>
      <c r="G842" s="30">
        <v>45803</v>
      </c>
      <c r="H842">
        <v>12</v>
      </c>
      <c r="I842">
        <v>5</v>
      </c>
      <c r="J842" s="34">
        <v>36250000</v>
      </c>
      <c r="K842" t="s">
        <v>171</v>
      </c>
      <c r="L842" s="34">
        <f>PMT(Loans[[#This Row],[InterestRate]]/12,Loans[[#This Row],[LoanTenureMonths]],-Loans[[#This Row],[LoanAmount]])</f>
        <v>2217595.827962352</v>
      </c>
      <c r="M842" s="30">
        <f>EDATE(Loans[[#This Row],[LoanStartDate]],Loans[[#This Row],[LoanTenureMonths]])</f>
        <v>46168</v>
      </c>
      <c r="N842" s="33">
        <f>IF(Loans[[#This Row],[LoanAmount]]=0,0,Loans[[#This Row],[CollateralValue]]/Loans[[#This Row],[LoanAmount]])</f>
        <v>1.45</v>
      </c>
      <c r="O842" t="str">
        <f>IF(Loans[[#This Row],[CollateralCoverageRatio]]&lt;1,"Undersecured","Secured")</f>
        <v>Secured</v>
      </c>
      <c r="P842" t="str">
        <f>_xlfn.XLOOKUP(Loans[[#This Row],[BranchCode]],BranchesTbl[BranchCode],BranchesTbl[BranchName])</f>
        <v>Nakuru</v>
      </c>
      <c r="Q842">
        <f>_xlfn.XLOOKUP(Loans[[#This Row],[CustomerID]],CustomerTbl[CustomerID],CustomerTbl[RiskScore])</f>
        <v>633</v>
      </c>
      <c r="R842" t="str">
        <f>IFERROR(INDEX(RiskTbl[Risk_Category],MATCH(Loans[[#This Row],[RiskScore]],RiskTbl[Score_Min],1)),"Unknown")</f>
        <v>Medium Risk</v>
      </c>
      <c r="S842" t="str">
        <f>IF(OR(Loans[[#This Row],[LoanStatus]]="Default",Loans[[#This Row],[LoanStatus]]="Watchlist",Loans[[#This Row],[CollateralRisk]]="Undersecured",Loans[[#This Row],[RiskCategory]]="High Risk"),"High Risk Exposure","Normal")</f>
        <v>Normal</v>
      </c>
      <c r="T842" t="str" cm="1">
        <f t="array" ref="T842">_xlfn.IFS(
Loans[[#This Row],[LoanStatus]]="Default","Critical",
OR(Loans[[#This Row],[LoanStatus]]="Watchlist",Loans[[#This Row],[CollateralRisk]]="Undersecured",Loans[[#This Row],[RiskCategory]]="High Risk"),"High",
TRUE,"Normal"
)</f>
        <v>Normal</v>
      </c>
    </row>
    <row r="843" spans="1:20" x14ac:dyDescent="0.35">
      <c r="A843" t="s">
        <v>1523</v>
      </c>
      <c r="B843" t="s">
        <v>1398</v>
      </c>
      <c r="C843" t="s">
        <v>187</v>
      </c>
      <c r="D843" t="s">
        <v>155</v>
      </c>
      <c r="E843" s="34">
        <v>250000</v>
      </c>
      <c r="F843" s="29">
        <v>0.2787</v>
      </c>
      <c r="G843" s="30">
        <v>45222</v>
      </c>
      <c r="H843">
        <v>12</v>
      </c>
      <c r="I843">
        <v>0</v>
      </c>
      <c r="J843" s="34">
        <v>0</v>
      </c>
      <c r="K843" t="s">
        <v>171</v>
      </c>
      <c r="L843" s="34">
        <f>PMT(Loans[[#This Row],[InterestRate]]/12,Loans[[#This Row],[LoanTenureMonths]],-Loans[[#This Row],[LoanAmount]])</f>
        <v>24110.59936804965</v>
      </c>
      <c r="M843" s="30">
        <f>EDATE(Loans[[#This Row],[LoanStartDate]],Loans[[#This Row],[LoanTenureMonths]])</f>
        <v>45588</v>
      </c>
      <c r="N843" s="33">
        <f>IF(Loans[[#This Row],[LoanAmount]]=0,0,Loans[[#This Row],[CollateralValue]]/Loans[[#This Row],[LoanAmount]])</f>
        <v>0</v>
      </c>
      <c r="O843" t="str">
        <f>IF(Loans[[#This Row],[CollateralCoverageRatio]]&lt;1,"Undersecured","Secured")</f>
        <v>Undersecured</v>
      </c>
      <c r="P843" t="str">
        <f>_xlfn.XLOOKUP(Loans[[#This Row],[BranchCode]],BranchesTbl[BranchCode],BranchesTbl[BranchName])</f>
        <v>Eldoret</v>
      </c>
      <c r="Q843">
        <f>_xlfn.XLOOKUP(Loans[[#This Row],[CustomerID]],CustomerTbl[CustomerID],CustomerTbl[RiskScore])</f>
        <v>649</v>
      </c>
      <c r="R843" t="str">
        <f>IFERROR(INDEX(RiskTbl[Risk_Category],MATCH(Loans[[#This Row],[RiskScore]],RiskTbl[Score_Min],1)),"Unknown")</f>
        <v>Medium Risk</v>
      </c>
      <c r="S843" t="str">
        <f>IF(OR(Loans[[#This Row],[LoanStatus]]="Default",Loans[[#This Row],[LoanStatus]]="Watchlist",Loans[[#This Row],[CollateralRisk]]="Undersecured",Loans[[#This Row],[RiskCategory]]="High Risk"),"High Risk Exposure","Normal")</f>
        <v>High Risk Exposure</v>
      </c>
      <c r="T843" t="str" cm="1">
        <f t="array" ref="T843">_xlfn.IFS(
Loans[[#This Row],[LoanStatus]]="Default","Critical",
OR(Loans[[#This Row],[LoanStatus]]="Watchlist",Loans[[#This Row],[CollateralRisk]]="Undersecured",Loans[[#This Row],[RiskCategory]]="High Risk"),"High",
TRUE,"Normal"
)</f>
        <v>High</v>
      </c>
    </row>
    <row r="844" spans="1:20" x14ac:dyDescent="0.35">
      <c r="A844" t="s">
        <v>1524</v>
      </c>
      <c r="B844" t="s">
        <v>562</v>
      </c>
      <c r="C844" t="s">
        <v>187</v>
      </c>
      <c r="D844" t="s">
        <v>156</v>
      </c>
      <c r="E844" s="34">
        <v>6000000</v>
      </c>
      <c r="F844" s="29">
        <v>0.157</v>
      </c>
      <c r="G844" s="30">
        <v>45245</v>
      </c>
      <c r="H844">
        <v>48</v>
      </c>
      <c r="I844">
        <v>45</v>
      </c>
      <c r="J844" s="34">
        <v>3540000</v>
      </c>
      <c r="K844" t="s">
        <v>199</v>
      </c>
      <c r="L844" s="34">
        <f>PMT(Loans[[#This Row],[InterestRate]]/12,Loans[[#This Row],[LoanTenureMonths]],-Loans[[#This Row],[LoanAmount]])</f>
        <v>169121.2231700276</v>
      </c>
      <c r="M844" s="30">
        <f>EDATE(Loans[[#This Row],[LoanStartDate]],Loans[[#This Row],[LoanTenureMonths]])</f>
        <v>46706</v>
      </c>
      <c r="N844" s="33">
        <f>IF(Loans[[#This Row],[LoanAmount]]=0,0,Loans[[#This Row],[CollateralValue]]/Loans[[#This Row],[LoanAmount]])</f>
        <v>0.59</v>
      </c>
      <c r="O844" t="str">
        <f>IF(Loans[[#This Row],[CollateralCoverageRatio]]&lt;1,"Undersecured","Secured")</f>
        <v>Undersecured</v>
      </c>
      <c r="P844" t="str">
        <f>_xlfn.XLOOKUP(Loans[[#This Row],[BranchCode]],BranchesTbl[BranchCode],BranchesTbl[BranchName])</f>
        <v>Eldoret</v>
      </c>
      <c r="Q844">
        <f>_xlfn.XLOOKUP(Loans[[#This Row],[CustomerID]],CustomerTbl[CustomerID],CustomerTbl[RiskScore])</f>
        <v>767</v>
      </c>
      <c r="R844" t="str">
        <f>IFERROR(INDEX(RiskTbl[Risk_Category],MATCH(Loans[[#This Row],[RiskScore]],RiskTbl[Score_Min],1)),"Unknown")</f>
        <v>Very Low Risk</v>
      </c>
      <c r="S844" t="str">
        <f>IF(OR(Loans[[#This Row],[LoanStatus]]="Default",Loans[[#This Row],[LoanStatus]]="Watchlist",Loans[[#This Row],[CollateralRisk]]="Undersecured",Loans[[#This Row],[RiskCategory]]="High Risk"),"High Risk Exposure","Normal")</f>
        <v>High Risk Exposure</v>
      </c>
      <c r="T844" t="str" cm="1">
        <f t="array" ref="T844">_xlfn.IFS(
Loans[[#This Row],[LoanStatus]]="Default","Critical",
OR(Loans[[#This Row],[LoanStatus]]="Watchlist",Loans[[#This Row],[CollateralRisk]]="Undersecured",Loans[[#This Row],[RiskCategory]]="High Risk"),"High",
TRUE,"Normal"
)</f>
        <v>High</v>
      </c>
    </row>
    <row r="845" spans="1:20" x14ac:dyDescent="0.35">
      <c r="A845" t="s">
        <v>1525</v>
      </c>
      <c r="B845" t="s">
        <v>402</v>
      </c>
      <c r="C845" t="s">
        <v>193</v>
      </c>
      <c r="D845" t="s">
        <v>156</v>
      </c>
      <c r="E845" s="34">
        <v>1000000</v>
      </c>
      <c r="F845" s="29">
        <v>0.20730000000000001</v>
      </c>
      <c r="G845" s="30">
        <v>44932</v>
      </c>
      <c r="H845">
        <v>36</v>
      </c>
      <c r="I845">
        <v>0</v>
      </c>
      <c r="J845" s="34">
        <v>950000</v>
      </c>
      <c r="K845" t="s">
        <v>171</v>
      </c>
      <c r="L845" s="34">
        <f>PMT(Loans[[#This Row],[InterestRate]]/12,Loans[[#This Row],[LoanTenureMonths]],-Loans[[#This Row],[LoanAmount]])</f>
        <v>37536.581340325327</v>
      </c>
      <c r="M845" s="30">
        <f>EDATE(Loans[[#This Row],[LoanStartDate]],Loans[[#This Row],[LoanTenureMonths]])</f>
        <v>46028</v>
      </c>
      <c r="N845" s="33">
        <f>IF(Loans[[#This Row],[LoanAmount]]=0,0,Loans[[#This Row],[CollateralValue]]/Loans[[#This Row],[LoanAmount]])</f>
        <v>0.95</v>
      </c>
      <c r="O845" t="str">
        <f>IF(Loans[[#This Row],[CollateralCoverageRatio]]&lt;1,"Undersecured","Secured")</f>
        <v>Undersecured</v>
      </c>
      <c r="P845" t="str">
        <f>_xlfn.XLOOKUP(Loans[[#This Row],[BranchCode]],BranchesTbl[BranchCode],BranchesTbl[BranchName])</f>
        <v>Mombasa</v>
      </c>
      <c r="Q845">
        <f>_xlfn.XLOOKUP(Loans[[#This Row],[CustomerID]],CustomerTbl[CustomerID],CustomerTbl[RiskScore])</f>
        <v>376</v>
      </c>
      <c r="R845" t="str">
        <f>IFERROR(INDEX(RiskTbl[Risk_Category],MATCH(Loans[[#This Row],[RiskScore]],RiskTbl[Score_Min],1)),"Unknown")</f>
        <v>High Risk</v>
      </c>
      <c r="S845" t="str">
        <f>IF(OR(Loans[[#This Row],[LoanStatus]]="Default",Loans[[#This Row],[LoanStatus]]="Watchlist",Loans[[#This Row],[CollateralRisk]]="Undersecured",Loans[[#This Row],[RiskCategory]]="High Risk"),"High Risk Exposure","Normal")</f>
        <v>High Risk Exposure</v>
      </c>
      <c r="T845" t="str" cm="1">
        <f t="array" ref="T845">_xlfn.IFS(
Loans[[#This Row],[LoanStatus]]="Default","Critical",
OR(Loans[[#This Row],[LoanStatus]]="Watchlist",Loans[[#This Row],[CollateralRisk]]="Undersecured",Loans[[#This Row],[RiskCategory]]="High Risk"),"High",
TRUE,"Normal"
)</f>
        <v>High</v>
      </c>
    </row>
    <row r="846" spans="1:20" x14ac:dyDescent="0.35">
      <c r="A846" t="s">
        <v>1526</v>
      </c>
      <c r="B846" t="s">
        <v>1527</v>
      </c>
      <c r="C846" t="s">
        <v>232</v>
      </c>
      <c r="D846" t="s">
        <v>158</v>
      </c>
      <c r="E846" s="34">
        <v>6000000</v>
      </c>
      <c r="F846" s="29">
        <v>0.1207</v>
      </c>
      <c r="G846" s="30">
        <v>45975</v>
      </c>
      <c r="H846">
        <v>12</v>
      </c>
      <c r="I846">
        <v>0</v>
      </c>
      <c r="J846" s="34">
        <v>6060000</v>
      </c>
      <c r="K846" t="s">
        <v>171</v>
      </c>
      <c r="L846" s="34">
        <f>PMT(Loans[[#This Row],[InterestRate]]/12,Loans[[#This Row],[LoanTenureMonths]],-Loans[[#This Row],[LoanAmount]])</f>
        <v>533289.2317653721</v>
      </c>
      <c r="M846" s="30">
        <f>EDATE(Loans[[#This Row],[LoanStartDate]],Loans[[#This Row],[LoanTenureMonths]])</f>
        <v>46340</v>
      </c>
      <c r="N846" s="33">
        <f>IF(Loans[[#This Row],[LoanAmount]]=0,0,Loans[[#This Row],[CollateralValue]]/Loans[[#This Row],[LoanAmount]])</f>
        <v>1.01</v>
      </c>
      <c r="O846" t="str">
        <f>IF(Loans[[#This Row],[CollateralCoverageRatio]]&lt;1,"Undersecured","Secured")</f>
        <v>Secured</v>
      </c>
      <c r="P846" t="str">
        <f>_xlfn.XLOOKUP(Loans[[#This Row],[BranchCode]],BranchesTbl[BranchCode],BranchesTbl[BranchName])</f>
        <v>Upper Hill</v>
      </c>
      <c r="Q846">
        <f>_xlfn.XLOOKUP(Loans[[#This Row],[CustomerID]],CustomerTbl[CustomerID],CustomerTbl[RiskScore])</f>
        <v>657</v>
      </c>
      <c r="R846" t="str">
        <f>IFERROR(INDEX(RiskTbl[Risk_Category],MATCH(Loans[[#This Row],[RiskScore]],RiskTbl[Score_Min],1)),"Unknown")</f>
        <v>Medium Risk</v>
      </c>
      <c r="S846" t="str">
        <f>IF(OR(Loans[[#This Row],[LoanStatus]]="Default",Loans[[#This Row],[LoanStatus]]="Watchlist",Loans[[#This Row],[CollateralRisk]]="Undersecured",Loans[[#This Row],[RiskCategory]]="High Risk"),"High Risk Exposure","Normal")</f>
        <v>Normal</v>
      </c>
      <c r="T846" t="str" cm="1">
        <f t="array" ref="T846">_xlfn.IFS(
Loans[[#This Row],[LoanStatus]]="Default","Critical",
OR(Loans[[#This Row],[LoanStatus]]="Watchlist",Loans[[#This Row],[CollateralRisk]]="Undersecured",Loans[[#This Row],[RiskCategory]]="High Risk"),"High",
TRUE,"Normal"
)</f>
        <v>Normal</v>
      </c>
    </row>
    <row r="847" spans="1:20" x14ac:dyDescent="0.35">
      <c r="A847" t="s">
        <v>1528</v>
      </c>
      <c r="B847" t="s">
        <v>682</v>
      </c>
      <c r="C847" t="s">
        <v>174</v>
      </c>
      <c r="D847" t="s">
        <v>157</v>
      </c>
      <c r="E847" s="34">
        <v>80000000</v>
      </c>
      <c r="F847" s="29">
        <v>9.0200000000000002E-2</v>
      </c>
      <c r="G847" s="30">
        <v>44307</v>
      </c>
      <c r="H847">
        <v>36</v>
      </c>
      <c r="I847">
        <v>45</v>
      </c>
      <c r="J847" s="34">
        <v>59200000</v>
      </c>
      <c r="K847" t="s">
        <v>199</v>
      </c>
      <c r="L847" s="34">
        <f>PMT(Loans[[#This Row],[InterestRate]]/12,Loans[[#This Row],[LoanTenureMonths]],-Loans[[#This Row],[LoanAmount]])</f>
        <v>2544723.3386737532</v>
      </c>
      <c r="M847" s="30">
        <f>EDATE(Loans[[#This Row],[LoanStartDate]],Loans[[#This Row],[LoanTenureMonths]])</f>
        <v>45403</v>
      </c>
      <c r="N847" s="33">
        <f>IF(Loans[[#This Row],[LoanAmount]]=0,0,Loans[[#This Row],[CollateralValue]]/Loans[[#This Row],[LoanAmount]])</f>
        <v>0.74</v>
      </c>
      <c r="O847" t="str">
        <f>IF(Loans[[#This Row],[CollateralCoverageRatio]]&lt;1,"Undersecured","Secured")</f>
        <v>Undersecured</v>
      </c>
      <c r="P847" t="str">
        <f>_xlfn.XLOOKUP(Loans[[#This Row],[BranchCode]],BranchesTbl[BranchCode],BranchesTbl[BranchName])</f>
        <v>Westlands</v>
      </c>
      <c r="Q847">
        <f>_xlfn.XLOOKUP(Loans[[#This Row],[CustomerID]],CustomerTbl[CustomerID],CustomerTbl[RiskScore])</f>
        <v>700</v>
      </c>
      <c r="R847" t="str">
        <f>IFERROR(INDEX(RiskTbl[Risk_Category],MATCH(Loans[[#This Row],[RiskScore]],RiskTbl[Score_Min],1)),"Unknown")</f>
        <v>Low Risk</v>
      </c>
      <c r="S847" t="str">
        <f>IF(OR(Loans[[#This Row],[LoanStatus]]="Default",Loans[[#This Row],[LoanStatus]]="Watchlist",Loans[[#This Row],[CollateralRisk]]="Undersecured",Loans[[#This Row],[RiskCategory]]="High Risk"),"High Risk Exposure","Normal")</f>
        <v>High Risk Exposure</v>
      </c>
      <c r="T847" t="str" cm="1">
        <f t="array" ref="T847">_xlfn.IFS(
Loans[[#This Row],[LoanStatus]]="Default","Critical",
OR(Loans[[#This Row],[LoanStatus]]="Watchlist",Loans[[#This Row],[CollateralRisk]]="Undersecured",Loans[[#This Row],[RiskCategory]]="High Risk"),"High",
TRUE,"Normal"
)</f>
        <v>High</v>
      </c>
    </row>
    <row r="848" spans="1:20" x14ac:dyDescent="0.35">
      <c r="A848" t="s">
        <v>1529</v>
      </c>
      <c r="B848" t="s">
        <v>1530</v>
      </c>
      <c r="C848" t="s">
        <v>177</v>
      </c>
      <c r="D848" t="s">
        <v>158</v>
      </c>
      <c r="E848" s="34">
        <v>500000</v>
      </c>
      <c r="F848" s="29">
        <v>0.18529999999999999</v>
      </c>
      <c r="G848" s="30">
        <v>44218</v>
      </c>
      <c r="H848">
        <v>24</v>
      </c>
      <c r="I848">
        <v>5</v>
      </c>
      <c r="J848" s="34">
        <v>305000</v>
      </c>
      <c r="K848" t="s">
        <v>171</v>
      </c>
      <c r="L848" s="34">
        <f>PMT(Loans[[#This Row],[InterestRate]]/12,Loans[[#This Row],[LoanTenureMonths]],-Loans[[#This Row],[LoanAmount]])</f>
        <v>25090.281014869222</v>
      </c>
      <c r="M848" s="30">
        <f>EDATE(Loans[[#This Row],[LoanStartDate]],Loans[[#This Row],[LoanTenureMonths]])</f>
        <v>44948</v>
      </c>
      <c r="N848" s="33">
        <f>IF(Loans[[#This Row],[LoanAmount]]=0,0,Loans[[#This Row],[CollateralValue]]/Loans[[#This Row],[LoanAmount]])</f>
        <v>0.61</v>
      </c>
      <c r="O848" t="str">
        <f>IF(Loans[[#This Row],[CollateralCoverageRatio]]&lt;1,"Undersecured","Secured")</f>
        <v>Undersecured</v>
      </c>
      <c r="P848" t="str">
        <f>_xlfn.XLOOKUP(Loans[[#This Row],[BranchCode]],BranchesTbl[BranchCode],BranchesTbl[BranchName])</f>
        <v>Naivasha</v>
      </c>
      <c r="Q848">
        <f>_xlfn.XLOOKUP(Loans[[#This Row],[CustomerID]],CustomerTbl[CustomerID],CustomerTbl[RiskScore])</f>
        <v>316</v>
      </c>
      <c r="R848" t="str">
        <f>IFERROR(INDEX(RiskTbl[Risk_Category],MATCH(Loans[[#This Row],[RiskScore]],RiskTbl[Score_Min],1)),"Unknown")</f>
        <v>High Risk</v>
      </c>
      <c r="S848" t="str">
        <f>IF(OR(Loans[[#This Row],[LoanStatus]]="Default",Loans[[#This Row],[LoanStatus]]="Watchlist",Loans[[#This Row],[CollateralRisk]]="Undersecured",Loans[[#This Row],[RiskCategory]]="High Risk"),"High Risk Exposure","Normal")</f>
        <v>High Risk Exposure</v>
      </c>
      <c r="T848" t="str" cm="1">
        <f t="array" ref="T848">_xlfn.IFS(
Loans[[#This Row],[LoanStatus]]="Default","Critical",
OR(Loans[[#This Row],[LoanStatus]]="Watchlist",Loans[[#This Row],[CollateralRisk]]="Undersecured",Loans[[#This Row],[RiskCategory]]="High Risk"),"High",
TRUE,"Normal"
)</f>
        <v>High</v>
      </c>
    </row>
    <row r="849" spans="1:20" x14ac:dyDescent="0.35">
      <c r="A849" t="s">
        <v>1531</v>
      </c>
      <c r="B849" t="s">
        <v>1340</v>
      </c>
      <c r="C849" t="s">
        <v>170</v>
      </c>
      <c r="D849" t="s">
        <v>158</v>
      </c>
      <c r="E849" s="34">
        <v>6000000</v>
      </c>
      <c r="F849" s="29">
        <v>0.15679999999999999</v>
      </c>
      <c r="G849" s="30">
        <v>45054</v>
      </c>
      <c r="H849">
        <v>12</v>
      </c>
      <c r="I849">
        <v>90</v>
      </c>
      <c r="J849" s="34">
        <v>3300000</v>
      </c>
      <c r="K849" t="s">
        <v>199</v>
      </c>
      <c r="L849" s="34">
        <f>PMT(Loans[[#This Row],[InterestRate]]/12,Loans[[#This Row],[LoanTenureMonths]],-Loans[[#This Row],[LoanAmount]])</f>
        <v>543476.9787349354</v>
      </c>
      <c r="M849" s="30">
        <f>EDATE(Loans[[#This Row],[LoanStartDate]],Loans[[#This Row],[LoanTenureMonths]])</f>
        <v>45420</v>
      </c>
      <c r="N849" s="33">
        <f>IF(Loans[[#This Row],[LoanAmount]]=0,0,Loans[[#This Row],[CollateralValue]]/Loans[[#This Row],[LoanAmount]])</f>
        <v>0.55000000000000004</v>
      </c>
      <c r="O849" t="str">
        <f>IF(Loans[[#This Row],[CollateralCoverageRatio]]&lt;1,"Undersecured","Secured")</f>
        <v>Undersecured</v>
      </c>
      <c r="P849" t="str">
        <f>_xlfn.XLOOKUP(Loans[[#This Row],[BranchCode]],BranchesTbl[BranchCode],BranchesTbl[BranchName])</f>
        <v>Thika</v>
      </c>
      <c r="Q849">
        <f>_xlfn.XLOOKUP(Loans[[#This Row],[CustomerID]],CustomerTbl[CustomerID],CustomerTbl[RiskScore])</f>
        <v>325</v>
      </c>
      <c r="R849" t="str">
        <f>IFERROR(INDEX(RiskTbl[Risk_Category],MATCH(Loans[[#This Row],[RiskScore]],RiskTbl[Score_Min],1)),"Unknown")</f>
        <v>High Risk</v>
      </c>
      <c r="S849" t="str">
        <f>IF(OR(Loans[[#This Row],[LoanStatus]]="Default",Loans[[#This Row],[LoanStatus]]="Watchlist",Loans[[#This Row],[CollateralRisk]]="Undersecured",Loans[[#This Row],[RiskCategory]]="High Risk"),"High Risk Exposure","Normal")</f>
        <v>High Risk Exposure</v>
      </c>
      <c r="T849" t="str" cm="1">
        <f t="array" ref="T849">_xlfn.IFS(
Loans[[#This Row],[LoanStatus]]="Default","Critical",
OR(Loans[[#This Row],[LoanStatus]]="Watchlist",Loans[[#This Row],[CollateralRisk]]="Undersecured",Loans[[#This Row],[RiskCategory]]="High Risk"),"High",
TRUE,"Normal"
)</f>
        <v>High</v>
      </c>
    </row>
    <row r="850" spans="1:20" x14ac:dyDescent="0.35">
      <c r="A850" t="s">
        <v>1532</v>
      </c>
      <c r="B850" t="s">
        <v>542</v>
      </c>
      <c r="C850" t="s">
        <v>270</v>
      </c>
      <c r="D850" t="s">
        <v>156</v>
      </c>
      <c r="E850" s="34">
        <v>25000000</v>
      </c>
      <c r="F850" s="29">
        <v>0.22339999999999999</v>
      </c>
      <c r="G850" s="30">
        <v>45220</v>
      </c>
      <c r="H850">
        <v>36</v>
      </c>
      <c r="I850">
        <v>20</v>
      </c>
      <c r="J850" s="34">
        <v>13500000</v>
      </c>
      <c r="K850" t="s">
        <v>171</v>
      </c>
      <c r="L850" s="34">
        <f>PMT(Loans[[#This Row],[InterestRate]]/12,Loans[[#This Row],[LoanTenureMonths]],-Loans[[#This Row],[LoanAmount]])</f>
        <v>959164.24476994574</v>
      </c>
      <c r="M850" s="30">
        <f>EDATE(Loans[[#This Row],[LoanStartDate]],Loans[[#This Row],[LoanTenureMonths]])</f>
        <v>46316</v>
      </c>
      <c r="N850" s="33">
        <f>IF(Loans[[#This Row],[LoanAmount]]=0,0,Loans[[#This Row],[CollateralValue]]/Loans[[#This Row],[LoanAmount]])</f>
        <v>0.54</v>
      </c>
      <c r="O850" t="str">
        <f>IF(Loans[[#This Row],[CollateralCoverageRatio]]&lt;1,"Undersecured","Secured")</f>
        <v>Undersecured</v>
      </c>
      <c r="P850" t="str">
        <f>_xlfn.XLOOKUP(Loans[[#This Row],[BranchCode]],BranchesTbl[BranchCode],BranchesTbl[BranchName])</f>
        <v>Nakuru</v>
      </c>
      <c r="Q850">
        <f>_xlfn.XLOOKUP(Loans[[#This Row],[CustomerID]],CustomerTbl[CustomerID],CustomerTbl[RiskScore])</f>
        <v>466</v>
      </c>
      <c r="R850" t="str">
        <f>IFERROR(INDEX(RiskTbl[Risk_Category],MATCH(Loans[[#This Row],[RiskScore]],RiskTbl[Score_Min],1)),"Unknown")</f>
        <v>High Risk</v>
      </c>
      <c r="S850" t="str">
        <f>IF(OR(Loans[[#This Row],[LoanStatus]]="Default",Loans[[#This Row],[LoanStatus]]="Watchlist",Loans[[#This Row],[CollateralRisk]]="Undersecured",Loans[[#This Row],[RiskCategory]]="High Risk"),"High Risk Exposure","Normal")</f>
        <v>High Risk Exposure</v>
      </c>
      <c r="T850" t="str" cm="1">
        <f t="array" ref="T850">_xlfn.IFS(
Loans[[#This Row],[LoanStatus]]="Default","Critical",
OR(Loans[[#This Row],[LoanStatus]]="Watchlist",Loans[[#This Row],[CollateralRisk]]="Undersecured",Loans[[#This Row],[RiskCategory]]="High Risk"),"High",
TRUE,"Normal"
)</f>
        <v>High</v>
      </c>
    </row>
    <row r="851" spans="1:20" x14ac:dyDescent="0.35">
      <c r="A851" t="s">
        <v>1533</v>
      </c>
      <c r="B851" t="s">
        <v>1534</v>
      </c>
      <c r="C851" t="s">
        <v>181</v>
      </c>
      <c r="D851" t="s">
        <v>158</v>
      </c>
      <c r="E851" s="34">
        <v>1000000</v>
      </c>
      <c r="F851" s="29">
        <v>0.1968</v>
      </c>
      <c r="G851" s="30">
        <v>45943</v>
      </c>
      <c r="H851">
        <v>36</v>
      </c>
      <c r="I851">
        <v>5</v>
      </c>
      <c r="J851" s="34">
        <v>1420000</v>
      </c>
      <c r="K851" t="s">
        <v>171</v>
      </c>
      <c r="L851" s="34">
        <f>PMT(Loans[[#This Row],[InterestRate]]/12,Loans[[#This Row],[LoanTenureMonths]],-Loans[[#This Row],[LoanAmount]])</f>
        <v>37000.735643337706</v>
      </c>
      <c r="M851" s="30">
        <f>EDATE(Loans[[#This Row],[LoanStartDate]],Loans[[#This Row],[LoanTenureMonths]])</f>
        <v>47039</v>
      </c>
      <c r="N851" s="33">
        <f>IF(Loans[[#This Row],[LoanAmount]]=0,0,Loans[[#This Row],[CollateralValue]]/Loans[[#This Row],[LoanAmount]])</f>
        <v>1.42</v>
      </c>
      <c r="O851" t="str">
        <f>IF(Loans[[#This Row],[CollateralCoverageRatio]]&lt;1,"Undersecured","Secured")</f>
        <v>Secured</v>
      </c>
      <c r="P851" t="str">
        <f>_xlfn.XLOOKUP(Loans[[#This Row],[BranchCode]],BranchesTbl[BranchCode],BranchesTbl[BranchName])</f>
        <v>Kitale</v>
      </c>
      <c r="Q851">
        <f>_xlfn.XLOOKUP(Loans[[#This Row],[CustomerID]],CustomerTbl[CustomerID],CustomerTbl[RiskScore])</f>
        <v>790</v>
      </c>
      <c r="R851" t="str">
        <f>IFERROR(INDEX(RiskTbl[Risk_Category],MATCH(Loans[[#This Row],[RiskScore]],RiskTbl[Score_Min],1)),"Unknown")</f>
        <v>Very Low Risk</v>
      </c>
      <c r="S851" t="str">
        <f>IF(OR(Loans[[#This Row],[LoanStatus]]="Default",Loans[[#This Row],[LoanStatus]]="Watchlist",Loans[[#This Row],[CollateralRisk]]="Undersecured",Loans[[#This Row],[RiskCategory]]="High Risk"),"High Risk Exposure","Normal")</f>
        <v>Normal</v>
      </c>
      <c r="T851" t="str" cm="1">
        <f t="array" ref="T851">_xlfn.IFS(
Loans[[#This Row],[LoanStatus]]="Default","Critical",
OR(Loans[[#This Row],[LoanStatus]]="Watchlist",Loans[[#This Row],[CollateralRisk]]="Undersecured",Loans[[#This Row],[RiskCategory]]="High Risk"),"High",
TRUE,"Normal"
)</f>
        <v>Normal</v>
      </c>
    </row>
    <row r="852" spans="1:20" x14ac:dyDescent="0.35">
      <c r="A852" t="s">
        <v>1535</v>
      </c>
      <c r="B852" t="s">
        <v>1189</v>
      </c>
      <c r="C852" t="s">
        <v>196</v>
      </c>
      <c r="D852" t="s">
        <v>156</v>
      </c>
      <c r="E852" s="34">
        <v>25000000</v>
      </c>
      <c r="F852" s="29">
        <v>0.1769</v>
      </c>
      <c r="G852" s="30">
        <v>45705</v>
      </c>
      <c r="H852">
        <v>48</v>
      </c>
      <c r="I852">
        <v>0</v>
      </c>
      <c r="J852" s="34">
        <v>13250000</v>
      </c>
      <c r="K852" t="s">
        <v>171</v>
      </c>
      <c r="L852" s="34">
        <f>PMT(Loans[[#This Row],[InterestRate]]/12,Loans[[#This Row],[LoanTenureMonths]],-Loans[[#This Row],[LoanAmount]])</f>
        <v>730331.48016692919</v>
      </c>
      <c r="M852" s="30">
        <f>EDATE(Loans[[#This Row],[LoanStartDate]],Loans[[#This Row],[LoanTenureMonths]])</f>
        <v>47166</v>
      </c>
      <c r="N852" s="33">
        <f>IF(Loans[[#This Row],[LoanAmount]]=0,0,Loans[[#This Row],[CollateralValue]]/Loans[[#This Row],[LoanAmount]])</f>
        <v>0.53</v>
      </c>
      <c r="O852" t="str">
        <f>IF(Loans[[#This Row],[CollateralCoverageRatio]]&lt;1,"Undersecured","Secured")</f>
        <v>Undersecured</v>
      </c>
      <c r="P852" t="str">
        <f>_xlfn.XLOOKUP(Loans[[#This Row],[BranchCode]],BranchesTbl[BranchCode],BranchesTbl[BranchName])</f>
        <v>Karen</v>
      </c>
      <c r="Q852">
        <f>_xlfn.XLOOKUP(Loans[[#This Row],[CustomerID]],CustomerTbl[CustomerID],CustomerTbl[RiskScore])</f>
        <v>520</v>
      </c>
      <c r="R852" t="str">
        <f>IFERROR(INDEX(RiskTbl[Risk_Category],MATCH(Loans[[#This Row],[RiskScore]],RiskTbl[Score_Min],1)),"Unknown")</f>
        <v>High Risk</v>
      </c>
      <c r="S852" t="str">
        <f>IF(OR(Loans[[#This Row],[LoanStatus]]="Default",Loans[[#This Row],[LoanStatus]]="Watchlist",Loans[[#This Row],[CollateralRisk]]="Undersecured",Loans[[#This Row],[RiskCategory]]="High Risk"),"High Risk Exposure","Normal")</f>
        <v>High Risk Exposure</v>
      </c>
      <c r="T852" t="str" cm="1">
        <f t="array" ref="T852">_xlfn.IFS(
Loans[[#This Row],[LoanStatus]]="Default","Critical",
OR(Loans[[#This Row],[LoanStatus]]="Watchlist",Loans[[#This Row],[CollateralRisk]]="Undersecured",Loans[[#This Row],[RiskCategory]]="High Risk"),"High",
TRUE,"Normal"
)</f>
        <v>High</v>
      </c>
    </row>
    <row r="853" spans="1:20" x14ac:dyDescent="0.35">
      <c r="A853" t="s">
        <v>1536</v>
      </c>
      <c r="B853" t="s">
        <v>1537</v>
      </c>
      <c r="C853" t="s">
        <v>219</v>
      </c>
      <c r="D853" t="s">
        <v>156</v>
      </c>
      <c r="E853" s="34">
        <v>6000000</v>
      </c>
      <c r="F853" s="29">
        <v>0.2228</v>
      </c>
      <c r="G853" s="30">
        <v>45476</v>
      </c>
      <c r="H853">
        <v>60</v>
      </c>
      <c r="I853">
        <v>45</v>
      </c>
      <c r="J853" s="34">
        <v>7020000</v>
      </c>
      <c r="K853" t="s">
        <v>199</v>
      </c>
      <c r="L853" s="34">
        <f>PMT(Loans[[#This Row],[InterestRate]]/12,Loans[[#This Row],[LoanTenureMonths]],-Loans[[#This Row],[LoanAmount]])</f>
        <v>166670.07665689048</v>
      </c>
      <c r="M853" s="30">
        <f>EDATE(Loans[[#This Row],[LoanStartDate]],Loans[[#This Row],[LoanTenureMonths]])</f>
        <v>47302</v>
      </c>
      <c r="N853" s="33">
        <f>IF(Loans[[#This Row],[LoanAmount]]=0,0,Loans[[#This Row],[CollateralValue]]/Loans[[#This Row],[LoanAmount]])</f>
        <v>1.17</v>
      </c>
      <c r="O853" t="str">
        <f>IF(Loans[[#This Row],[CollateralCoverageRatio]]&lt;1,"Undersecured","Secured")</f>
        <v>Secured</v>
      </c>
      <c r="P853" t="str">
        <f>_xlfn.XLOOKUP(Loans[[#This Row],[BranchCode]],BranchesTbl[BranchCode],BranchesTbl[BranchName])</f>
        <v>Meru</v>
      </c>
      <c r="Q853">
        <f>_xlfn.XLOOKUP(Loans[[#This Row],[CustomerID]],CustomerTbl[CustomerID],CustomerTbl[RiskScore])</f>
        <v>609</v>
      </c>
      <c r="R853" t="str">
        <f>IFERROR(INDEX(RiskTbl[Risk_Category],MATCH(Loans[[#This Row],[RiskScore]],RiskTbl[Score_Min],1)),"Unknown")</f>
        <v>Medium Risk</v>
      </c>
      <c r="S853" t="str">
        <f>IF(OR(Loans[[#This Row],[LoanStatus]]="Default",Loans[[#This Row],[LoanStatus]]="Watchlist",Loans[[#This Row],[CollateralRisk]]="Undersecured",Loans[[#This Row],[RiskCategory]]="High Risk"),"High Risk Exposure","Normal")</f>
        <v>High Risk Exposure</v>
      </c>
      <c r="T853" t="str" cm="1">
        <f t="array" ref="T853">_xlfn.IFS(
Loans[[#This Row],[LoanStatus]]="Default","Critical",
OR(Loans[[#This Row],[LoanStatus]]="Watchlist",Loans[[#This Row],[CollateralRisk]]="Undersecured",Loans[[#This Row],[RiskCategory]]="High Risk"),"High",
TRUE,"Normal"
)</f>
        <v>High</v>
      </c>
    </row>
    <row r="854" spans="1:20" x14ac:dyDescent="0.35">
      <c r="A854" t="s">
        <v>1538</v>
      </c>
      <c r="B854" t="s">
        <v>229</v>
      </c>
      <c r="C854" t="s">
        <v>239</v>
      </c>
      <c r="D854" t="s">
        <v>155</v>
      </c>
      <c r="E854" s="34">
        <v>100000</v>
      </c>
      <c r="F854" s="29">
        <v>0.186</v>
      </c>
      <c r="G854" s="30">
        <v>44748</v>
      </c>
      <c r="H854">
        <v>24</v>
      </c>
      <c r="I854">
        <v>120</v>
      </c>
      <c r="J854" s="34">
        <v>0</v>
      </c>
      <c r="K854" t="s">
        <v>178</v>
      </c>
      <c r="L854" s="34">
        <f>PMT(Loans[[#This Row],[InterestRate]]/12,Loans[[#This Row],[LoanTenureMonths]],-Loans[[#This Row],[LoanAmount]])</f>
        <v>5021.4490281729823</v>
      </c>
      <c r="M854" s="30">
        <f>EDATE(Loans[[#This Row],[LoanStartDate]],Loans[[#This Row],[LoanTenureMonths]])</f>
        <v>45479</v>
      </c>
      <c r="N854" s="33">
        <f>IF(Loans[[#This Row],[LoanAmount]]=0,0,Loans[[#This Row],[CollateralValue]]/Loans[[#This Row],[LoanAmount]])</f>
        <v>0</v>
      </c>
      <c r="O854" t="str">
        <f>IF(Loans[[#This Row],[CollateralCoverageRatio]]&lt;1,"Undersecured","Secured")</f>
        <v>Undersecured</v>
      </c>
      <c r="P854" t="str">
        <f>_xlfn.XLOOKUP(Loans[[#This Row],[BranchCode]],BranchesTbl[BranchCode],BranchesTbl[BranchName])</f>
        <v>Machakos</v>
      </c>
      <c r="Q854">
        <f>_xlfn.XLOOKUP(Loans[[#This Row],[CustomerID]],CustomerTbl[CustomerID],CustomerTbl[RiskScore])</f>
        <v>808</v>
      </c>
      <c r="R854" t="str">
        <f>IFERROR(INDEX(RiskTbl[Risk_Category],MATCH(Loans[[#This Row],[RiskScore]],RiskTbl[Score_Min],1)),"Unknown")</f>
        <v>Prime</v>
      </c>
      <c r="S854" t="str">
        <f>IF(OR(Loans[[#This Row],[LoanStatus]]="Default",Loans[[#This Row],[LoanStatus]]="Watchlist",Loans[[#This Row],[CollateralRisk]]="Undersecured",Loans[[#This Row],[RiskCategory]]="High Risk"),"High Risk Exposure","Normal")</f>
        <v>High Risk Exposure</v>
      </c>
      <c r="T854" t="str" cm="1">
        <f t="array" ref="T854">_xlfn.IFS(
Loans[[#This Row],[LoanStatus]]="Default","Critical",
OR(Loans[[#This Row],[LoanStatus]]="Watchlist",Loans[[#This Row],[CollateralRisk]]="Undersecured",Loans[[#This Row],[RiskCategory]]="High Risk"),"High",
TRUE,"Normal"
)</f>
        <v>Critical</v>
      </c>
    </row>
    <row r="855" spans="1:20" x14ac:dyDescent="0.35">
      <c r="A855" t="s">
        <v>1539</v>
      </c>
      <c r="B855" t="s">
        <v>507</v>
      </c>
      <c r="C855" t="s">
        <v>184</v>
      </c>
      <c r="D855" t="s">
        <v>155</v>
      </c>
      <c r="E855" s="34">
        <v>1000000</v>
      </c>
      <c r="F855" s="29">
        <v>0.2218</v>
      </c>
      <c r="G855" s="30">
        <v>44861</v>
      </c>
      <c r="H855">
        <v>36</v>
      </c>
      <c r="I855">
        <v>0</v>
      </c>
      <c r="J855" s="34">
        <v>0</v>
      </c>
      <c r="K855" t="s">
        <v>171</v>
      </c>
      <c r="L855" s="34">
        <f>PMT(Loans[[#This Row],[InterestRate]]/12,Loans[[#This Row],[LoanTenureMonths]],-Loans[[#This Row],[LoanAmount]])</f>
        <v>38283.635524724974</v>
      </c>
      <c r="M855" s="30">
        <f>EDATE(Loans[[#This Row],[LoanStartDate]],Loans[[#This Row],[LoanTenureMonths]])</f>
        <v>45957</v>
      </c>
      <c r="N855" s="33">
        <f>IF(Loans[[#This Row],[LoanAmount]]=0,0,Loans[[#This Row],[CollateralValue]]/Loans[[#This Row],[LoanAmount]])</f>
        <v>0</v>
      </c>
      <c r="O855" t="str">
        <f>IF(Loans[[#This Row],[CollateralCoverageRatio]]&lt;1,"Undersecured","Secured")</f>
        <v>Undersecured</v>
      </c>
      <c r="P855" t="str">
        <f>_xlfn.XLOOKUP(Loans[[#This Row],[BranchCode]],BranchesTbl[BranchCode],BranchesTbl[BranchName])</f>
        <v>Kisumu</v>
      </c>
      <c r="Q855">
        <f>_xlfn.XLOOKUP(Loans[[#This Row],[CustomerID]],CustomerTbl[CustomerID],CustomerTbl[RiskScore])</f>
        <v>576</v>
      </c>
      <c r="R855" t="str">
        <f>IFERROR(INDEX(RiskTbl[Risk_Category],MATCH(Loans[[#This Row],[RiskScore]],RiskTbl[Score_Min],1)),"Unknown")</f>
        <v>High Risk</v>
      </c>
      <c r="S855" t="str">
        <f>IF(OR(Loans[[#This Row],[LoanStatus]]="Default",Loans[[#This Row],[LoanStatus]]="Watchlist",Loans[[#This Row],[CollateralRisk]]="Undersecured",Loans[[#This Row],[RiskCategory]]="High Risk"),"High Risk Exposure","Normal")</f>
        <v>High Risk Exposure</v>
      </c>
      <c r="T855" t="str" cm="1">
        <f t="array" ref="T855">_xlfn.IFS(
Loans[[#This Row],[LoanStatus]]="Default","Critical",
OR(Loans[[#This Row],[LoanStatus]]="Watchlist",Loans[[#This Row],[CollateralRisk]]="Undersecured",Loans[[#This Row],[RiskCategory]]="High Risk"),"High",
TRUE,"Normal"
)</f>
        <v>High</v>
      </c>
    </row>
    <row r="856" spans="1:20" x14ac:dyDescent="0.35">
      <c r="A856" t="s">
        <v>1540</v>
      </c>
      <c r="B856" t="s">
        <v>1541</v>
      </c>
      <c r="C856" t="s">
        <v>181</v>
      </c>
      <c r="D856" t="s">
        <v>158</v>
      </c>
      <c r="E856" s="34">
        <v>1000000</v>
      </c>
      <c r="F856" s="29">
        <v>0.18010000000000001</v>
      </c>
      <c r="G856" s="30">
        <v>45477</v>
      </c>
      <c r="H856">
        <v>24</v>
      </c>
      <c r="I856">
        <v>5</v>
      </c>
      <c r="J856" s="34">
        <v>870000</v>
      </c>
      <c r="K856" t="s">
        <v>171</v>
      </c>
      <c r="L856" s="34">
        <f>PMT(Loans[[#This Row],[InterestRate]]/12,Loans[[#This Row],[LoanTenureMonths]],-Loans[[#This Row],[LoanAmount]])</f>
        <v>49928.933880731624</v>
      </c>
      <c r="M856" s="30">
        <f>EDATE(Loans[[#This Row],[LoanStartDate]],Loans[[#This Row],[LoanTenureMonths]])</f>
        <v>46207</v>
      </c>
      <c r="N856" s="33">
        <f>IF(Loans[[#This Row],[LoanAmount]]=0,0,Loans[[#This Row],[CollateralValue]]/Loans[[#This Row],[LoanAmount]])</f>
        <v>0.87</v>
      </c>
      <c r="O856" t="str">
        <f>IF(Loans[[#This Row],[CollateralCoverageRatio]]&lt;1,"Undersecured","Secured")</f>
        <v>Undersecured</v>
      </c>
      <c r="P856" t="str">
        <f>_xlfn.XLOOKUP(Loans[[#This Row],[BranchCode]],BranchesTbl[BranchCode],BranchesTbl[BranchName])</f>
        <v>Kitale</v>
      </c>
      <c r="Q856">
        <f>_xlfn.XLOOKUP(Loans[[#This Row],[CustomerID]],CustomerTbl[CustomerID],CustomerTbl[RiskScore])</f>
        <v>314</v>
      </c>
      <c r="R856" t="str">
        <f>IFERROR(INDEX(RiskTbl[Risk_Category],MATCH(Loans[[#This Row],[RiskScore]],RiskTbl[Score_Min],1)),"Unknown")</f>
        <v>High Risk</v>
      </c>
      <c r="S856" t="str">
        <f>IF(OR(Loans[[#This Row],[LoanStatus]]="Default",Loans[[#This Row],[LoanStatus]]="Watchlist",Loans[[#This Row],[CollateralRisk]]="Undersecured",Loans[[#This Row],[RiskCategory]]="High Risk"),"High Risk Exposure","Normal")</f>
        <v>High Risk Exposure</v>
      </c>
      <c r="T856" t="str" cm="1">
        <f t="array" ref="T856">_xlfn.IFS(
Loans[[#This Row],[LoanStatus]]="Default","Critical",
OR(Loans[[#This Row],[LoanStatus]]="Watchlist",Loans[[#This Row],[CollateralRisk]]="Undersecured",Loans[[#This Row],[RiskCategory]]="High Risk"),"High",
TRUE,"Normal"
)</f>
        <v>High</v>
      </c>
    </row>
    <row r="857" spans="1:20" x14ac:dyDescent="0.35">
      <c r="A857" t="s">
        <v>1542</v>
      </c>
      <c r="B857" t="s">
        <v>1272</v>
      </c>
      <c r="C857" t="s">
        <v>232</v>
      </c>
      <c r="D857" t="s">
        <v>155</v>
      </c>
      <c r="E857" s="34">
        <v>100000</v>
      </c>
      <c r="F857" s="29">
        <v>0.1623</v>
      </c>
      <c r="G857" s="30">
        <v>44447</v>
      </c>
      <c r="H857">
        <v>48</v>
      </c>
      <c r="I857">
        <v>120</v>
      </c>
      <c r="J857" s="34">
        <v>0</v>
      </c>
      <c r="K857" t="s">
        <v>178</v>
      </c>
      <c r="L857" s="34">
        <f>PMT(Loans[[#This Row],[InterestRate]]/12,Loans[[#This Row],[LoanTenureMonths]],-Loans[[#This Row],[LoanAmount]])</f>
        <v>2845.8214108072289</v>
      </c>
      <c r="M857" s="30">
        <f>EDATE(Loans[[#This Row],[LoanStartDate]],Loans[[#This Row],[LoanTenureMonths]])</f>
        <v>45908</v>
      </c>
      <c r="N857" s="33">
        <f>IF(Loans[[#This Row],[LoanAmount]]=0,0,Loans[[#This Row],[CollateralValue]]/Loans[[#This Row],[LoanAmount]])</f>
        <v>0</v>
      </c>
      <c r="O857" t="str">
        <f>IF(Loans[[#This Row],[CollateralCoverageRatio]]&lt;1,"Undersecured","Secured")</f>
        <v>Undersecured</v>
      </c>
      <c r="P857" t="str">
        <f>_xlfn.XLOOKUP(Loans[[#This Row],[BranchCode]],BranchesTbl[BranchCode],BranchesTbl[BranchName])</f>
        <v>Upper Hill</v>
      </c>
      <c r="Q857">
        <f>_xlfn.XLOOKUP(Loans[[#This Row],[CustomerID]],CustomerTbl[CustomerID],CustomerTbl[RiskScore])</f>
        <v>667</v>
      </c>
      <c r="R857" t="str">
        <f>IFERROR(INDEX(RiskTbl[Risk_Category],MATCH(Loans[[#This Row],[RiskScore]],RiskTbl[Score_Min],1)),"Unknown")</f>
        <v>Medium Risk</v>
      </c>
      <c r="S857" t="str">
        <f>IF(OR(Loans[[#This Row],[LoanStatus]]="Default",Loans[[#This Row],[LoanStatus]]="Watchlist",Loans[[#This Row],[CollateralRisk]]="Undersecured",Loans[[#This Row],[RiskCategory]]="High Risk"),"High Risk Exposure","Normal")</f>
        <v>High Risk Exposure</v>
      </c>
      <c r="T857" t="str" cm="1">
        <f t="array" ref="T857">_xlfn.IFS(
Loans[[#This Row],[LoanStatus]]="Default","Critical",
OR(Loans[[#This Row],[LoanStatus]]="Watchlist",Loans[[#This Row],[CollateralRisk]]="Undersecured",Loans[[#This Row],[RiskCategory]]="High Risk"),"High",
TRUE,"Normal"
)</f>
        <v>Critical</v>
      </c>
    </row>
    <row r="858" spans="1:20" x14ac:dyDescent="0.35">
      <c r="A858" t="s">
        <v>1543</v>
      </c>
      <c r="B858" t="s">
        <v>567</v>
      </c>
      <c r="C858" t="s">
        <v>170</v>
      </c>
      <c r="D858" t="s">
        <v>157</v>
      </c>
      <c r="E858" s="34">
        <v>25000000</v>
      </c>
      <c r="F858" s="29">
        <v>0.12920000000000001</v>
      </c>
      <c r="G858" s="30">
        <v>43931</v>
      </c>
      <c r="H858">
        <v>48</v>
      </c>
      <c r="I858">
        <v>120</v>
      </c>
      <c r="J858" s="34">
        <v>20000000</v>
      </c>
      <c r="K858" t="s">
        <v>178</v>
      </c>
      <c r="L858" s="34">
        <f>PMT(Loans[[#This Row],[InterestRate]]/12,Loans[[#This Row],[LoanTenureMonths]],-Loans[[#This Row],[LoanAmount]])</f>
        <v>669695.17254807823</v>
      </c>
      <c r="M858" s="30">
        <f>EDATE(Loans[[#This Row],[LoanStartDate]],Loans[[#This Row],[LoanTenureMonths]])</f>
        <v>45392</v>
      </c>
      <c r="N858" s="33">
        <f>IF(Loans[[#This Row],[LoanAmount]]=0,0,Loans[[#This Row],[CollateralValue]]/Loans[[#This Row],[LoanAmount]])</f>
        <v>0.8</v>
      </c>
      <c r="O858" t="str">
        <f>IF(Loans[[#This Row],[CollateralCoverageRatio]]&lt;1,"Undersecured","Secured")</f>
        <v>Undersecured</v>
      </c>
      <c r="P858" t="str">
        <f>_xlfn.XLOOKUP(Loans[[#This Row],[BranchCode]],BranchesTbl[BranchCode],BranchesTbl[BranchName])</f>
        <v>Thika</v>
      </c>
      <c r="Q858">
        <f>_xlfn.XLOOKUP(Loans[[#This Row],[CustomerID]],CustomerTbl[CustomerID],CustomerTbl[RiskScore])</f>
        <v>597</v>
      </c>
      <c r="R858" t="str">
        <f>IFERROR(INDEX(RiskTbl[Risk_Category],MATCH(Loans[[#This Row],[RiskScore]],RiskTbl[Score_Min],1)),"Unknown")</f>
        <v>Medium Risk</v>
      </c>
      <c r="S858" t="str">
        <f>IF(OR(Loans[[#This Row],[LoanStatus]]="Default",Loans[[#This Row],[LoanStatus]]="Watchlist",Loans[[#This Row],[CollateralRisk]]="Undersecured",Loans[[#This Row],[RiskCategory]]="High Risk"),"High Risk Exposure","Normal")</f>
        <v>High Risk Exposure</v>
      </c>
      <c r="T858" t="str" cm="1">
        <f t="array" ref="T858">_xlfn.IFS(
Loans[[#This Row],[LoanStatus]]="Default","Critical",
OR(Loans[[#This Row],[LoanStatus]]="Watchlist",Loans[[#This Row],[CollateralRisk]]="Undersecured",Loans[[#This Row],[RiskCategory]]="High Risk"),"High",
TRUE,"Normal"
)</f>
        <v>Critical</v>
      </c>
    </row>
    <row r="859" spans="1:20" x14ac:dyDescent="0.35">
      <c r="A859" t="s">
        <v>1544</v>
      </c>
      <c r="B859" t="s">
        <v>1403</v>
      </c>
      <c r="C859" t="s">
        <v>219</v>
      </c>
      <c r="D859" t="s">
        <v>157</v>
      </c>
      <c r="E859" s="34">
        <v>25000000</v>
      </c>
      <c r="F859" s="29">
        <v>0.1187</v>
      </c>
      <c r="G859" s="30">
        <v>44023</v>
      </c>
      <c r="H859">
        <v>12</v>
      </c>
      <c r="I859">
        <v>0</v>
      </c>
      <c r="J859" s="34">
        <v>25500000</v>
      </c>
      <c r="K859" t="s">
        <v>171</v>
      </c>
      <c r="L859" s="34">
        <f>PMT(Loans[[#This Row],[InterestRate]]/12,Loans[[#This Row],[LoanTenureMonths]],-Loans[[#This Row],[LoanAmount]])</f>
        <v>2219699.6246003872</v>
      </c>
      <c r="M859" s="30">
        <f>EDATE(Loans[[#This Row],[LoanStartDate]],Loans[[#This Row],[LoanTenureMonths]])</f>
        <v>44388</v>
      </c>
      <c r="N859" s="33">
        <f>IF(Loans[[#This Row],[LoanAmount]]=0,0,Loans[[#This Row],[CollateralValue]]/Loans[[#This Row],[LoanAmount]])</f>
        <v>1.02</v>
      </c>
      <c r="O859" t="str">
        <f>IF(Loans[[#This Row],[CollateralCoverageRatio]]&lt;1,"Undersecured","Secured")</f>
        <v>Secured</v>
      </c>
      <c r="P859" t="str">
        <f>_xlfn.XLOOKUP(Loans[[#This Row],[BranchCode]],BranchesTbl[BranchCode],BranchesTbl[BranchName])</f>
        <v>Meru</v>
      </c>
      <c r="Q859">
        <f>_xlfn.XLOOKUP(Loans[[#This Row],[CustomerID]],CustomerTbl[CustomerID],CustomerTbl[RiskScore])</f>
        <v>544</v>
      </c>
      <c r="R859" t="str">
        <f>IFERROR(INDEX(RiskTbl[Risk_Category],MATCH(Loans[[#This Row],[RiskScore]],RiskTbl[Score_Min],1)),"Unknown")</f>
        <v>High Risk</v>
      </c>
      <c r="S859" t="str">
        <f>IF(OR(Loans[[#This Row],[LoanStatus]]="Default",Loans[[#This Row],[LoanStatus]]="Watchlist",Loans[[#This Row],[CollateralRisk]]="Undersecured",Loans[[#This Row],[RiskCategory]]="High Risk"),"High Risk Exposure","Normal")</f>
        <v>High Risk Exposure</v>
      </c>
      <c r="T859" t="str" cm="1">
        <f t="array" ref="T859">_xlfn.IFS(
Loans[[#This Row],[LoanStatus]]="Default","Critical",
OR(Loans[[#This Row],[LoanStatus]]="Watchlist",Loans[[#This Row],[CollateralRisk]]="Undersecured",Loans[[#This Row],[RiskCategory]]="High Risk"),"High",
TRUE,"Normal"
)</f>
        <v>High</v>
      </c>
    </row>
    <row r="860" spans="1:20" x14ac:dyDescent="0.35">
      <c r="A860" t="s">
        <v>1545</v>
      </c>
      <c r="B860" t="s">
        <v>1281</v>
      </c>
      <c r="C860" t="s">
        <v>267</v>
      </c>
      <c r="D860" t="s">
        <v>155</v>
      </c>
      <c r="E860" s="34">
        <v>500000</v>
      </c>
      <c r="F860" s="29">
        <v>0.18090000000000001</v>
      </c>
      <c r="G860" s="30">
        <v>45758</v>
      </c>
      <c r="H860">
        <v>36</v>
      </c>
      <c r="I860">
        <v>0</v>
      </c>
      <c r="J860" s="34">
        <v>0</v>
      </c>
      <c r="K860" t="s">
        <v>171</v>
      </c>
      <c r="L860" s="34">
        <f>PMT(Loans[[#This Row],[InterestRate]]/12,Loans[[#This Row],[LoanTenureMonths]],-Loans[[#This Row],[LoanAmount]])</f>
        <v>18098.779990081835</v>
      </c>
      <c r="M860" s="30">
        <f>EDATE(Loans[[#This Row],[LoanStartDate]],Loans[[#This Row],[LoanTenureMonths]])</f>
        <v>46854</v>
      </c>
      <c r="N860" s="33">
        <f>IF(Loans[[#This Row],[LoanAmount]]=0,0,Loans[[#This Row],[CollateralValue]]/Loans[[#This Row],[LoanAmount]])</f>
        <v>0</v>
      </c>
      <c r="O860" t="str">
        <f>IF(Loans[[#This Row],[CollateralCoverageRatio]]&lt;1,"Undersecured","Secured")</f>
        <v>Undersecured</v>
      </c>
      <c r="P860" t="str">
        <f>_xlfn.XLOOKUP(Loans[[#This Row],[BranchCode]],BranchesTbl[BranchCode],BranchesTbl[BranchName])</f>
        <v>Malindi</v>
      </c>
      <c r="Q860">
        <f>_xlfn.XLOOKUP(Loans[[#This Row],[CustomerID]],CustomerTbl[CustomerID],CustomerTbl[RiskScore])</f>
        <v>322</v>
      </c>
      <c r="R860" t="str">
        <f>IFERROR(INDEX(RiskTbl[Risk_Category],MATCH(Loans[[#This Row],[RiskScore]],RiskTbl[Score_Min],1)),"Unknown")</f>
        <v>High Risk</v>
      </c>
      <c r="S860" t="str">
        <f>IF(OR(Loans[[#This Row],[LoanStatus]]="Default",Loans[[#This Row],[LoanStatus]]="Watchlist",Loans[[#This Row],[CollateralRisk]]="Undersecured",Loans[[#This Row],[RiskCategory]]="High Risk"),"High Risk Exposure","Normal")</f>
        <v>High Risk Exposure</v>
      </c>
      <c r="T860" t="str" cm="1">
        <f t="array" ref="T860">_xlfn.IFS(
Loans[[#This Row],[LoanStatus]]="Default","Critical",
OR(Loans[[#This Row],[LoanStatus]]="Watchlist",Loans[[#This Row],[CollateralRisk]]="Undersecured",Loans[[#This Row],[RiskCategory]]="High Risk"),"High",
TRUE,"Normal"
)</f>
        <v>High</v>
      </c>
    </row>
    <row r="861" spans="1:20" x14ac:dyDescent="0.35">
      <c r="A861" t="s">
        <v>1546</v>
      </c>
      <c r="B861" t="s">
        <v>1146</v>
      </c>
      <c r="C861" t="s">
        <v>190</v>
      </c>
      <c r="D861" t="s">
        <v>156</v>
      </c>
      <c r="E861" s="34">
        <v>3000000</v>
      </c>
      <c r="F861" s="29">
        <v>0.16669999999999999</v>
      </c>
      <c r="G861" s="30">
        <v>44031</v>
      </c>
      <c r="H861">
        <v>60</v>
      </c>
      <c r="I861">
        <v>0</v>
      </c>
      <c r="J861" s="34">
        <v>1860000</v>
      </c>
      <c r="K861" t="s">
        <v>171</v>
      </c>
      <c r="L861" s="34">
        <f>PMT(Loans[[#This Row],[InterestRate]]/12,Loans[[#This Row],[LoanTenureMonths]],-Loans[[#This Row],[LoanAmount]])</f>
        <v>74026.444730281801</v>
      </c>
      <c r="M861" s="30">
        <f>EDATE(Loans[[#This Row],[LoanStartDate]],Loans[[#This Row],[LoanTenureMonths]])</f>
        <v>45857</v>
      </c>
      <c r="N861" s="33">
        <f>IF(Loans[[#This Row],[LoanAmount]]=0,0,Loans[[#This Row],[CollateralValue]]/Loans[[#This Row],[LoanAmount]])</f>
        <v>0.62</v>
      </c>
      <c r="O861" t="str">
        <f>IF(Loans[[#This Row],[CollateralCoverageRatio]]&lt;1,"Undersecured","Secured")</f>
        <v>Undersecured</v>
      </c>
      <c r="P861" t="str">
        <f>_xlfn.XLOOKUP(Loans[[#This Row],[BranchCode]],BranchesTbl[BranchCode],BranchesTbl[BranchName])</f>
        <v>Nyeri</v>
      </c>
      <c r="Q861">
        <f>_xlfn.XLOOKUP(Loans[[#This Row],[CustomerID]],CustomerTbl[CustomerID],CustomerTbl[RiskScore])</f>
        <v>514</v>
      </c>
      <c r="R861" t="str">
        <f>IFERROR(INDEX(RiskTbl[Risk_Category],MATCH(Loans[[#This Row],[RiskScore]],RiskTbl[Score_Min],1)),"Unknown")</f>
        <v>High Risk</v>
      </c>
      <c r="S861" t="str">
        <f>IF(OR(Loans[[#This Row],[LoanStatus]]="Default",Loans[[#This Row],[LoanStatus]]="Watchlist",Loans[[#This Row],[CollateralRisk]]="Undersecured",Loans[[#This Row],[RiskCategory]]="High Risk"),"High Risk Exposure","Normal")</f>
        <v>High Risk Exposure</v>
      </c>
      <c r="T861" t="str" cm="1">
        <f t="array" ref="T861">_xlfn.IFS(
Loans[[#This Row],[LoanStatus]]="Default","Critical",
OR(Loans[[#This Row],[LoanStatus]]="Watchlist",Loans[[#This Row],[CollateralRisk]]="Undersecured",Loans[[#This Row],[RiskCategory]]="High Risk"),"High",
TRUE,"Normal"
)</f>
        <v>High</v>
      </c>
    </row>
    <row r="862" spans="1:20" x14ac:dyDescent="0.35">
      <c r="A862" t="s">
        <v>1547</v>
      </c>
      <c r="B862" t="s">
        <v>1548</v>
      </c>
      <c r="C862" t="s">
        <v>232</v>
      </c>
      <c r="D862" t="s">
        <v>155</v>
      </c>
      <c r="E862" s="34">
        <v>100000</v>
      </c>
      <c r="F862" s="29">
        <v>0.26369999999999999</v>
      </c>
      <c r="G862" s="30">
        <v>45828</v>
      </c>
      <c r="H862">
        <v>12</v>
      </c>
      <c r="I862">
        <v>0</v>
      </c>
      <c r="J862" s="34">
        <v>0</v>
      </c>
      <c r="K862" t="s">
        <v>171</v>
      </c>
      <c r="L862" s="34">
        <f>PMT(Loans[[#This Row],[InterestRate]]/12,Loans[[#This Row],[LoanTenureMonths]],-Loans[[#This Row],[LoanAmount]])</f>
        <v>9571.0271623183198</v>
      </c>
      <c r="M862" s="30">
        <f>EDATE(Loans[[#This Row],[LoanStartDate]],Loans[[#This Row],[LoanTenureMonths]])</f>
        <v>46193</v>
      </c>
      <c r="N862" s="33">
        <f>IF(Loans[[#This Row],[LoanAmount]]=0,0,Loans[[#This Row],[CollateralValue]]/Loans[[#This Row],[LoanAmount]])</f>
        <v>0</v>
      </c>
      <c r="O862" t="str">
        <f>IF(Loans[[#This Row],[CollateralCoverageRatio]]&lt;1,"Undersecured","Secured")</f>
        <v>Undersecured</v>
      </c>
      <c r="P862" t="str">
        <f>_xlfn.XLOOKUP(Loans[[#This Row],[BranchCode]],BranchesTbl[BranchCode],BranchesTbl[BranchName])</f>
        <v>Upper Hill</v>
      </c>
      <c r="Q862">
        <f>_xlfn.XLOOKUP(Loans[[#This Row],[CustomerID]],CustomerTbl[CustomerID],CustomerTbl[RiskScore])</f>
        <v>701</v>
      </c>
      <c r="R862" t="str">
        <f>IFERROR(INDEX(RiskTbl[Risk_Category],MATCH(Loans[[#This Row],[RiskScore]],RiskTbl[Score_Min],1)),"Unknown")</f>
        <v>Low Risk</v>
      </c>
      <c r="S862" t="str">
        <f>IF(OR(Loans[[#This Row],[LoanStatus]]="Default",Loans[[#This Row],[LoanStatus]]="Watchlist",Loans[[#This Row],[CollateralRisk]]="Undersecured",Loans[[#This Row],[RiskCategory]]="High Risk"),"High Risk Exposure","Normal")</f>
        <v>High Risk Exposure</v>
      </c>
      <c r="T862" t="str" cm="1">
        <f t="array" ref="T862">_xlfn.IFS(
Loans[[#This Row],[LoanStatus]]="Default","Critical",
OR(Loans[[#This Row],[LoanStatus]]="Watchlist",Loans[[#This Row],[CollateralRisk]]="Undersecured",Loans[[#This Row],[RiskCategory]]="High Risk"),"High",
TRUE,"Normal"
)</f>
        <v>High</v>
      </c>
    </row>
    <row r="863" spans="1:20" x14ac:dyDescent="0.35">
      <c r="A863" t="s">
        <v>1549</v>
      </c>
      <c r="B863" t="s">
        <v>743</v>
      </c>
      <c r="C863" t="s">
        <v>219</v>
      </c>
      <c r="D863" t="s">
        <v>156</v>
      </c>
      <c r="E863" s="34">
        <v>25000000</v>
      </c>
      <c r="F863" s="29">
        <v>0.2014</v>
      </c>
      <c r="G863" s="30">
        <v>44064</v>
      </c>
      <c r="H863">
        <v>36</v>
      </c>
      <c r="I863">
        <v>0</v>
      </c>
      <c r="J863" s="34">
        <v>34750000</v>
      </c>
      <c r="K863" t="s">
        <v>171</v>
      </c>
      <c r="L863" s="34">
        <f>PMT(Loans[[#This Row],[InterestRate]]/12,Loans[[#This Row],[LoanTenureMonths]],-Loans[[#This Row],[LoanAmount]])</f>
        <v>930873.8879354503</v>
      </c>
      <c r="M863" s="30">
        <f>EDATE(Loans[[#This Row],[LoanStartDate]],Loans[[#This Row],[LoanTenureMonths]])</f>
        <v>45159</v>
      </c>
      <c r="N863" s="33">
        <f>IF(Loans[[#This Row],[LoanAmount]]=0,0,Loans[[#This Row],[CollateralValue]]/Loans[[#This Row],[LoanAmount]])</f>
        <v>1.39</v>
      </c>
      <c r="O863" t="str">
        <f>IF(Loans[[#This Row],[CollateralCoverageRatio]]&lt;1,"Undersecured","Secured")</f>
        <v>Secured</v>
      </c>
      <c r="P863" t="str">
        <f>_xlfn.XLOOKUP(Loans[[#This Row],[BranchCode]],BranchesTbl[BranchCode],BranchesTbl[BranchName])</f>
        <v>Meru</v>
      </c>
      <c r="Q863">
        <f>_xlfn.XLOOKUP(Loans[[#This Row],[CustomerID]],CustomerTbl[CustomerID],CustomerTbl[RiskScore])</f>
        <v>436</v>
      </c>
      <c r="R863" t="str">
        <f>IFERROR(INDEX(RiskTbl[Risk_Category],MATCH(Loans[[#This Row],[RiskScore]],RiskTbl[Score_Min],1)),"Unknown")</f>
        <v>High Risk</v>
      </c>
      <c r="S863" t="str">
        <f>IF(OR(Loans[[#This Row],[LoanStatus]]="Default",Loans[[#This Row],[LoanStatus]]="Watchlist",Loans[[#This Row],[CollateralRisk]]="Undersecured",Loans[[#This Row],[RiskCategory]]="High Risk"),"High Risk Exposure","Normal")</f>
        <v>High Risk Exposure</v>
      </c>
      <c r="T863" t="str" cm="1">
        <f t="array" ref="T863">_xlfn.IFS(
Loans[[#This Row],[LoanStatus]]="Default","Critical",
OR(Loans[[#This Row],[LoanStatus]]="Watchlist",Loans[[#This Row],[CollateralRisk]]="Undersecured",Loans[[#This Row],[RiskCategory]]="High Risk"),"High",
TRUE,"Normal"
)</f>
        <v>High</v>
      </c>
    </row>
    <row r="864" spans="1:20" x14ac:dyDescent="0.35">
      <c r="A864" t="s">
        <v>1550</v>
      </c>
      <c r="B864" t="s">
        <v>1551</v>
      </c>
      <c r="C864" t="s">
        <v>232</v>
      </c>
      <c r="D864" t="s">
        <v>156</v>
      </c>
      <c r="E864" s="34">
        <v>25000000</v>
      </c>
      <c r="F864" s="29">
        <v>0.1888</v>
      </c>
      <c r="G864" s="30">
        <v>45346</v>
      </c>
      <c r="H864">
        <v>36</v>
      </c>
      <c r="I864">
        <v>0</v>
      </c>
      <c r="J864" s="34">
        <v>19250000</v>
      </c>
      <c r="K864" t="s">
        <v>171</v>
      </c>
      <c r="L864" s="34">
        <f>PMT(Loans[[#This Row],[InterestRate]]/12,Loans[[#This Row],[LoanTenureMonths]],-Loans[[#This Row],[LoanAmount]])</f>
        <v>914884.41902319225</v>
      </c>
      <c r="M864" s="30">
        <f>EDATE(Loans[[#This Row],[LoanStartDate]],Loans[[#This Row],[LoanTenureMonths]])</f>
        <v>46442</v>
      </c>
      <c r="N864" s="33">
        <f>IF(Loans[[#This Row],[LoanAmount]]=0,0,Loans[[#This Row],[CollateralValue]]/Loans[[#This Row],[LoanAmount]])</f>
        <v>0.77</v>
      </c>
      <c r="O864" t="str">
        <f>IF(Loans[[#This Row],[CollateralCoverageRatio]]&lt;1,"Undersecured","Secured")</f>
        <v>Undersecured</v>
      </c>
      <c r="P864" t="str">
        <f>_xlfn.XLOOKUP(Loans[[#This Row],[BranchCode]],BranchesTbl[BranchCode],BranchesTbl[BranchName])</f>
        <v>Upper Hill</v>
      </c>
      <c r="Q864">
        <f>_xlfn.XLOOKUP(Loans[[#This Row],[CustomerID]],CustomerTbl[CustomerID],CustomerTbl[RiskScore])</f>
        <v>363</v>
      </c>
      <c r="R864" t="str">
        <f>IFERROR(INDEX(RiskTbl[Risk_Category],MATCH(Loans[[#This Row],[RiskScore]],RiskTbl[Score_Min],1)),"Unknown")</f>
        <v>High Risk</v>
      </c>
      <c r="S864" t="str">
        <f>IF(OR(Loans[[#This Row],[LoanStatus]]="Default",Loans[[#This Row],[LoanStatus]]="Watchlist",Loans[[#This Row],[CollateralRisk]]="Undersecured",Loans[[#This Row],[RiskCategory]]="High Risk"),"High Risk Exposure","Normal")</f>
        <v>High Risk Exposure</v>
      </c>
      <c r="T864" t="str" cm="1">
        <f t="array" ref="T864">_xlfn.IFS(
Loans[[#This Row],[LoanStatus]]="Default","Critical",
OR(Loans[[#This Row],[LoanStatus]]="Watchlist",Loans[[#This Row],[CollateralRisk]]="Undersecured",Loans[[#This Row],[RiskCategory]]="High Risk"),"High",
TRUE,"Normal"
)</f>
        <v>High</v>
      </c>
    </row>
    <row r="865" spans="1:20" x14ac:dyDescent="0.35">
      <c r="A865" t="s">
        <v>1552</v>
      </c>
      <c r="B865" t="s">
        <v>765</v>
      </c>
      <c r="C865" t="s">
        <v>239</v>
      </c>
      <c r="D865" t="s">
        <v>155</v>
      </c>
      <c r="E865" s="34">
        <v>100000</v>
      </c>
      <c r="F865" s="29">
        <v>0.20300000000000001</v>
      </c>
      <c r="G865" s="30">
        <v>45956</v>
      </c>
      <c r="H865">
        <v>36</v>
      </c>
      <c r="I865">
        <v>0</v>
      </c>
      <c r="J865" s="34">
        <v>0</v>
      </c>
      <c r="K865" t="s">
        <v>171</v>
      </c>
      <c r="L865" s="34">
        <f>PMT(Loans[[#This Row],[InterestRate]]/12,Loans[[#This Row],[LoanTenureMonths]],-Loans[[#This Row],[LoanAmount]])</f>
        <v>3731.6617728848855</v>
      </c>
      <c r="M865" s="30">
        <f>EDATE(Loans[[#This Row],[LoanStartDate]],Loans[[#This Row],[LoanTenureMonths]])</f>
        <v>47052</v>
      </c>
      <c r="N865" s="33">
        <f>IF(Loans[[#This Row],[LoanAmount]]=0,0,Loans[[#This Row],[CollateralValue]]/Loans[[#This Row],[LoanAmount]])</f>
        <v>0</v>
      </c>
      <c r="O865" t="str">
        <f>IF(Loans[[#This Row],[CollateralCoverageRatio]]&lt;1,"Undersecured","Secured")</f>
        <v>Undersecured</v>
      </c>
      <c r="P865" t="str">
        <f>_xlfn.XLOOKUP(Loans[[#This Row],[BranchCode]],BranchesTbl[BranchCode],BranchesTbl[BranchName])</f>
        <v>Machakos</v>
      </c>
      <c r="Q865">
        <f>_xlfn.XLOOKUP(Loans[[#This Row],[CustomerID]],CustomerTbl[CustomerID],CustomerTbl[RiskScore])</f>
        <v>389</v>
      </c>
      <c r="R865" t="str">
        <f>IFERROR(INDEX(RiskTbl[Risk_Category],MATCH(Loans[[#This Row],[RiskScore]],RiskTbl[Score_Min],1)),"Unknown")</f>
        <v>High Risk</v>
      </c>
      <c r="S865" t="str">
        <f>IF(OR(Loans[[#This Row],[LoanStatus]]="Default",Loans[[#This Row],[LoanStatus]]="Watchlist",Loans[[#This Row],[CollateralRisk]]="Undersecured",Loans[[#This Row],[RiskCategory]]="High Risk"),"High Risk Exposure","Normal")</f>
        <v>High Risk Exposure</v>
      </c>
      <c r="T865" t="str" cm="1">
        <f t="array" ref="T865">_xlfn.IFS(
Loans[[#This Row],[LoanStatus]]="Default","Critical",
OR(Loans[[#This Row],[LoanStatus]]="Watchlist",Loans[[#This Row],[CollateralRisk]]="Undersecured",Loans[[#This Row],[RiskCategory]]="High Risk"),"High",
TRUE,"Normal"
)</f>
        <v>High</v>
      </c>
    </row>
    <row r="866" spans="1:20" x14ac:dyDescent="0.35">
      <c r="A866" t="s">
        <v>1553</v>
      </c>
      <c r="B866" t="s">
        <v>1409</v>
      </c>
      <c r="C866" t="s">
        <v>239</v>
      </c>
      <c r="D866" t="s">
        <v>156</v>
      </c>
      <c r="E866" s="34">
        <v>6000000</v>
      </c>
      <c r="F866" s="29">
        <v>0.1852</v>
      </c>
      <c r="G866" s="30">
        <v>46009</v>
      </c>
      <c r="H866">
        <v>36</v>
      </c>
      <c r="I866">
        <v>90</v>
      </c>
      <c r="J866" s="34">
        <v>5520000</v>
      </c>
      <c r="K866" t="s">
        <v>199</v>
      </c>
      <c r="L866" s="34">
        <f>PMT(Loans[[#This Row],[InterestRate]]/12,Loans[[#This Row],[LoanTenureMonths]],-Loans[[#This Row],[LoanAmount]])</f>
        <v>218482.72561259274</v>
      </c>
      <c r="M866" s="30">
        <f>EDATE(Loans[[#This Row],[LoanStartDate]],Loans[[#This Row],[LoanTenureMonths]])</f>
        <v>47105</v>
      </c>
      <c r="N866" s="33">
        <f>IF(Loans[[#This Row],[LoanAmount]]=0,0,Loans[[#This Row],[CollateralValue]]/Loans[[#This Row],[LoanAmount]])</f>
        <v>0.92</v>
      </c>
      <c r="O866" t="str">
        <f>IF(Loans[[#This Row],[CollateralCoverageRatio]]&lt;1,"Undersecured","Secured")</f>
        <v>Undersecured</v>
      </c>
      <c r="P866" t="str">
        <f>_xlfn.XLOOKUP(Loans[[#This Row],[BranchCode]],BranchesTbl[BranchCode],BranchesTbl[BranchName])</f>
        <v>Machakos</v>
      </c>
      <c r="Q866">
        <f>_xlfn.XLOOKUP(Loans[[#This Row],[CustomerID]],CustomerTbl[CustomerID],CustomerTbl[RiskScore])</f>
        <v>499</v>
      </c>
      <c r="R866" t="str">
        <f>IFERROR(INDEX(RiskTbl[Risk_Category],MATCH(Loans[[#This Row],[RiskScore]],RiskTbl[Score_Min],1)),"Unknown")</f>
        <v>High Risk</v>
      </c>
      <c r="S866" t="str">
        <f>IF(OR(Loans[[#This Row],[LoanStatus]]="Default",Loans[[#This Row],[LoanStatus]]="Watchlist",Loans[[#This Row],[CollateralRisk]]="Undersecured",Loans[[#This Row],[RiskCategory]]="High Risk"),"High Risk Exposure","Normal")</f>
        <v>High Risk Exposure</v>
      </c>
      <c r="T866" t="str" cm="1">
        <f t="array" ref="T866">_xlfn.IFS(
Loans[[#This Row],[LoanStatus]]="Default","Critical",
OR(Loans[[#This Row],[LoanStatus]]="Watchlist",Loans[[#This Row],[CollateralRisk]]="Undersecured",Loans[[#This Row],[RiskCategory]]="High Risk"),"High",
TRUE,"Normal"
)</f>
        <v>High</v>
      </c>
    </row>
    <row r="867" spans="1:20" x14ac:dyDescent="0.35">
      <c r="A867" t="s">
        <v>1554</v>
      </c>
      <c r="B867" t="s">
        <v>1555</v>
      </c>
      <c r="C867" t="s">
        <v>206</v>
      </c>
      <c r="D867" t="s">
        <v>155</v>
      </c>
      <c r="E867" s="34">
        <v>100000</v>
      </c>
      <c r="F867" s="29">
        <v>0.18609999999999999</v>
      </c>
      <c r="G867" s="30">
        <v>44578</v>
      </c>
      <c r="H867">
        <v>60</v>
      </c>
      <c r="I867">
        <v>0</v>
      </c>
      <c r="J867" s="34">
        <v>0</v>
      </c>
      <c r="K867" t="s">
        <v>171</v>
      </c>
      <c r="L867" s="34">
        <f>PMT(Loans[[#This Row],[InterestRate]]/12,Loans[[#This Row],[LoanTenureMonths]],-Loans[[#This Row],[LoanAmount]])</f>
        <v>2572.6430818069489</v>
      </c>
      <c r="M867" s="30">
        <f>EDATE(Loans[[#This Row],[LoanStartDate]],Loans[[#This Row],[LoanTenureMonths]])</f>
        <v>46404</v>
      </c>
      <c r="N867" s="33">
        <f>IF(Loans[[#This Row],[LoanAmount]]=0,0,Loans[[#This Row],[CollateralValue]]/Loans[[#This Row],[LoanAmount]])</f>
        <v>0</v>
      </c>
      <c r="O867" t="str">
        <f>IF(Loans[[#This Row],[CollateralCoverageRatio]]&lt;1,"Undersecured","Secured")</f>
        <v>Undersecured</v>
      </c>
      <c r="P867" t="str">
        <f>_xlfn.XLOOKUP(Loans[[#This Row],[BranchCode]],BranchesTbl[BranchCode],BranchesTbl[BranchName])</f>
        <v>Nyahururu</v>
      </c>
      <c r="Q867">
        <f>_xlfn.XLOOKUP(Loans[[#This Row],[CustomerID]],CustomerTbl[CustomerID],CustomerTbl[RiskScore])</f>
        <v>668</v>
      </c>
      <c r="R867" t="str">
        <f>IFERROR(INDEX(RiskTbl[Risk_Category],MATCH(Loans[[#This Row],[RiskScore]],RiskTbl[Score_Min],1)),"Unknown")</f>
        <v>Medium Risk</v>
      </c>
      <c r="S867" t="str">
        <f>IF(OR(Loans[[#This Row],[LoanStatus]]="Default",Loans[[#This Row],[LoanStatus]]="Watchlist",Loans[[#This Row],[CollateralRisk]]="Undersecured",Loans[[#This Row],[RiskCategory]]="High Risk"),"High Risk Exposure","Normal")</f>
        <v>High Risk Exposure</v>
      </c>
      <c r="T867" t="str" cm="1">
        <f t="array" ref="T867">_xlfn.IFS(
Loans[[#This Row],[LoanStatus]]="Default","Critical",
OR(Loans[[#This Row],[LoanStatus]]="Watchlist",Loans[[#This Row],[CollateralRisk]]="Undersecured",Loans[[#This Row],[RiskCategory]]="High Risk"),"High",
TRUE,"Normal"
)</f>
        <v>High</v>
      </c>
    </row>
    <row r="868" spans="1:20" x14ac:dyDescent="0.35">
      <c r="A868" t="s">
        <v>1556</v>
      </c>
      <c r="B868" t="s">
        <v>1557</v>
      </c>
      <c r="C868" t="s">
        <v>184</v>
      </c>
      <c r="D868" t="s">
        <v>156</v>
      </c>
      <c r="E868" s="34">
        <v>1000000</v>
      </c>
      <c r="F868" s="29">
        <v>0.18759999999999999</v>
      </c>
      <c r="G868" s="30">
        <v>43978</v>
      </c>
      <c r="H868">
        <v>24</v>
      </c>
      <c r="I868">
        <v>45</v>
      </c>
      <c r="J868" s="34">
        <v>650000</v>
      </c>
      <c r="K868" t="s">
        <v>199</v>
      </c>
      <c r="L868" s="34">
        <f>PMT(Loans[[#This Row],[InterestRate]]/12,Loans[[#This Row],[LoanTenureMonths]],-Loans[[#This Row],[LoanAmount]])</f>
        <v>50292.089753064356</v>
      </c>
      <c r="M868" s="30">
        <f>EDATE(Loans[[#This Row],[LoanStartDate]],Loans[[#This Row],[LoanTenureMonths]])</f>
        <v>44708</v>
      </c>
      <c r="N868" s="33">
        <f>IF(Loans[[#This Row],[LoanAmount]]=0,0,Loans[[#This Row],[CollateralValue]]/Loans[[#This Row],[LoanAmount]])</f>
        <v>0.65</v>
      </c>
      <c r="O868" t="str">
        <f>IF(Loans[[#This Row],[CollateralCoverageRatio]]&lt;1,"Undersecured","Secured")</f>
        <v>Undersecured</v>
      </c>
      <c r="P868" t="str">
        <f>_xlfn.XLOOKUP(Loans[[#This Row],[BranchCode]],BranchesTbl[BranchCode],BranchesTbl[BranchName])</f>
        <v>Kisumu</v>
      </c>
      <c r="Q868">
        <f>_xlfn.XLOOKUP(Loans[[#This Row],[CustomerID]],CustomerTbl[CustomerID],CustomerTbl[RiskScore])</f>
        <v>692</v>
      </c>
      <c r="R868" t="str">
        <f>IFERROR(INDEX(RiskTbl[Risk_Category],MATCH(Loans[[#This Row],[RiskScore]],RiskTbl[Score_Min],1)),"Unknown")</f>
        <v>Low Risk</v>
      </c>
      <c r="S868" t="str">
        <f>IF(OR(Loans[[#This Row],[LoanStatus]]="Default",Loans[[#This Row],[LoanStatus]]="Watchlist",Loans[[#This Row],[CollateralRisk]]="Undersecured",Loans[[#This Row],[RiskCategory]]="High Risk"),"High Risk Exposure","Normal")</f>
        <v>High Risk Exposure</v>
      </c>
      <c r="T868" t="str" cm="1">
        <f t="array" ref="T868">_xlfn.IFS(
Loans[[#This Row],[LoanStatus]]="Default","Critical",
OR(Loans[[#This Row],[LoanStatus]]="Watchlist",Loans[[#This Row],[CollateralRisk]]="Undersecured",Loans[[#This Row],[RiskCategory]]="High Risk"),"High",
TRUE,"Normal"
)</f>
        <v>High</v>
      </c>
    </row>
    <row r="869" spans="1:20" x14ac:dyDescent="0.35">
      <c r="A869" t="s">
        <v>1558</v>
      </c>
      <c r="B869" t="s">
        <v>569</v>
      </c>
      <c r="C869" t="s">
        <v>206</v>
      </c>
      <c r="D869" t="s">
        <v>156</v>
      </c>
      <c r="E869" s="34">
        <v>6000000</v>
      </c>
      <c r="F869" s="29">
        <v>0.15620000000000001</v>
      </c>
      <c r="G869" s="30">
        <v>43964</v>
      </c>
      <c r="H869">
        <v>72</v>
      </c>
      <c r="I869">
        <v>0</v>
      </c>
      <c r="J869" s="34">
        <v>5760000</v>
      </c>
      <c r="K869" t="s">
        <v>171</v>
      </c>
      <c r="L869" s="34">
        <f>PMT(Loans[[#This Row],[InterestRate]]/12,Loans[[#This Row],[LoanTenureMonths]],-Loans[[#This Row],[LoanAmount]])</f>
        <v>128898.97258149061</v>
      </c>
      <c r="M869" s="30">
        <f>EDATE(Loans[[#This Row],[LoanStartDate]],Loans[[#This Row],[LoanTenureMonths]])</f>
        <v>46155</v>
      </c>
      <c r="N869" s="33">
        <f>IF(Loans[[#This Row],[LoanAmount]]=0,0,Loans[[#This Row],[CollateralValue]]/Loans[[#This Row],[LoanAmount]])</f>
        <v>0.96</v>
      </c>
      <c r="O869" t="str">
        <f>IF(Loans[[#This Row],[CollateralCoverageRatio]]&lt;1,"Undersecured","Secured")</f>
        <v>Undersecured</v>
      </c>
      <c r="P869" t="str">
        <f>_xlfn.XLOOKUP(Loans[[#This Row],[BranchCode]],BranchesTbl[BranchCode],BranchesTbl[BranchName])</f>
        <v>Nyahururu</v>
      </c>
      <c r="Q869">
        <f>_xlfn.XLOOKUP(Loans[[#This Row],[CustomerID]],CustomerTbl[CustomerID],CustomerTbl[RiskScore])</f>
        <v>347</v>
      </c>
      <c r="R869" t="str">
        <f>IFERROR(INDEX(RiskTbl[Risk_Category],MATCH(Loans[[#This Row],[RiskScore]],RiskTbl[Score_Min],1)),"Unknown")</f>
        <v>High Risk</v>
      </c>
      <c r="S869" t="str">
        <f>IF(OR(Loans[[#This Row],[LoanStatus]]="Default",Loans[[#This Row],[LoanStatus]]="Watchlist",Loans[[#This Row],[CollateralRisk]]="Undersecured",Loans[[#This Row],[RiskCategory]]="High Risk"),"High Risk Exposure","Normal")</f>
        <v>High Risk Exposure</v>
      </c>
      <c r="T869" t="str" cm="1">
        <f t="array" ref="T869">_xlfn.IFS(
Loans[[#This Row],[LoanStatus]]="Default","Critical",
OR(Loans[[#This Row],[LoanStatus]]="Watchlist",Loans[[#This Row],[CollateralRisk]]="Undersecured",Loans[[#This Row],[RiskCategory]]="High Risk"),"High",
TRUE,"Normal"
)</f>
        <v>High</v>
      </c>
    </row>
    <row r="870" spans="1:20" x14ac:dyDescent="0.35">
      <c r="A870" t="s">
        <v>1559</v>
      </c>
      <c r="B870" t="s">
        <v>1560</v>
      </c>
      <c r="C870" t="s">
        <v>187</v>
      </c>
      <c r="D870" t="s">
        <v>157</v>
      </c>
      <c r="E870" s="34">
        <v>80000000</v>
      </c>
      <c r="F870" s="29">
        <v>0.1115</v>
      </c>
      <c r="G870" s="30">
        <v>45397</v>
      </c>
      <c r="H870">
        <v>72</v>
      </c>
      <c r="I870">
        <v>10</v>
      </c>
      <c r="J870" s="34">
        <v>54400000</v>
      </c>
      <c r="K870" t="s">
        <v>171</v>
      </c>
      <c r="L870" s="34">
        <f>PMT(Loans[[#This Row],[InterestRate]]/12,Loans[[#This Row],[LoanTenureMonths]],-Loans[[#This Row],[LoanAmount]])</f>
        <v>1528879.6721170044</v>
      </c>
      <c r="M870" s="30">
        <f>EDATE(Loans[[#This Row],[LoanStartDate]],Loans[[#This Row],[LoanTenureMonths]])</f>
        <v>47588</v>
      </c>
      <c r="N870" s="33">
        <f>IF(Loans[[#This Row],[LoanAmount]]=0,0,Loans[[#This Row],[CollateralValue]]/Loans[[#This Row],[LoanAmount]])</f>
        <v>0.68</v>
      </c>
      <c r="O870" t="str">
        <f>IF(Loans[[#This Row],[CollateralCoverageRatio]]&lt;1,"Undersecured","Secured")</f>
        <v>Undersecured</v>
      </c>
      <c r="P870" t="str">
        <f>_xlfn.XLOOKUP(Loans[[#This Row],[BranchCode]],BranchesTbl[BranchCode],BranchesTbl[BranchName])</f>
        <v>Eldoret</v>
      </c>
      <c r="Q870">
        <f>_xlfn.XLOOKUP(Loans[[#This Row],[CustomerID]],CustomerTbl[CustomerID],CustomerTbl[RiskScore])</f>
        <v>825</v>
      </c>
      <c r="R870" t="str">
        <f>IFERROR(INDEX(RiskTbl[Risk_Category],MATCH(Loans[[#This Row],[RiskScore]],RiskTbl[Score_Min],1)),"Unknown")</f>
        <v>Prime</v>
      </c>
      <c r="S870" t="str">
        <f>IF(OR(Loans[[#This Row],[LoanStatus]]="Default",Loans[[#This Row],[LoanStatus]]="Watchlist",Loans[[#This Row],[CollateralRisk]]="Undersecured",Loans[[#This Row],[RiskCategory]]="High Risk"),"High Risk Exposure","Normal")</f>
        <v>High Risk Exposure</v>
      </c>
      <c r="T870" t="str" cm="1">
        <f t="array" ref="T870">_xlfn.IFS(
Loans[[#This Row],[LoanStatus]]="Default","Critical",
OR(Loans[[#This Row],[LoanStatus]]="Watchlist",Loans[[#This Row],[CollateralRisk]]="Undersecured",Loans[[#This Row],[RiskCategory]]="High Risk"),"High",
TRUE,"Normal"
)</f>
        <v>High</v>
      </c>
    </row>
    <row r="871" spans="1:20" x14ac:dyDescent="0.35">
      <c r="A871" t="s">
        <v>1561</v>
      </c>
      <c r="B871" t="s">
        <v>339</v>
      </c>
      <c r="C871" t="s">
        <v>232</v>
      </c>
      <c r="D871" t="s">
        <v>156</v>
      </c>
      <c r="E871" s="34">
        <v>1000000</v>
      </c>
      <c r="F871" s="29">
        <v>0.15210000000000001</v>
      </c>
      <c r="G871" s="30">
        <v>45770</v>
      </c>
      <c r="H871">
        <v>24</v>
      </c>
      <c r="I871">
        <v>0</v>
      </c>
      <c r="J871" s="34">
        <v>800000</v>
      </c>
      <c r="K871" t="s">
        <v>171</v>
      </c>
      <c r="L871" s="34">
        <f>PMT(Loans[[#This Row],[InterestRate]]/12,Loans[[#This Row],[LoanTenureMonths]],-Loans[[#This Row],[LoanAmount]])</f>
        <v>48586.481610065304</v>
      </c>
      <c r="M871" s="30">
        <f>EDATE(Loans[[#This Row],[LoanStartDate]],Loans[[#This Row],[LoanTenureMonths]])</f>
        <v>46500</v>
      </c>
      <c r="N871" s="33">
        <f>IF(Loans[[#This Row],[LoanAmount]]=0,0,Loans[[#This Row],[CollateralValue]]/Loans[[#This Row],[LoanAmount]])</f>
        <v>0.8</v>
      </c>
      <c r="O871" t="str">
        <f>IF(Loans[[#This Row],[CollateralCoverageRatio]]&lt;1,"Undersecured","Secured")</f>
        <v>Undersecured</v>
      </c>
      <c r="P871" t="str">
        <f>_xlfn.XLOOKUP(Loans[[#This Row],[BranchCode]],BranchesTbl[BranchCode],BranchesTbl[BranchName])</f>
        <v>Upper Hill</v>
      </c>
      <c r="Q871">
        <f>_xlfn.XLOOKUP(Loans[[#This Row],[CustomerID]],CustomerTbl[CustomerID],CustomerTbl[RiskScore])</f>
        <v>385</v>
      </c>
      <c r="R871" t="str">
        <f>IFERROR(INDEX(RiskTbl[Risk_Category],MATCH(Loans[[#This Row],[RiskScore]],RiskTbl[Score_Min],1)),"Unknown")</f>
        <v>High Risk</v>
      </c>
      <c r="S871" t="str">
        <f>IF(OR(Loans[[#This Row],[LoanStatus]]="Default",Loans[[#This Row],[LoanStatus]]="Watchlist",Loans[[#This Row],[CollateralRisk]]="Undersecured",Loans[[#This Row],[RiskCategory]]="High Risk"),"High Risk Exposure","Normal")</f>
        <v>High Risk Exposure</v>
      </c>
      <c r="T871" t="str" cm="1">
        <f t="array" ref="T871">_xlfn.IFS(
Loans[[#This Row],[LoanStatus]]="Default","Critical",
OR(Loans[[#This Row],[LoanStatus]]="Watchlist",Loans[[#This Row],[CollateralRisk]]="Undersecured",Loans[[#This Row],[RiskCategory]]="High Risk"),"High",
TRUE,"Normal"
)</f>
        <v>High</v>
      </c>
    </row>
    <row r="872" spans="1:20" x14ac:dyDescent="0.35">
      <c r="A872" t="s">
        <v>1562</v>
      </c>
      <c r="B872" t="s">
        <v>904</v>
      </c>
      <c r="C872" t="s">
        <v>267</v>
      </c>
      <c r="D872" t="s">
        <v>156</v>
      </c>
      <c r="E872" s="34">
        <v>6000000</v>
      </c>
      <c r="F872" s="29">
        <v>0.156</v>
      </c>
      <c r="G872" s="30">
        <v>44970</v>
      </c>
      <c r="H872">
        <v>12</v>
      </c>
      <c r="I872">
        <v>45</v>
      </c>
      <c r="J872" s="34">
        <v>5820000</v>
      </c>
      <c r="K872" t="s">
        <v>199</v>
      </c>
      <c r="L872" s="34">
        <f>PMT(Loans[[#This Row],[InterestRate]]/12,Loans[[#This Row],[LoanTenureMonths]],-Loans[[#This Row],[LoanAmount]])</f>
        <v>543250.06615371036</v>
      </c>
      <c r="M872" s="30">
        <f>EDATE(Loans[[#This Row],[LoanStartDate]],Loans[[#This Row],[LoanTenureMonths]])</f>
        <v>45335</v>
      </c>
      <c r="N872" s="33">
        <f>IF(Loans[[#This Row],[LoanAmount]]=0,0,Loans[[#This Row],[CollateralValue]]/Loans[[#This Row],[LoanAmount]])</f>
        <v>0.97</v>
      </c>
      <c r="O872" t="str">
        <f>IF(Loans[[#This Row],[CollateralCoverageRatio]]&lt;1,"Undersecured","Secured")</f>
        <v>Undersecured</v>
      </c>
      <c r="P872" t="str">
        <f>_xlfn.XLOOKUP(Loans[[#This Row],[BranchCode]],BranchesTbl[BranchCode],BranchesTbl[BranchName])</f>
        <v>Malindi</v>
      </c>
      <c r="Q872">
        <f>_xlfn.XLOOKUP(Loans[[#This Row],[CustomerID]],CustomerTbl[CustomerID],CustomerTbl[RiskScore])</f>
        <v>679</v>
      </c>
      <c r="R872" t="str">
        <f>IFERROR(INDEX(RiskTbl[Risk_Category],MATCH(Loans[[#This Row],[RiskScore]],RiskTbl[Score_Min],1)),"Unknown")</f>
        <v>Low Risk</v>
      </c>
      <c r="S872" t="str">
        <f>IF(OR(Loans[[#This Row],[LoanStatus]]="Default",Loans[[#This Row],[LoanStatus]]="Watchlist",Loans[[#This Row],[CollateralRisk]]="Undersecured",Loans[[#This Row],[RiskCategory]]="High Risk"),"High Risk Exposure","Normal")</f>
        <v>High Risk Exposure</v>
      </c>
      <c r="T872" t="str" cm="1">
        <f t="array" ref="T872">_xlfn.IFS(
Loans[[#This Row],[LoanStatus]]="Default","Critical",
OR(Loans[[#This Row],[LoanStatus]]="Watchlist",Loans[[#This Row],[CollateralRisk]]="Undersecured",Loans[[#This Row],[RiskCategory]]="High Risk"),"High",
TRUE,"Normal"
)</f>
        <v>High</v>
      </c>
    </row>
    <row r="873" spans="1:20" x14ac:dyDescent="0.35">
      <c r="A873" t="s">
        <v>1563</v>
      </c>
      <c r="B873" t="s">
        <v>1256</v>
      </c>
      <c r="C873" t="s">
        <v>177</v>
      </c>
      <c r="D873" t="s">
        <v>158</v>
      </c>
      <c r="E873" s="34">
        <v>500000</v>
      </c>
      <c r="F873" s="29">
        <v>0.1895</v>
      </c>
      <c r="G873" s="30">
        <v>44187</v>
      </c>
      <c r="H873">
        <v>60</v>
      </c>
      <c r="I873">
        <v>45</v>
      </c>
      <c r="J873" s="34">
        <v>710000</v>
      </c>
      <c r="K873" t="s">
        <v>199</v>
      </c>
      <c r="L873" s="34">
        <f>PMT(Loans[[#This Row],[InterestRate]]/12,Loans[[#This Row],[LoanTenureMonths]],-Loans[[#This Row],[LoanAmount]])</f>
        <v>12956.523480956223</v>
      </c>
      <c r="M873" s="30">
        <f>EDATE(Loans[[#This Row],[LoanStartDate]],Loans[[#This Row],[LoanTenureMonths]])</f>
        <v>46013</v>
      </c>
      <c r="N873" s="33">
        <f>IF(Loans[[#This Row],[LoanAmount]]=0,0,Loans[[#This Row],[CollateralValue]]/Loans[[#This Row],[LoanAmount]])</f>
        <v>1.42</v>
      </c>
      <c r="O873" t="str">
        <f>IF(Loans[[#This Row],[CollateralCoverageRatio]]&lt;1,"Undersecured","Secured")</f>
        <v>Secured</v>
      </c>
      <c r="P873" t="str">
        <f>_xlfn.XLOOKUP(Loans[[#This Row],[BranchCode]],BranchesTbl[BranchCode],BranchesTbl[BranchName])</f>
        <v>Naivasha</v>
      </c>
      <c r="Q873">
        <f>_xlfn.XLOOKUP(Loans[[#This Row],[CustomerID]],CustomerTbl[CustomerID],CustomerTbl[RiskScore])</f>
        <v>304</v>
      </c>
      <c r="R873" t="str">
        <f>IFERROR(INDEX(RiskTbl[Risk_Category],MATCH(Loans[[#This Row],[RiskScore]],RiskTbl[Score_Min],1)),"Unknown")</f>
        <v>High Risk</v>
      </c>
      <c r="S873" t="str">
        <f>IF(OR(Loans[[#This Row],[LoanStatus]]="Default",Loans[[#This Row],[LoanStatus]]="Watchlist",Loans[[#This Row],[CollateralRisk]]="Undersecured",Loans[[#This Row],[RiskCategory]]="High Risk"),"High Risk Exposure","Normal")</f>
        <v>High Risk Exposure</v>
      </c>
      <c r="T873" t="str" cm="1">
        <f t="array" ref="T873">_xlfn.IFS(
Loans[[#This Row],[LoanStatus]]="Default","Critical",
OR(Loans[[#This Row],[LoanStatus]]="Watchlist",Loans[[#This Row],[CollateralRisk]]="Undersecured",Loans[[#This Row],[RiskCategory]]="High Risk"),"High",
TRUE,"Normal"
)</f>
        <v>High</v>
      </c>
    </row>
    <row r="874" spans="1:20" x14ac:dyDescent="0.35">
      <c r="A874" t="s">
        <v>1564</v>
      </c>
      <c r="B874" t="s">
        <v>1565</v>
      </c>
      <c r="C874" t="s">
        <v>267</v>
      </c>
      <c r="D874" t="s">
        <v>157</v>
      </c>
      <c r="E874" s="34">
        <v>80000000</v>
      </c>
      <c r="F874" s="29">
        <v>0.1</v>
      </c>
      <c r="G874" s="30">
        <v>44586</v>
      </c>
      <c r="H874">
        <v>72</v>
      </c>
      <c r="I874">
        <v>90</v>
      </c>
      <c r="J874" s="34">
        <v>59200000</v>
      </c>
      <c r="K874" t="s">
        <v>199</v>
      </c>
      <c r="L874" s="34">
        <f>PMT(Loans[[#This Row],[InterestRate]]/12,Loans[[#This Row],[LoanTenureMonths]],-Loans[[#This Row],[LoanAmount]])</f>
        <v>1482067.0220616383</v>
      </c>
      <c r="M874" s="30">
        <f>EDATE(Loans[[#This Row],[LoanStartDate]],Loans[[#This Row],[LoanTenureMonths]])</f>
        <v>46777</v>
      </c>
      <c r="N874" s="33">
        <f>IF(Loans[[#This Row],[LoanAmount]]=0,0,Loans[[#This Row],[CollateralValue]]/Loans[[#This Row],[LoanAmount]])</f>
        <v>0.74</v>
      </c>
      <c r="O874" t="str">
        <f>IF(Loans[[#This Row],[CollateralCoverageRatio]]&lt;1,"Undersecured","Secured")</f>
        <v>Undersecured</v>
      </c>
      <c r="P874" t="str">
        <f>_xlfn.XLOOKUP(Loans[[#This Row],[BranchCode]],BranchesTbl[BranchCode],BranchesTbl[BranchName])</f>
        <v>Malindi</v>
      </c>
      <c r="Q874">
        <f>_xlfn.XLOOKUP(Loans[[#This Row],[CustomerID]],CustomerTbl[CustomerID],CustomerTbl[RiskScore])</f>
        <v>478</v>
      </c>
      <c r="R874" t="str">
        <f>IFERROR(INDEX(RiskTbl[Risk_Category],MATCH(Loans[[#This Row],[RiskScore]],RiskTbl[Score_Min],1)),"Unknown")</f>
        <v>High Risk</v>
      </c>
      <c r="S874" t="str">
        <f>IF(OR(Loans[[#This Row],[LoanStatus]]="Default",Loans[[#This Row],[LoanStatus]]="Watchlist",Loans[[#This Row],[CollateralRisk]]="Undersecured",Loans[[#This Row],[RiskCategory]]="High Risk"),"High Risk Exposure","Normal")</f>
        <v>High Risk Exposure</v>
      </c>
      <c r="T874" t="str" cm="1">
        <f t="array" ref="T874">_xlfn.IFS(
Loans[[#This Row],[LoanStatus]]="Default","Critical",
OR(Loans[[#This Row],[LoanStatus]]="Watchlist",Loans[[#This Row],[CollateralRisk]]="Undersecured",Loans[[#This Row],[RiskCategory]]="High Risk"),"High",
TRUE,"Normal"
)</f>
        <v>High</v>
      </c>
    </row>
    <row r="875" spans="1:20" x14ac:dyDescent="0.35">
      <c r="A875" t="s">
        <v>1566</v>
      </c>
      <c r="B875" t="s">
        <v>1567</v>
      </c>
      <c r="C875" t="s">
        <v>206</v>
      </c>
      <c r="D875" t="s">
        <v>155</v>
      </c>
      <c r="E875" s="34">
        <v>1000000</v>
      </c>
      <c r="F875" s="29">
        <v>0.26650000000000001</v>
      </c>
      <c r="G875" s="30">
        <v>45648</v>
      </c>
      <c r="H875">
        <v>60</v>
      </c>
      <c r="I875">
        <v>45</v>
      </c>
      <c r="J875" s="34">
        <v>0</v>
      </c>
      <c r="K875" t="s">
        <v>199</v>
      </c>
      <c r="L875" s="34">
        <f>PMT(Loans[[#This Row],[InterestRate]]/12,Loans[[#This Row],[LoanTenureMonths]],-Loans[[#This Row],[LoanAmount]])</f>
        <v>30326.482139074185</v>
      </c>
      <c r="M875" s="30">
        <f>EDATE(Loans[[#This Row],[LoanStartDate]],Loans[[#This Row],[LoanTenureMonths]])</f>
        <v>47474</v>
      </c>
      <c r="N875" s="33">
        <f>IF(Loans[[#This Row],[LoanAmount]]=0,0,Loans[[#This Row],[CollateralValue]]/Loans[[#This Row],[LoanAmount]])</f>
        <v>0</v>
      </c>
      <c r="O875" t="str">
        <f>IF(Loans[[#This Row],[CollateralCoverageRatio]]&lt;1,"Undersecured","Secured")</f>
        <v>Undersecured</v>
      </c>
      <c r="P875" t="str">
        <f>_xlfn.XLOOKUP(Loans[[#This Row],[BranchCode]],BranchesTbl[BranchCode],BranchesTbl[BranchName])</f>
        <v>Nyahururu</v>
      </c>
      <c r="Q875">
        <f>_xlfn.XLOOKUP(Loans[[#This Row],[CustomerID]],CustomerTbl[CustomerID],CustomerTbl[RiskScore])</f>
        <v>502</v>
      </c>
      <c r="R875" t="str">
        <f>IFERROR(INDEX(RiskTbl[Risk_Category],MATCH(Loans[[#This Row],[RiskScore]],RiskTbl[Score_Min],1)),"Unknown")</f>
        <v>High Risk</v>
      </c>
      <c r="S875" t="str">
        <f>IF(OR(Loans[[#This Row],[LoanStatus]]="Default",Loans[[#This Row],[LoanStatus]]="Watchlist",Loans[[#This Row],[CollateralRisk]]="Undersecured",Loans[[#This Row],[RiskCategory]]="High Risk"),"High Risk Exposure","Normal")</f>
        <v>High Risk Exposure</v>
      </c>
      <c r="T875" t="str" cm="1">
        <f t="array" ref="T875">_xlfn.IFS(
Loans[[#This Row],[LoanStatus]]="Default","Critical",
OR(Loans[[#This Row],[LoanStatus]]="Watchlist",Loans[[#This Row],[CollateralRisk]]="Undersecured",Loans[[#This Row],[RiskCategory]]="High Risk"),"High",
TRUE,"Normal"
)</f>
        <v>High</v>
      </c>
    </row>
    <row r="876" spans="1:20" x14ac:dyDescent="0.35">
      <c r="A876" t="s">
        <v>1568</v>
      </c>
      <c r="B876" t="s">
        <v>1569</v>
      </c>
      <c r="C876" t="s">
        <v>206</v>
      </c>
      <c r="D876" t="s">
        <v>157</v>
      </c>
      <c r="E876" s="34">
        <v>6000000</v>
      </c>
      <c r="F876" s="29">
        <v>0.11260000000000001</v>
      </c>
      <c r="G876" s="30">
        <v>44040</v>
      </c>
      <c r="H876">
        <v>24</v>
      </c>
      <c r="I876">
        <v>90</v>
      </c>
      <c r="J876" s="34">
        <v>3120000</v>
      </c>
      <c r="K876" t="s">
        <v>199</v>
      </c>
      <c r="L876" s="34">
        <f>PMT(Loans[[#This Row],[InterestRate]]/12,Loans[[#This Row],[LoanTenureMonths]],-Loans[[#This Row],[LoanAmount]])</f>
        <v>280371.84841819375</v>
      </c>
      <c r="M876" s="30">
        <f>EDATE(Loans[[#This Row],[LoanStartDate]],Loans[[#This Row],[LoanTenureMonths]])</f>
        <v>44770</v>
      </c>
      <c r="N876" s="33">
        <f>IF(Loans[[#This Row],[LoanAmount]]=0,0,Loans[[#This Row],[CollateralValue]]/Loans[[#This Row],[LoanAmount]])</f>
        <v>0.52</v>
      </c>
      <c r="O876" t="str">
        <f>IF(Loans[[#This Row],[CollateralCoverageRatio]]&lt;1,"Undersecured","Secured")</f>
        <v>Undersecured</v>
      </c>
      <c r="P876" t="str">
        <f>_xlfn.XLOOKUP(Loans[[#This Row],[BranchCode]],BranchesTbl[BranchCode],BranchesTbl[BranchName])</f>
        <v>Nyahururu</v>
      </c>
      <c r="Q876">
        <f>_xlfn.XLOOKUP(Loans[[#This Row],[CustomerID]],CustomerTbl[CustomerID],CustomerTbl[RiskScore])</f>
        <v>621</v>
      </c>
      <c r="R876" t="str">
        <f>IFERROR(INDEX(RiskTbl[Risk_Category],MATCH(Loans[[#This Row],[RiskScore]],RiskTbl[Score_Min],1)),"Unknown")</f>
        <v>Medium Risk</v>
      </c>
      <c r="S876" t="str">
        <f>IF(OR(Loans[[#This Row],[LoanStatus]]="Default",Loans[[#This Row],[LoanStatus]]="Watchlist",Loans[[#This Row],[CollateralRisk]]="Undersecured",Loans[[#This Row],[RiskCategory]]="High Risk"),"High Risk Exposure","Normal")</f>
        <v>High Risk Exposure</v>
      </c>
      <c r="T876" t="str" cm="1">
        <f t="array" ref="T876">_xlfn.IFS(
Loans[[#This Row],[LoanStatus]]="Default","Critical",
OR(Loans[[#This Row],[LoanStatus]]="Watchlist",Loans[[#This Row],[CollateralRisk]]="Undersecured",Loans[[#This Row],[RiskCategory]]="High Risk"),"High",
TRUE,"Normal"
)</f>
        <v>High</v>
      </c>
    </row>
    <row r="877" spans="1:20" x14ac:dyDescent="0.35">
      <c r="A877" t="s">
        <v>1570</v>
      </c>
      <c r="B877" t="s">
        <v>1571</v>
      </c>
      <c r="C877" t="s">
        <v>232</v>
      </c>
      <c r="D877" t="s">
        <v>155</v>
      </c>
      <c r="E877" s="34">
        <v>100000</v>
      </c>
      <c r="F877" s="29">
        <v>0.188</v>
      </c>
      <c r="G877" s="30">
        <v>44543</v>
      </c>
      <c r="H877">
        <v>24</v>
      </c>
      <c r="I877">
        <v>45</v>
      </c>
      <c r="J877" s="34">
        <v>0</v>
      </c>
      <c r="K877" t="s">
        <v>199</v>
      </c>
      <c r="L877" s="34">
        <f>PMT(Loans[[#This Row],[InterestRate]]/12,Loans[[#This Row],[LoanTenureMonths]],-Loans[[#This Row],[LoanAmount]])</f>
        <v>5031.1500309850353</v>
      </c>
      <c r="M877" s="30">
        <f>EDATE(Loans[[#This Row],[LoanStartDate]],Loans[[#This Row],[LoanTenureMonths]])</f>
        <v>45273</v>
      </c>
      <c r="N877" s="33">
        <f>IF(Loans[[#This Row],[LoanAmount]]=0,0,Loans[[#This Row],[CollateralValue]]/Loans[[#This Row],[LoanAmount]])</f>
        <v>0</v>
      </c>
      <c r="O877" t="str">
        <f>IF(Loans[[#This Row],[CollateralCoverageRatio]]&lt;1,"Undersecured","Secured")</f>
        <v>Undersecured</v>
      </c>
      <c r="P877" t="str">
        <f>_xlfn.XLOOKUP(Loans[[#This Row],[BranchCode]],BranchesTbl[BranchCode],BranchesTbl[BranchName])</f>
        <v>Upper Hill</v>
      </c>
      <c r="Q877">
        <f>_xlfn.XLOOKUP(Loans[[#This Row],[CustomerID]],CustomerTbl[CustomerID],CustomerTbl[RiskScore])</f>
        <v>662</v>
      </c>
      <c r="R877" t="str">
        <f>IFERROR(INDEX(RiskTbl[Risk_Category],MATCH(Loans[[#This Row],[RiskScore]],RiskTbl[Score_Min],1)),"Unknown")</f>
        <v>Medium Risk</v>
      </c>
      <c r="S877" t="str">
        <f>IF(OR(Loans[[#This Row],[LoanStatus]]="Default",Loans[[#This Row],[LoanStatus]]="Watchlist",Loans[[#This Row],[CollateralRisk]]="Undersecured",Loans[[#This Row],[RiskCategory]]="High Risk"),"High Risk Exposure","Normal")</f>
        <v>High Risk Exposure</v>
      </c>
      <c r="T877" t="str" cm="1">
        <f t="array" ref="T877">_xlfn.IFS(
Loans[[#This Row],[LoanStatus]]="Default","Critical",
OR(Loans[[#This Row],[LoanStatus]]="Watchlist",Loans[[#This Row],[CollateralRisk]]="Undersecured",Loans[[#This Row],[RiskCategory]]="High Risk"),"High",
TRUE,"Normal"
)</f>
        <v>High</v>
      </c>
    </row>
    <row r="878" spans="1:20" x14ac:dyDescent="0.35">
      <c r="A878" t="s">
        <v>1572</v>
      </c>
      <c r="B878" t="s">
        <v>897</v>
      </c>
      <c r="C878" t="s">
        <v>170</v>
      </c>
      <c r="D878" t="s">
        <v>155</v>
      </c>
      <c r="E878" s="34">
        <v>250000</v>
      </c>
      <c r="F878" s="29">
        <v>0.25209999999999999</v>
      </c>
      <c r="G878" s="30">
        <v>45785</v>
      </c>
      <c r="H878">
        <v>48</v>
      </c>
      <c r="I878">
        <v>20</v>
      </c>
      <c r="J878" s="34">
        <v>0</v>
      </c>
      <c r="K878" t="s">
        <v>171</v>
      </c>
      <c r="L878" s="34">
        <f>PMT(Loans[[#This Row],[InterestRate]]/12,Loans[[#This Row],[LoanTenureMonths]],-Loans[[#This Row],[LoanAmount]])</f>
        <v>8318.5904724353768</v>
      </c>
      <c r="M878" s="30">
        <f>EDATE(Loans[[#This Row],[LoanStartDate]],Loans[[#This Row],[LoanTenureMonths]])</f>
        <v>47246</v>
      </c>
      <c r="N878" s="33">
        <f>IF(Loans[[#This Row],[LoanAmount]]=0,0,Loans[[#This Row],[CollateralValue]]/Loans[[#This Row],[LoanAmount]])</f>
        <v>0</v>
      </c>
      <c r="O878" t="str">
        <f>IF(Loans[[#This Row],[CollateralCoverageRatio]]&lt;1,"Undersecured","Secured")</f>
        <v>Undersecured</v>
      </c>
      <c r="P878" t="str">
        <f>_xlfn.XLOOKUP(Loans[[#This Row],[BranchCode]],BranchesTbl[BranchCode],BranchesTbl[BranchName])</f>
        <v>Thika</v>
      </c>
      <c r="Q878">
        <f>_xlfn.XLOOKUP(Loans[[#This Row],[CustomerID]],CustomerTbl[CustomerID],CustomerTbl[RiskScore])</f>
        <v>635</v>
      </c>
      <c r="R878" t="str">
        <f>IFERROR(INDEX(RiskTbl[Risk_Category],MATCH(Loans[[#This Row],[RiskScore]],RiskTbl[Score_Min],1)),"Unknown")</f>
        <v>Medium Risk</v>
      </c>
      <c r="S878" t="str">
        <f>IF(OR(Loans[[#This Row],[LoanStatus]]="Default",Loans[[#This Row],[LoanStatus]]="Watchlist",Loans[[#This Row],[CollateralRisk]]="Undersecured",Loans[[#This Row],[RiskCategory]]="High Risk"),"High Risk Exposure","Normal")</f>
        <v>High Risk Exposure</v>
      </c>
      <c r="T878" t="str" cm="1">
        <f t="array" ref="T878">_xlfn.IFS(
Loans[[#This Row],[LoanStatus]]="Default","Critical",
OR(Loans[[#This Row],[LoanStatus]]="Watchlist",Loans[[#This Row],[CollateralRisk]]="Undersecured",Loans[[#This Row],[RiskCategory]]="High Risk"),"High",
TRUE,"Normal"
)</f>
        <v>High</v>
      </c>
    </row>
    <row r="879" spans="1:20" x14ac:dyDescent="0.35">
      <c r="A879" t="s">
        <v>1573</v>
      </c>
      <c r="B879" t="s">
        <v>326</v>
      </c>
      <c r="C879" t="s">
        <v>184</v>
      </c>
      <c r="D879" t="s">
        <v>157</v>
      </c>
      <c r="E879" s="34">
        <v>25000000</v>
      </c>
      <c r="F879" s="29">
        <v>0.1153</v>
      </c>
      <c r="G879" s="30">
        <v>45110</v>
      </c>
      <c r="H879">
        <v>36</v>
      </c>
      <c r="I879">
        <v>0</v>
      </c>
      <c r="J879" s="34">
        <v>30500000</v>
      </c>
      <c r="K879" t="s">
        <v>171</v>
      </c>
      <c r="L879" s="34">
        <f>PMT(Loans[[#This Row],[InterestRate]]/12,Loans[[#This Row],[LoanTenureMonths]],-Loans[[#This Row],[LoanAmount]])</f>
        <v>824756.90138903563</v>
      </c>
      <c r="M879" s="30">
        <f>EDATE(Loans[[#This Row],[LoanStartDate]],Loans[[#This Row],[LoanTenureMonths]])</f>
        <v>46206</v>
      </c>
      <c r="N879" s="33">
        <f>IF(Loans[[#This Row],[LoanAmount]]=0,0,Loans[[#This Row],[CollateralValue]]/Loans[[#This Row],[LoanAmount]])</f>
        <v>1.22</v>
      </c>
      <c r="O879" t="str">
        <f>IF(Loans[[#This Row],[CollateralCoverageRatio]]&lt;1,"Undersecured","Secured")</f>
        <v>Secured</v>
      </c>
      <c r="P879" t="str">
        <f>_xlfn.XLOOKUP(Loans[[#This Row],[BranchCode]],BranchesTbl[BranchCode],BranchesTbl[BranchName])</f>
        <v>Kisumu</v>
      </c>
      <c r="Q879">
        <f>_xlfn.XLOOKUP(Loans[[#This Row],[CustomerID]],CustomerTbl[CustomerID],CustomerTbl[RiskScore])</f>
        <v>357</v>
      </c>
      <c r="R879" t="str">
        <f>IFERROR(INDEX(RiskTbl[Risk_Category],MATCH(Loans[[#This Row],[RiskScore]],RiskTbl[Score_Min],1)),"Unknown")</f>
        <v>High Risk</v>
      </c>
      <c r="S879" t="str">
        <f>IF(OR(Loans[[#This Row],[LoanStatus]]="Default",Loans[[#This Row],[LoanStatus]]="Watchlist",Loans[[#This Row],[CollateralRisk]]="Undersecured",Loans[[#This Row],[RiskCategory]]="High Risk"),"High Risk Exposure","Normal")</f>
        <v>High Risk Exposure</v>
      </c>
      <c r="T879" t="str" cm="1">
        <f t="array" ref="T879">_xlfn.IFS(
Loans[[#This Row],[LoanStatus]]="Default","Critical",
OR(Loans[[#This Row],[LoanStatus]]="Watchlist",Loans[[#This Row],[CollateralRisk]]="Undersecured",Loans[[#This Row],[RiskCategory]]="High Risk"),"High",
TRUE,"Normal"
)</f>
        <v>High</v>
      </c>
    </row>
    <row r="880" spans="1:20" x14ac:dyDescent="0.35">
      <c r="A880" t="s">
        <v>1574</v>
      </c>
      <c r="B880" t="s">
        <v>1451</v>
      </c>
      <c r="C880" t="s">
        <v>196</v>
      </c>
      <c r="D880" t="s">
        <v>155</v>
      </c>
      <c r="E880" s="34">
        <v>250000</v>
      </c>
      <c r="F880" s="29">
        <v>0.2354</v>
      </c>
      <c r="G880" s="30">
        <v>45001</v>
      </c>
      <c r="H880">
        <v>60</v>
      </c>
      <c r="I880">
        <v>0</v>
      </c>
      <c r="J880" s="34">
        <v>0</v>
      </c>
      <c r="K880" t="s">
        <v>171</v>
      </c>
      <c r="L880" s="34">
        <f>PMT(Loans[[#This Row],[InterestRate]]/12,Loans[[#This Row],[LoanTenureMonths]],-Loans[[#This Row],[LoanAmount]])</f>
        <v>7125.3964106269277</v>
      </c>
      <c r="M880" s="30">
        <f>EDATE(Loans[[#This Row],[LoanStartDate]],Loans[[#This Row],[LoanTenureMonths]])</f>
        <v>46828</v>
      </c>
      <c r="N880" s="33">
        <f>IF(Loans[[#This Row],[LoanAmount]]=0,0,Loans[[#This Row],[CollateralValue]]/Loans[[#This Row],[LoanAmount]])</f>
        <v>0</v>
      </c>
      <c r="O880" t="str">
        <f>IF(Loans[[#This Row],[CollateralCoverageRatio]]&lt;1,"Undersecured","Secured")</f>
        <v>Undersecured</v>
      </c>
      <c r="P880" t="str">
        <f>_xlfn.XLOOKUP(Loans[[#This Row],[BranchCode]],BranchesTbl[BranchCode],BranchesTbl[BranchName])</f>
        <v>Karen</v>
      </c>
      <c r="Q880">
        <f>_xlfn.XLOOKUP(Loans[[#This Row],[CustomerID]],CustomerTbl[CustomerID],CustomerTbl[RiskScore])</f>
        <v>464</v>
      </c>
      <c r="R880" t="str">
        <f>IFERROR(INDEX(RiskTbl[Risk_Category],MATCH(Loans[[#This Row],[RiskScore]],RiskTbl[Score_Min],1)),"Unknown")</f>
        <v>High Risk</v>
      </c>
      <c r="S880" t="str">
        <f>IF(OR(Loans[[#This Row],[LoanStatus]]="Default",Loans[[#This Row],[LoanStatus]]="Watchlist",Loans[[#This Row],[CollateralRisk]]="Undersecured",Loans[[#This Row],[RiskCategory]]="High Risk"),"High Risk Exposure","Normal")</f>
        <v>High Risk Exposure</v>
      </c>
      <c r="T880" t="str" cm="1">
        <f t="array" ref="T880">_xlfn.IFS(
Loans[[#This Row],[LoanStatus]]="Default","Critical",
OR(Loans[[#This Row],[LoanStatus]]="Watchlist",Loans[[#This Row],[CollateralRisk]]="Undersecured",Loans[[#This Row],[RiskCategory]]="High Risk"),"High",
TRUE,"Normal"
)</f>
        <v>High</v>
      </c>
    </row>
    <row r="881" spans="1:20" x14ac:dyDescent="0.35">
      <c r="A881" t="s">
        <v>1575</v>
      </c>
      <c r="B881" t="s">
        <v>1256</v>
      </c>
      <c r="C881" t="s">
        <v>174</v>
      </c>
      <c r="D881" t="s">
        <v>157</v>
      </c>
      <c r="E881" s="34">
        <v>25000000</v>
      </c>
      <c r="F881" s="29">
        <v>0.1356</v>
      </c>
      <c r="G881" s="30">
        <v>44545</v>
      </c>
      <c r="H881">
        <v>48</v>
      </c>
      <c r="I881">
        <v>45</v>
      </c>
      <c r="J881" s="34">
        <v>31500000</v>
      </c>
      <c r="K881" t="s">
        <v>199</v>
      </c>
      <c r="L881" s="34">
        <f>PMT(Loans[[#This Row],[InterestRate]]/12,Loans[[#This Row],[LoanTenureMonths]],-Loans[[#This Row],[LoanAmount]])</f>
        <v>677656.7852934656</v>
      </c>
      <c r="M881" s="30">
        <f>EDATE(Loans[[#This Row],[LoanStartDate]],Loans[[#This Row],[LoanTenureMonths]])</f>
        <v>46006</v>
      </c>
      <c r="N881" s="33">
        <f>IF(Loans[[#This Row],[LoanAmount]]=0,0,Loans[[#This Row],[CollateralValue]]/Loans[[#This Row],[LoanAmount]])</f>
        <v>1.26</v>
      </c>
      <c r="O881" t="str">
        <f>IF(Loans[[#This Row],[CollateralCoverageRatio]]&lt;1,"Undersecured","Secured")</f>
        <v>Secured</v>
      </c>
      <c r="P881" t="str">
        <f>_xlfn.XLOOKUP(Loans[[#This Row],[BranchCode]],BranchesTbl[BranchCode],BranchesTbl[BranchName])</f>
        <v>Westlands</v>
      </c>
      <c r="Q881">
        <f>_xlfn.XLOOKUP(Loans[[#This Row],[CustomerID]],CustomerTbl[CustomerID],CustomerTbl[RiskScore])</f>
        <v>304</v>
      </c>
      <c r="R881" t="str">
        <f>IFERROR(INDEX(RiskTbl[Risk_Category],MATCH(Loans[[#This Row],[RiskScore]],RiskTbl[Score_Min],1)),"Unknown")</f>
        <v>High Risk</v>
      </c>
      <c r="S881" t="str">
        <f>IF(OR(Loans[[#This Row],[LoanStatus]]="Default",Loans[[#This Row],[LoanStatus]]="Watchlist",Loans[[#This Row],[CollateralRisk]]="Undersecured",Loans[[#This Row],[RiskCategory]]="High Risk"),"High Risk Exposure","Normal")</f>
        <v>High Risk Exposure</v>
      </c>
      <c r="T881" t="str" cm="1">
        <f t="array" ref="T881">_xlfn.IFS(
Loans[[#This Row],[LoanStatus]]="Default","Critical",
OR(Loans[[#This Row],[LoanStatus]]="Watchlist",Loans[[#This Row],[CollateralRisk]]="Undersecured",Loans[[#This Row],[RiskCategory]]="High Risk"),"High",
TRUE,"Normal"
)</f>
        <v>High</v>
      </c>
    </row>
    <row r="882" spans="1:20" x14ac:dyDescent="0.35">
      <c r="A882" t="s">
        <v>1576</v>
      </c>
      <c r="B882" t="s">
        <v>1205</v>
      </c>
      <c r="C882" t="s">
        <v>206</v>
      </c>
      <c r="D882" t="s">
        <v>155</v>
      </c>
      <c r="E882" s="34">
        <v>500000</v>
      </c>
      <c r="F882" s="29">
        <v>0.26889999999999997</v>
      </c>
      <c r="G882" s="30">
        <v>44235</v>
      </c>
      <c r="H882">
        <v>48</v>
      </c>
      <c r="I882">
        <v>0</v>
      </c>
      <c r="J882" s="34">
        <v>0</v>
      </c>
      <c r="K882" t="s">
        <v>171</v>
      </c>
      <c r="L882" s="34">
        <f>PMT(Loans[[#This Row],[InterestRate]]/12,Loans[[#This Row],[LoanTenureMonths]],-Loans[[#This Row],[LoanAmount]])</f>
        <v>17109.969943699532</v>
      </c>
      <c r="M882" s="30">
        <f>EDATE(Loans[[#This Row],[LoanStartDate]],Loans[[#This Row],[LoanTenureMonths]])</f>
        <v>45696</v>
      </c>
      <c r="N882" s="33">
        <f>IF(Loans[[#This Row],[LoanAmount]]=0,0,Loans[[#This Row],[CollateralValue]]/Loans[[#This Row],[LoanAmount]])</f>
        <v>0</v>
      </c>
      <c r="O882" t="str">
        <f>IF(Loans[[#This Row],[CollateralCoverageRatio]]&lt;1,"Undersecured","Secured")</f>
        <v>Undersecured</v>
      </c>
      <c r="P882" t="str">
        <f>_xlfn.XLOOKUP(Loans[[#This Row],[BranchCode]],BranchesTbl[BranchCode],BranchesTbl[BranchName])</f>
        <v>Nyahururu</v>
      </c>
      <c r="Q882">
        <f>_xlfn.XLOOKUP(Loans[[#This Row],[CustomerID]],CustomerTbl[CustomerID],CustomerTbl[RiskScore])</f>
        <v>513</v>
      </c>
      <c r="R882" t="str">
        <f>IFERROR(INDEX(RiskTbl[Risk_Category],MATCH(Loans[[#This Row],[RiskScore]],RiskTbl[Score_Min],1)),"Unknown")</f>
        <v>High Risk</v>
      </c>
      <c r="S882" t="str">
        <f>IF(OR(Loans[[#This Row],[LoanStatus]]="Default",Loans[[#This Row],[LoanStatus]]="Watchlist",Loans[[#This Row],[CollateralRisk]]="Undersecured",Loans[[#This Row],[RiskCategory]]="High Risk"),"High Risk Exposure","Normal")</f>
        <v>High Risk Exposure</v>
      </c>
      <c r="T882" t="str" cm="1">
        <f t="array" ref="T882">_xlfn.IFS(
Loans[[#This Row],[LoanStatus]]="Default","Critical",
OR(Loans[[#This Row],[LoanStatus]]="Watchlist",Loans[[#This Row],[CollateralRisk]]="Undersecured",Loans[[#This Row],[RiskCategory]]="High Risk"),"High",
TRUE,"Normal"
)</f>
        <v>High</v>
      </c>
    </row>
    <row r="883" spans="1:20" x14ac:dyDescent="0.35">
      <c r="A883" t="s">
        <v>1577</v>
      </c>
      <c r="B883" t="s">
        <v>735</v>
      </c>
      <c r="C883" t="s">
        <v>267</v>
      </c>
      <c r="D883" t="s">
        <v>155</v>
      </c>
      <c r="E883" s="34">
        <v>250000</v>
      </c>
      <c r="F883" s="29">
        <v>0.25190000000000001</v>
      </c>
      <c r="G883" s="30">
        <v>44933</v>
      </c>
      <c r="H883">
        <v>24</v>
      </c>
      <c r="I883">
        <v>120</v>
      </c>
      <c r="J883" s="34">
        <v>0</v>
      </c>
      <c r="K883" t="s">
        <v>178</v>
      </c>
      <c r="L883" s="34">
        <f>PMT(Loans[[#This Row],[InterestRate]]/12,Loans[[#This Row],[LoanTenureMonths]],-Loans[[#This Row],[LoanAmount]])</f>
        <v>13366.724381783908</v>
      </c>
      <c r="M883" s="30">
        <f>EDATE(Loans[[#This Row],[LoanStartDate]],Loans[[#This Row],[LoanTenureMonths]])</f>
        <v>45664</v>
      </c>
      <c r="N883" s="33">
        <f>IF(Loans[[#This Row],[LoanAmount]]=0,0,Loans[[#This Row],[CollateralValue]]/Loans[[#This Row],[LoanAmount]])</f>
        <v>0</v>
      </c>
      <c r="O883" t="str">
        <f>IF(Loans[[#This Row],[CollateralCoverageRatio]]&lt;1,"Undersecured","Secured")</f>
        <v>Undersecured</v>
      </c>
      <c r="P883" t="str">
        <f>_xlfn.XLOOKUP(Loans[[#This Row],[BranchCode]],BranchesTbl[BranchCode],BranchesTbl[BranchName])</f>
        <v>Malindi</v>
      </c>
      <c r="Q883">
        <f>_xlfn.XLOOKUP(Loans[[#This Row],[CustomerID]],CustomerTbl[CustomerID],CustomerTbl[RiskScore])</f>
        <v>318</v>
      </c>
      <c r="R883" t="str">
        <f>IFERROR(INDEX(RiskTbl[Risk_Category],MATCH(Loans[[#This Row],[RiskScore]],RiskTbl[Score_Min],1)),"Unknown")</f>
        <v>High Risk</v>
      </c>
      <c r="S883" t="str">
        <f>IF(OR(Loans[[#This Row],[LoanStatus]]="Default",Loans[[#This Row],[LoanStatus]]="Watchlist",Loans[[#This Row],[CollateralRisk]]="Undersecured",Loans[[#This Row],[RiskCategory]]="High Risk"),"High Risk Exposure","Normal")</f>
        <v>High Risk Exposure</v>
      </c>
      <c r="T883" t="str" cm="1">
        <f t="array" ref="T883">_xlfn.IFS(
Loans[[#This Row],[LoanStatus]]="Default","Critical",
OR(Loans[[#This Row],[LoanStatus]]="Watchlist",Loans[[#This Row],[CollateralRisk]]="Undersecured",Loans[[#This Row],[RiskCategory]]="High Risk"),"High",
TRUE,"Normal"
)</f>
        <v>Critical</v>
      </c>
    </row>
    <row r="884" spans="1:20" x14ac:dyDescent="0.35">
      <c r="A884" t="s">
        <v>1578</v>
      </c>
      <c r="B884" t="s">
        <v>189</v>
      </c>
      <c r="C884" t="s">
        <v>170</v>
      </c>
      <c r="D884" t="s">
        <v>158</v>
      </c>
      <c r="E884" s="34">
        <v>500000</v>
      </c>
      <c r="F884" s="29">
        <v>0.19270000000000001</v>
      </c>
      <c r="G884" s="30">
        <v>45836</v>
      </c>
      <c r="H884">
        <v>48</v>
      </c>
      <c r="I884">
        <v>20</v>
      </c>
      <c r="J884" s="34">
        <v>380000</v>
      </c>
      <c r="K884" t="s">
        <v>171</v>
      </c>
      <c r="L884" s="34">
        <f>PMT(Loans[[#This Row],[InterestRate]]/12,Loans[[#This Row],[LoanTenureMonths]],-Loans[[#This Row],[LoanAmount]])</f>
        <v>15021.390265793565</v>
      </c>
      <c r="M884" s="30">
        <f>EDATE(Loans[[#This Row],[LoanStartDate]],Loans[[#This Row],[LoanTenureMonths]])</f>
        <v>47297</v>
      </c>
      <c r="N884" s="33">
        <f>IF(Loans[[#This Row],[LoanAmount]]=0,0,Loans[[#This Row],[CollateralValue]]/Loans[[#This Row],[LoanAmount]])</f>
        <v>0.76</v>
      </c>
      <c r="O884" t="str">
        <f>IF(Loans[[#This Row],[CollateralCoverageRatio]]&lt;1,"Undersecured","Secured")</f>
        <v>Undersecured</v>
      </c>
      <c r="P884" t="str">
        <f>_xlfn.XLOOKUP(Loans[[#This Row],[BranchCode]],BranchesTbl[BranchCode],BranchesTbl[BranchName])</f>
        <v>Thika</v>
      </c>
      <c r="Q884">
        <f>_xlfn.XLOOKUP(Loans[[#This Row],[CustomerID]],CustomerTbl[CustomerID],CustomerTbl[RiskScore])</f>
        <v>348</v>
      </c>
      <c r="R884" t="str">
        <f>IFERROR(INDEX(RiskTbl[Risk_Category],MATCH(Loans[[#This Row],[RiskScore]],RiskTbl[Score_Min],1)),"Unknown")</f>
        <v>High Risk</v>
      </c>
      <c r="S884" t="str">
        <f>IF(OR(Loans[[#This Row],[LoanStatus]]="Default",Loans[[#This Row],[LoanStatus]]="Watchlist",Loans[[#This Row],[CollateralRisk]]="Undersecured",Loans[[#This Row],[RiskCategory]]="High Risk"),"High Risk Exposure","Normal")</f>
        <v>High Risk Exposure</v>
      </c>
      <c r="T884" t="str" cm="1">
        <f t="array" ref="T884">_xlfn.IFS(
Loans[[#This Row],[LoanStatus]]="Default","Critical",
OR(Loans[[#This Row],[LoanStatus]]="Watchlist",Loans[[#This Row],[CollateralRisk]]="Undersecured",Loans[[#This Row],[RiskCategory]]="High Risk"),"High",
TRUE,"Normal"
)</f>
        <v>High</v>
      </c>
    </row>
    <row r="885" spans="1:20" x14ac:dyDescent="0.35">
      <c r="A885" t="s">
        <v>1579</v>
      </c>
      <c r="B885" t="s">
        <v>765</v>
      </c>
      <c r="C885" t="s">
        <v>267</v>
      </c>
      <c r="D885" t="s">
        <v>155</v>
      </c>
      <c r="E885" s="34">
        <v>100000</v>
      </c>
      <c r="F885" s="29">
        <v>0.24349999999999999</v>
      </c>
      <c r="G885" s="30">
        <v>45859</v>
      </c>
      <c r="H885">
        <v>48</v>
      </c>
      <c r="I885">
        <v>0</v>
      </c>
      <c r="J885" s="34">
        <v>0</v>
      </c>
      <c r="K885" t="s">
        <v>171</v>
      </c>
      <c r="L885" s="34">
        <f>PMT(Loans[[#This Row],[InterestRate]]/12,Loans[[#This Row],[LoanTenureMonths]],-Loans[[#This Row],[LoanAmount]])</f>
        <v>3279.5629508642846</v>
      </c>
      <c r="M885" s="30">
        <f>EDATE(Loans[[#This Row],[LoanStartDate]],Loans[[#This Row],[LoanTenureMonths]])</f>
        <v>47320</v>
      </c>
      <c r="N885" s="33">
        <f>IF(Loans[[#This Row],[LoanAmount]]=0,0,Loans[[#This Row],[CollateralValue]]/Loans[[#This Row],[LoanAmount]])</f>
        <v>0</v>
      </c>
      <c r="O885" t="str">
        <f>IF(Loans[[#This Row],[CollateralCoverageRatio]]&lt;1,"Undersecured","Secured")</f>
        <v>Undersecured</v>
      </c>
      <c r="P885" t="str">
        <f>_xlfn.XLOOKUP(Loans[[#This Row],[BranchCode]],BranchesTbl[BranchCode],BranchesTbl[BranchName])</f>
        <v>Malindi</v>
      </c>
      <c r="Q885">
        <f>_xlfn.XLOOKUP(Loans[[#This Row],[CustomerID]],CustomerTbl[CustomerID],CustomerTbl[RiskScore])</f>
        <v>389</v>
      </c>
      <c r="R885" t="str">
        <f>IFERROR(INDEX(RiskTbl[Risk_Category],MATCH(Loans[[#This Row],[RiskScore]],RiskTbl[Score_Min],1)),"Unknown")</f>
        <v>High Risk</v>
      </c>
      <c r="S885" t="str">
        <f>IF(OR(Loans[[#This Row],[LoanStatus]]="Default",Loans[[#This Row],[LoanStatus]]="Watchlist",Loans[[#This Row],[CollateralRisk]]="Undersecured",Loans[[#This Row],[RiskCategory]]="High Risk"),"High Risk Exposure","Normal")</f>
        <v>High Risk Exposure</v>
      </c>
      <c r="T885" t="str" cm="1">
        <f t="array" ref="T885">_xlfn.IFS(
Loans[[#This Row],[LoanStatus]]="Default","Critical",
OR(Loans[[#This Row],[LoanStatus]]="Watchlist",Loans[[#This Row],[CollateralRisk]]="Undersecured",Loans[[#This Row],[RiskCategory]]="High Risk"),"High",
TRUE,"Normal"
)</f>
        <v>High</v>
      </c>
    </row>
    <row r="886" spans="1:20" x14ac:dyDescent="0.35">
      <c r="A886" t="s">
        <v>1580</v>
      </c>
      <c r="B886" t="s">
        <v>663</v>
      </c>
      <c r="C886" t="s">
        <v>206</v>
      </c>
      <c r="D886" t="s">
        <v>158</v>
      </c>
      <c r="E886" s="34">
        <v>6000000</v>
      </c>
      <c r="F886" s="29">
        <v>0.15540000000000001</v>
      </c>
      <c r="G886" s="30">
        <v>45787</v>
      </c>
      <c r="H886">
        <v>12</v>
      </c>
      <c r="I886">
        <v>5</v>
      </c>
      <c r="J886" s="34">
        <v>5280000</v>
      </c>
      <c r="K886" t="s">
        <v>171</v>
      </c>
      <c r="L886" s="34">
        <f>PMT(Loans[[#This Row],[InterestRate]]/12,Loans[[#This Row],[LoanTenureMonths]],-Loans[[#This Row],[LoanAmount]])</f>
        <v>543079.91572583839</v>
      </c>
      <c r="M886" s="30">
        <f>EDATE(Loans[[#This Row],[LoanStartDate]],Loans[[#This Row],[LoanTenureMonths]])</f>
        <v>46152</v>
      </c>
      <c r="N886" s="33">
        <f>IF(Loans[[#This Row],[LoanAmount]]=0,0,Loans[[#This Row],[CollateralValue]]/Loans[[#This Row],[LoanAmount]])</f>
        <v>0.88</v>
      </c>
      <c r="O886" t="str">
        <f>IF(Loans[[#This Row],[CollateralCoverageRatio]]&lt;1,"Undersecured","Secured")</f>
        <v>Undersecured</v>
      </c>
      <c r="P886" t="str">
        <f>_xlfn.XLOOKUP(Loans[[#This Row],[BranchCode]],BranchesTbl[BranchCode],BranchesTbl[BranchName])</f>
        <v>Nyahururu</v>
      </c>
      <c r="Q886">
        <f>_xlfn.XLOOKUP(Loans[[#This Row],[CustomerID]],CustomerTbl[CustomerID],CustomerTbl[RiskScore])</f>
        <v>823</v>
      </c>
      <c r="R886" t="str">
        <f>IFERROR(INDEX(RiskTbl[Risk_Category],MATCH(Loans[[#This Row],[RiskScore]],RiskTbl[Score_Min],1)),"Unknown")</f>
        <v>Prime</v>
      </c>
      <c r="S886" t="str">
        <f>IF(OR(Loans[[#This Row],[LoanStatus]]="Default",Loans[[#This Row],[LoanStatus]]="Watchlist",Loans[[#This Row],[CollateralRisk]]="Undersecured",Loans[[#This Row],[RiskCategory]]="High Risk"),"High Risk Exposure","Normal")</f>
        <v>High Risk Exposure</v>
      </c>
      <c r="T886" t="str" cm="1">
        <f t="array" ref="T886">_xlfn.IFS(
Loans[[#This Row],[LoanStatus]]="Default","Critical",
OR(Loans[[#This Row],[LoanStatus]]="Watchlist",Loans[[#This Row],[CollateralRisk]]="Undersecured",Loans[[#This Row],[RiskCategory]]="High Risk"),"High",
TRUE,"Normal"
)</f>
        <v>High</v>
      </c>
    </row>
    <row r="887" spans="1:20" x14ac:dyDescent="0.35">
      <c r="A887" t="s">
        <v>1581</v>
      </c>
      <c r="B887" t="s">
        <v>726</v>
      </c>
      <c r="C887" t="s">
        <v>270</v>
      </c>
      <c r="D887" t="s">
        <v>155</v>
      </c>
      <c r="E887" s="34">
        <v>100000</v>
      </c>
      <c r="F887" s="29">
        <v>0.23419999999999999</v>
      </c>
      <c r="G887" s="30">
        <v>45718</v>
      </c>
      <c r="H887">
        <v>12</v>
      </c>
      <c r="I887">
        <v>5</v>
      </c>
      <c r="J887" s="34">
        <v>0</v>
      </c>
      <c r="K887" t="s">
        <v>171</v>
      </c>
      <c r="L887" s="34">
        <f>PMT(Loans[[#This Row],[InterestRate]]/12,Loans[[#This Row],[LoanTenureMonths]],-Loans[[#This Row],[LoanAmount]])</f>
        <v>9427.913465326541</v>
      </c>
      <c r="M887" s="30">
        <f>EDATE(Loans[[#This Row],[LoanStartDate]],Loans[[#This Row],[LoanTenureMonths]])</f>
        <v>46083</v>
      </c>
      <c r="N887" s="33">
        <f>IF(Loans[[#This Row],[LoanAmount]]=0,0,Loans[[#This Row],[CollateralValue]]/Loans[[#This Row],[LoanAmount]])</f>
        <v>0</v>
      </c>
      <c r="O887" t="str">
        <f>IF(Loans[[#This Row],[CollateralCoverageRatio]]&lt;1,"Undersecured","Secured")</f>
        <v>Undersecured</v>
      </c>
      <c r="P887" t="str">
        <f>_xlfn.XLOOKUP(Loans[[#This Row],[BranchCode]],BranchesTbl[BranchCode],BranchesTbl[BranchName])</f>
        <v>Nakuru</v>
      </c>
      <c r="Q887">
        <f>_xlfn.XLOOKUP(Loans[[#This Row],[CustomerID]],CustomerTbl[CustomerID],CustomerTbl[RiskScore])</f>
        <v>571</v>
      </c>
      <c r="R887" t="str">
        <f>IFERROR(INDEX(RiskTbl[Risk_Category],MATCH(Loans[[#This Row],[RiskScore]],RiskTbl[Score_Min],1)),"Unknown")</f>
        <v>High Risk</v>
      </c>
      <c r="S887" t="str">
        <f>IF(OR(Loans[[#This Row],[LoanStatus]]="Default",Loans[[#This Row],[LoanStatus]]="Watchlist",Loans[[#This Row],[CollateralRisk]]="Undersecured",Loans[[#This Row],[RiskCategory]]="High Risk"),"High Risk Exposure","Normal")</f>
        <v>High Risk Exposure</v>
      </c>
      <c r="T887" t="str" cm="1">
        <f t="array" ref="T887">_xlfn.IFS(
Loans[[#This Row],[LoanStatus]]="Default","Critical",
OR(Loans[[#This Row],[LoanStatus]]="Watchlist",Loans[[#This Row],[CollateralRisk]]="Undersecured",Loans[[#This Row],[RiskCategory]]="High Risk"),"High",
TRUE,"Normal"
)</f>
        <v>High</v>
      </c>
    </row>
    <row r="888" spans="1:20" x14ac:dyDescent="0.35">
      <c r="A888" t="s">
        <v>1582</v>
      </c>
      <c r="B888" t="s">
        <v>1013</v>
      </c>
      <c r="C888" t="s">
        <v>270</v>
      </c>
      <c r="D888" t="s">
        <v>156</v>
      </c>
      <c r="E888" s="34">
        <v>25000000</v>
      </c>
      <c r="F888" s="29">
        <v>0.15</v>
      </c>
      <c r="G888" s="30">
        <v>45192</v>
      </c>
      <c r="H888">
        <v>60</v>
      </c>
      <c r="I888">
        <v>0</v>
      </c>
      <c r="J888" s="34">
        <v>27000000</v>
      </c>
      <c r="K888" t="s">
        <v>171</v>
      </c>
      <c r="L888" s="34">
        <f>PMT(Loans[[#This Row],[InterestRate]]/12,Loans[[#This Row],[LoanTenureMonths]],-Loans[[#This Row],[LoanAmount]])</f>
        <v>594748.25215896824</v>
      </c>
      <c r="M888" s="30">
        <f>EDATE(Loans[[#This Row],[LoanStartDate]],Loans[[#This Row],[LoanTenureMonths]])</f>
        <v>47019</v>
      </c>
      <c r="N888" s="33">
        <f>IF(Loans[[#This Row],[LoanAmount]]=0,0,Loans[[#This Row],[CollateralValue]]/Loans[[#This Row],[LoanAmount]])</f>
        <v>1.08</v>
      </c>
      <c r="O888" t="str">
        <f>IF(Loans[[#This Row],[CollateralCoverageRatio]]&lt;1,"Undersecured","Secured")</f>
        <v>Secured</v>
      </c>
      <c r="P888" t="str">
        <f>_xlfn.XLOOKUP(Loans[[#This Row],[BranchCode]],BranchesTbl[BranchCode],BranchesTbl[BranchName])</f>
        <v>Nakuru</v>
      </c>
      <c r="Q888">
        <f>_xlfn.XLOOKUP(Loans[[#This Row],[CustomerID]],CustomerTbl[CustomerID],CustomerTbl[RiskScore])</f>
        <v>637</v>
      </c>
      <c r="R888" t="str">
        <f>IFERROR(INDEX(RiskTbl[Risk_Category],MATCH(Loans[[#This Row],[RiskScore]],RiskTbl[Score_Min],1)),"Unknown")</f>
        <v>Medium Risk</v>
      </c>
      <c r="S888" t="str">
        <f>IF(OR(Loans[[#This Row],[LoanStatus]]="Default",Loans[[#This Row],[LoanStatus]]="Watchlist",Loans[[#This Row],[CollateralRisk]]="Undersecured",Loans[[#This Row],[RiskCategory]]="High Risk"),"High Risk Exposure","Normal")</f>
        <v>Normal</v>
      </c>
      <c r="T888" t="str" cm="1">
        <f t="array" ref="T888">_xlfn.IFS(
Loans[[#This Row],[LoanStatus]]="Default","Critical",
OR(Loans[[#This Row],[LoanStatus]]="Watchlist",Loans[[#This Row],[CollateralRisk]]="Undersecured",Loans[[#This Row],[RiskCategory]]="High Risk"),"High",
TRUE,"Normal"
)</f>
        <v>Normal</v>
      </c>
    </row>
    <row r="889" spans="1:20" x14ac:dyDescent="0.35">
      <c r="A889" t="s">
        <v>1583</v>
      </c>
      <c r="B889" t="s">
        <v>466</v>
      </c>
      <c r="C889" t="s">
        <v>187</v>
      </c>
      <c r="D889" t="s">
        <v>158</v>
      </c>
      <c r="E889" s="34">
        <v>500000</v>
      </c>
      <c r="F889" s="29">
        <v>0.12759999999999999</v>
      </c>
      <c r="G889" s="30">
        <v>44455</v>
      </c>
      <c r="H889">
        <v>60</v>
      </c>
      <c r="I889">
        <v>5</v>
      </c>
      <c r="J889" s="34">
        <v>630000</v>
      </c>
      <c r="K889" t="s">
        <v>171</v>
      </c>
      <c r="L889" s="34">
        <f>PMT(Loans[[#This Row],[InterestRate]]/12,Loans[[#This Row],[LoanTenureMonths]],-Loans[[#This Row],[LoanAmount]])</f>
        <v>11315.201754263415</v>
      </c>
      <c r="M889" s="30">
        <f>EDATE(Loans[[#This Row],[LoanStartDate]],Loans[[#This Row],[LoanTenureMonths]])</f>
        <v>46281</v>
      </c>
      <c r="N889" s="33">
        <f>IF(Loans[[#This Row],[LoanAmount]]=0,0,Loans[[#This Row],[CollateralValue]]/Loans[[#This Row],[LoanAmount]])</f>
        <v>1.26</v>
      </c>
      <c r="O889" t="str">
        <f>IF(Loans[[#This Row],[CollateralCoverageRatio]]&lt;1,"Undersecured","Secured")</f>
        <v>Secured</v>
      </c>
      <c r="P889" t="str">
        <f>_xlfn.XLOOKUP(Loans[[#This Row],[BranchCode]],BranchesTbl[BranchCode],BranchesTbl[BranchName])</f>
        <v>Eldoret</v>
      </c>
      <c r="Q889">
        <f>_xlfn.XLOOKUP(Loans[[#This Row],[CustomerID]],CustomerTbl[CustomerID],CustomerTbl[RiskScore])</f>
        <v>746</v>
      </c>
      <c r="R889" t="str">
        <f>IFERROR(INDEX(RiskTbl[Risk_Category],MATCH(Loans[[#This Row],[RiskScore]],RiskTbl[Score_Min],1)),"Unknown")</f>
        <v>Very Low Risk</v>
      </c>
      <c r="S889" t="str">
        <f>IF(OR(Loans[[#This Row],[LoanStatus]]="Default",Loans[[#This Row],[LoanStatus]]="Watchlist",Loans[[#This Row],[CollateralRisk]]="Undersecured",Loans[[#This Row],[RiskCategory]]="High Risk"),"High Risk Exposure","Normal")</f>
        <v>Normal</v>
      </c>
      <c r="T889" t="str" cm="1">
        <f t="array" ref="T889">_xlfn.IFS(
Loans[[#This Row],[LoanStatus]]="Default","Critical",
OR(Loans[[#This Row],[LoanStatus]]="Watchlist",Loans[[#This Row],[CollateralRisk]]="Undersecured",Loans[[#This Row],[RiskCategory]]="High Risk"),"High",
TRUE,"Normal"
)</f>
        <v>Normal</v>
      </c>
    </row>
    <row r="890" spans="1:20" x14ac:dyDescent="0.35">
      <c r="A890" t="s">
        <v>1584</v>
      </c>
      <c r="B890" t="s">
        <v>1585</v>
      </c>
      <c r="C890" t="s">
        <v>219</v>
      </c>
      <c r="D890" t="s">
        <v>158</v>
      </c>
      <c r="E890" s="34">
        <v>6000000</v>
      </c>
      <c r="F890" s="29">
        <v>0.17730000000000001</v>
      </c>
      <c r="G890" s="30">
        <v>45711</v>
      </c>
      <c r="H890">
        <v>36</v>
      </c>
      <c r="I890">
        <v>0</v>
      </c>
      <c r="J890" s="34">
        <v>8580000</v>
      </c>
      <c r="K890" t="s">
        <v>171</v>
      </c>
      <c r="L890" s="34">
        <f>PMT(Loans[[#This Row],[InterestRate]]/12,Loans[[#This Row],[LoanTenureMonths]],-Loans[[#This Row],[LoanAmount]])</f>
        <v>216102.56724504553</v>
      </c>
      <c r="M890" s="30">
        <f>EDATE(Loans[[#This Row],[LoanStartDate]],Loans[[#This Row],[LoanTenureMonths]])</f>
        <v>46806</v>
      </c>
      <c r="N890" s="33">
        <f>IF(Loans[[#This Row],[LoanAmount]]=0,0,Loans[[#This Row],[CollateralValue]]/Loans[[#This Row],[LoanAmount]])</f>
        <v>1.43</v>
      </c>
      <c r="O890" t="str">
        <f>IF(Loans[[#This Row],[CollateralCoverageRatio]]&lt;1,"Undersecured","Secured")</f>
        <v>Secured</v>
      </c>
      <c r="P890" t="str">
        <f>_xlfn.XLOOKUP(Loans[[#This Row],[BranchCode]],BranchesTbl[BranchCode],BranchesTbl[BranchName])</f>
        <v>Meru</v>
      </c>
      <c r="Q890">
        <f>_xlfn.XLOOKUP(Loans[[#This Row],[CustomerID]],CustomerTbl[CustomerID],CustomerTbl[RiskScore])</f>
        <v>744</v>
      </c>
      <c r="R890" t="str">
        <f>IFERROR(INDEX(RiskTbl[Risk_Category],MATCH(Loans[[#This Row],[RiskScore]],RiskTbl[Score_Min],1)),"Unknown")</f>
        <v>Very Low Risk</v>
      </c>
      <c r="S890" t="str">
        <f>IF(OR(Loans[[#This Row],[LoanStatus]]="Default",Loans[[#This Row],[LoanStatus]]="Watchlist",Loans[[#This Row],[CollateralRisk]]="Undersecured",Loans[[#This Row],[RiskCategory]]="High Risk"),"High Risk Exposure","Normal")</f>
        <v>Normal</v>
      </c>
      <c r="T890" t="str" cm="1">
        <f t="array" ref="T890">_xlfn.IFS(
Loans[[#This Row],[LoanStatus]]="Default","Critical",
OR(Loans[[#This Row],[LoanStatus]]="Watchlist",Loans[[#This Row],[CollateralRisk]]="Undersecured",Loans[[#This Row],[RiskCategory]]="High Risk"),"High",
TRUE,"Normal"
)</f>
        <v>Normal</v>
      </c>
    </row>
    <row r="891" spans="1:20" x14ac:dyDescent="0.35">
      <c r="A891" t="s">
        <v>1586</v>
      </c>
      <c r="B891" t="s">
        <v>1460</v>
      </c>
      <c r="C891" t="s">
        <v>219</v>
      </c>
      <c r="D891" t="s">
        <v>158</v>
      </c>
      <c r="E891" s="34">
        <v>500000</v>
      </c>
      <c r="F891" s="29">
        <v>0.14349999999999999</v>
      </c>
      <c r="G891" s="30">
        <v>44626</v>
      </c>
      <c r="H891">
        <v>60</v>
      </c>
      <c r="I891">
        <v>10</v>
      </c>
      <c r="J891" s="34">
        <v>265000</v>
      </c>
      <c r="K891" t="s">
        <v>171</v>
      </c>
      <c r="L891" s="34">
        <f>PMT(Loans[[#This Row],[InterestRate]]/12,Loans[[#This Row],[LoanTenureMonths]],-Loans[[#This Row],[LoanAmount]])</f>
        <v>11725.050867782826</v>
      </c>
      <c r="M891" s="30">
        <f>EDATE(Loans[[#This Row],[LoanStartDate]],Loans[[#This Row],[LoanTenureMonths]])</f>
        <v>46452</v>
      </c>
      <c r="N891" s="33">
        <f>IF(Loans[[#This Row],[LoanAmount]]=0,0,Loans[[#This Row],[CollateralValue]]/Loans[[#This Row],[LoanAmount]])</f>
        <v>0.53</v>
      </c>
      <c r="O891" t="str">
        <f>IF(Loans[[#This Row],[CollateralCoverageRatio]]&lt;1,"Undersecured","Secured")</f>
        <v>Undersecured</v>
      </c>
      <c r="P891" t="str">
        <f>_xlfn.XLOOKUP(Loans[[#This Row],[BranchCode]],BranchesTbl[BranchCode],BranchesTbl[BranchName])</f>
        <v>Meru</v>
      </c>
      <c r="Q891">
        <f>_xlfn.XLOOKUP(Loans[[#This Row],[CustomerID]],CustomerTbl[CustomerID],CustomerTbl[RiskScore])</f>
        <v>537</v>
      </c>
      <c r="R891" t="str">
        <f>IFERROR(INDEX(RiskTbl[Risk_Category],MATCH(Loans[[#This Row],[RiskScore]],RiskTbl[Score_Min],1)),"Unknown")</f>
        <v>High Risk</v>
      </c>
      <c r="S891" t="str">
        <f>IF(OR(Loans[[#This Row],[LoanStatus]]="Default",Loans[[#This Row],[LoanStatus]]="Watchlist",Loans[[#This Row],[CollateralRisk]]="Undersecured",Loans[[#This Row],[RiskCategory]]="High Risk"),"High Risk Exposure","Normal")</f>
        <v>High Risk Exposure</v>
      </c>
      <c r="T891" t="str" cm="1">
        <f t="array" ref="T891">_xlfn.IFS(
Loans[[#This Row],[LoanStatus]]="Default","Critical",
OR(Loans[[#This Row],[LoanStatus]]="Watchlist",Loans[[#This Row],[CollateralRisk]]="Undersecured",Loans[[#This Row],[RiskCategory]]="High Risk"),"High",
TRUE,"Normal"
)</f>
        <v>High</v>
      </c>
    </row>
    <row r="892" spans="1:20" x14ac:dyDescent="0.35">
      <c r="A892" t="s">
        <v>1587</v>
      </c>
      <c r="B892" t="s">
        <v>1000</v>
      </c>
      <c r="C892" t="s">
        <v>187</v>
      </c>
      <c r="D892" t="s">
        <v>158</v>
      </c>
      <c r="E892" s="34">
        <v>3000000</v>
      </c>
      <c r="F892" s="29">
        <v>0.17150000000000001</v>
      </c>
      <c r="G892" s="30">
        <v>44418</v>
      </c>
      <c r="H892">
        <v>48</v>
      </c>
      <c r="I892">
        <v>20</v>
      </c>
      <c r="J892" s="34">
        <v>2010000</v>
      </c>
      <c r="K892" t="s">
        <v>171</v>
      </c>
      <c r="L892" s="34">
        <f>PMT(Loans[[#This Row],[InterestRate]]/12,Loans[[#This Row],[LoanTenureMonths]],-Loans[[#This Row],[LoanAmount]])</f>
        <v>86798.116495470269</v>
      </c>
      <c r="M892" s="30">
        <f>EDATE(Loans[[#This Row],[LoanStartDate]],Loans[[#This Row],[LoanTenureMonths]])</f>
        <v>45879</v>
      </c>
      <c r="N892" s="33">
        <f>IF(Loans[[#This Row],[LoanAmount]]=0,0,Loans[[#This Row],[CollateralValue]]/Loans[[#This Row],[LoanAmount]])</f>
        <v>0.67</v>
      </c>
      <c r="O892" t="str">
        <f>IF(Loans[[#This Row],[CollateralCoverageRatio]]&lt;1,"Undersecured","Secured")</f>
        <v>Undersecured</v>
      </c>
      <c r="P892" t="str">
        <f>_xlfn.XLOOKUP(Loans[[#This Row],[BranchCode]],BranchesTbl[BranchCode],BranchesTbl[BranchName])</f>
        <v>Eldoret</v>
      </c>
      <c r="Q892">
        <f>_xlfn.XLOOKUP(Loans[[#This Row],[CustomerID]],CustomerTbl[CustomerID],CustomerTbl[RiskScore])</f>
        <v>500</v>
      </c>
      <c r="R892" t="str">
        <f>IFERROR(INDEX(RiskTbl[Risk_Category],MATCH(Loans[[#This Row],[RiskScore]],RiskTbl[Score_Min],1)),"Unknown")</f>
        <v>High Risk</v>
      </c>
      <c r="S892" t="str">
        <f>IF(OR(Loans[[#This Row],[LoanStatus]]="Default",Loans[[#This Row],[LoanStatus]]="Watchlist",Loans[[#This Row],[CollateralRisk]]="Undersecured",Loans[[#This Row],[RiskCategory]]="High Risk"),"High Risk Exposure","Normal")</f>
        <v>High Risk Exposure</v>
      </c>
      <c r="T892" t="str" cm="1">
        <f t="array" ref="T892">_xlfn.IFS(
Loans[[#This Row],[LoanStatus]]="Default","Critical",
OR(Loans[[#This Row],[LoanStatus]]="Watchlist",Loans[[#This Row],[CollateralRisk]]="Undersecured",Loans[[#This Row],[RiskCategory]]="High Risk"),"High",
TRUE,"Normal"
)</f>
        <v>High</v>
      </c>
    </row>
    <row r="893" spans="1:20" x14ac:dyDescent="0.35">
      <c r="A893" t="s">
        <v>1588</v>
      </c>
      <c r="B893" t="s">
        <v>549</v>
      </c>
      <c r="C893" t="s">
        <v>232</v>
      </c>
      <c r="D893" t="s">
        <v>155</v>
      </c>
      <c r="E893" s="34">
        <v>1000000</v>
      </c>
      <c r="F893" s="29">
        <v>0.2271</v>
      </c>
      <c r="G893" s="30">
        <v>44979</v>
      </c>
      <c r="H893">
        <v>72</v>
      </c>
      <c r="I893">
        <v>90</v>
      </c>
      <c r="J893" s="34">
        <v>0</v>
      </c>
      <c r="K893" t="s">
        <v>199</v>
      </c>
      <c r="L893" s="34">
        <f>PMT(Loans[[#This Row],[InterestRate]]/12,Loans[[#This Row],[LoanTenureMonths]],-Loans[[#This Row],[LoanAmount]])</f>
        <v>25549.285833057151</v>
      </c>
      <c r="M893" s="30">
        <f>EDATE(Loans[[#This Row],[LoanStartDate]],Loans[[#This Row],[LoanTenureMonths]])</f>
        <v>47171</v>
      </c>
      <c r="N893" s="33">
        <f>IF(Loans[[#This Row],[LoanAmount]]=0,0,Loans[[#This Row],[CollateralValue]]/Loans[[#This Row],[LoanAmount]])</f>
        <v>0</v>
      </c>
      <c r="O893" t="str">
        <f>IF(Loans[[#This Row],[CollateralCoverageRatio]]&lt;1,"Undersecured","Secured")</f>
        <v>Undersecured</v>
      </c>
      <c r="P893" t="str">
        <f>_xlfn.XLOOKUP(Loans[[#This Row],[BranchCode]],BranchesTbl[BranchCode],BranchesTbl[BranchName])</f>
        <v>Upper Hill</v>
      </c>
      <c r="Q893">
        <f>_xlfn.XLOOKUP(Loans[[#This Row],[CustomerID]],CustomerTbl[CustomerID],CustomerTbl[RiskScore])</f>
        <v>841</v>
      </c>
      <c r="R893" t="str">
        <f>IFERROR(INDEX(RiskTbl[Risk_Category],MATCH(Loans[[#This Row],[RiskScore]],RiskTbl[Score_Min],1)),"Unknown")</f>
        <v>Prime</v>
      </c>
      <c r="S893" t="str">
        <f>IF(OR(Loans[[#This Row],[LoanStatus]]="Default",Loans[[#This Row],[LoanStatus]]="Watchlist",Loans[[#This Row],[CollateralRisk]]="Undersecured",Loans[[#This Row],[RiskCategory]]="High Risk"),"High Risk Exposure","Normal")</f>
        <v>High Risk Exposure</v>
      </c>
      <c r="T893" t="str" cm="1">
        <f t="array" ref="T893">_xlfn.IFS(
Loans[[#This Row],[LoanStatus]]="Default","Critical",
OR(Loans[[#This Row],[LoanStatus]]="Watchlist",Loans[[#This Row],[CollateralRisk]]="Undersecured",Loans[[#This Row],[RiskCategory]]="High Risk"),"High",
TRUE,"Normal"
)</f>
        <v>High</v>
      </c>
    </row>
    <row r="894" spans="1:20" x14ac:dyDescent="0.35">
      <c r="A894" t="s">
        <v>1589</v>
      </c>
      <c r="B894" t="s">
        <v>1164</v>
      </c>
      <c r="C894" t="s">
        <v>196</v>
      </c>
      <c r="D894" t="s">
        <v>157</v>
      </c>
      <c r="E894" s="34">
        <v>25000000</v>
      </c>
      <c r="F894" s="29">
        <v>0.13450000000000001</v>
      </c>
      <c r="G894" s="30">
        <v>44873</v>
      </c>
      <c r="H894">
        <v>24</v>
      </c>
      <c r="I894">
        <v>0</v>
      </c>
      <c r="J894" s="34">
        <v>31250000</v>
      </c>
      <c r="K894" t="s">
        <v>171</v>
      </c>
      <c r="L894" s="34">
        <f>PMT(Loans[[#This Row],[InterestRate]]/12,Loans[[#This Row],[LoanTenureMonths]],-Loans[[#This Row],[LoanAmount]])</f>
        <v>1193836.6215084265</v>
      </c>
      <c r="M894" s="30">
        <f>EDATE(Loans[[#This Row],[LoanStartDate]],Loans[[#This Row],[LoanTenureMonths]])</f>
        <v>45604</v>
      </c>
      <c r="N894" s="33">
        <f>IF(Loans[[#This Row],[LoanAmount]]=0,0,Loans[[#This Row],[CollateralValue]]/Loans[[#This Row],[LoanAmount]])</f>
        <v>1.25</v>
      </c>
      <c r="O894" t="str">
        <f>IF(Loans[[#This Row],[CollateralCoverageRatio]]&lt;1,"Undersecured","Secured")</f>
        <v>Secured</v>
      </c>
      <c r="P894" t="str">
        <f>_xlfn.XLOOKUP(Loans[[#This Row],[BranchCode]],BranchesTbl[BranchCode],BranchesTbl[BranchName])</f>
        <v>Karen</v>
      </c>
      <c r="Q894">
        <f>_xlfn.XLOOKUP(Loans[[#This Row],[CustomerID]],CustomerTbl[CustomerID],CustomerTbl[RiskScore])</f>
        <v>332</v>
      </c>
      <c r="R894" t="str">
        <f>IFERROR(INDEX(RiskTbl[Risk_Category],MATCH(Loans[[#This Row],[RiskScore]],RiskTbl[Score_Min],1)),"Unknown")</f>
        <v>High Risk</v>
      </c>
      <c r="S894" t="str">
        <f>IF(OR(Loans[[#This Row],[LoanStatus]]="Default",Loans[[#This Row],[LoanStatus]]="Watchlist",Loans[[#This Row],[CollateralRisk]]="Undersecured",Loans[[#This Row],[RiskCategory]]="High Risk"),"High Risk Exposure","Normal")</f>
        <v>High Risk Exposure</v>
      </c>
      <c r="T894" t="str" cm="1">
        <f t="array" ref="T894">_xlfn.IFS(
Loans[[#This Row],[LoanStatus]]="Default","Critical",
OR(Loans[[#This Row],[LoanStatus]]="Watchlist",Loans[[#This Row],[CollateralRisk]]="Undersecured",Loans[[#This Row],[RiskCategory]]="High Risk"),"High",
TRUE,"Normal"
)</f>
        <v>High</v>
      </c>
    </row>
    <row r="895" spans="1:20" x14ac:dyDescent="0.35">
      <c r="A895" t="s">
        <v>1590</v>
      </c>
      <c r="B895" t="s">
        <v>790</v>
      </c>
      <c r="C895" t="s">
        <v>177</v>
      </c>
      <c r="D895" t="s">
        <v>156</v>
      </c>
      <c r="E895" s="34">
        <v>1000000</v>
      </c>
      <c r="F895" s="29">
        <v>0.2094</v>
      </c>
      <c r="G895" s="30">
        <v>44186</v>
      </c>
      <c r="H895">
        <v>36</v>
      </c>
      <c r="I895">
        <v>0</v>
      </c>
      <c r="J895" s="34">
        <v>580000</v>
      </c>
      <c r="K895" t="s">
        <v>171</v>
      </c>
      <c r="L895" s="34">
        <f>PMT(Loans[[#This Row],[InterestRate]]/12,Loans[[#This Row],[LoanTenureMonths]],-Loans[[#This Row],[LoanAmount]])</f>
        <v>37644.268075221815</v>
      </c>
      <c r="M895" s="30">
        <f>EDATE(Loans[[#This Row],[LoanStartDate]],Loans[[#This Row],[LoanTenureMonths]])</f>
        <v>45281</v>
      </c>
      <c r="N895" s="33">
        <f>IF(Loans[[#This Row],[LoanAmount]]=0,0,Loans[[#This Row],[CollateralValue]]/Loans[[#This Row],[LoanAmount]])</f>
        <v>0.57999999999999996</v>
      </c>
      <c r="O895" t="str">
        <f>IF(Loans[[#This Row],[CollateralCoverageRatio]]&lt;1,"Undersecured","Secured")</f>
        <v>Undersecured</v>
      </c>
      <c r="P895" t="str">
        <f>_xlfn.XLOOKUP(Loans[[#This Row],[BranchCode]],BranchesTbl[BranchCode],BranchesTbl[BranchName])</f>
        <v>Naivasha</v>
      </c>
      <c r="Q895">
        <f>_xlfn.XLOOKUP(Loans[[#This Row],[CustomerID]],CustomerTbl[CustomerID],CustomerTbl[RiskScore])</f>
        <v>651</v>
      </c>
      <c r="R895" t="str">
        <f>IFERROR(INDEX(RiskTbl[Risk_Category],MATCH(Loans[[#This Row],[RiskScore]],RiskTbl[Score_Min],1)),"Unknown")</f>
        <v>Medium Risk</v>
      </c>
      <c r="S895" t="str">
        <f>IF(OR(Loans[[#This Row],[LoanStatus]]="Default",Loans[[#This Row],[LoanStatus]]="Watchlist",Loans[[#This Row],[CollateralRisk]]="Undersecured",Loans[[#This Row],[RiskCategory]]="High Risk"),"High Risk Exposure","Normal")</f>
        <v>High Risk Exposure</v>
      </c>
      <c r="T895" t="str" cm="1">
        <f t="array" ref="T895">_xlfn.IFS(
Loans[[#This Row],[LoanStatus]]="Default","Critical",
OR(Loans[[#This Row],[LoanStatus]]="Watchlist",Loans[[#This Row],[CollateralRisk]]="Undersecured",Loans[[#This Row],[RiskCategory]]="High Risk"),"High",
TRUE,"Normal"
)</f>
        <v>High</v>
      </c>
    </row>
    <row r="896" spans="1:20" x14ac:dyDescent="0.35">
      <c r="A896" t="s">
        <v>1591</v>
      </c>
      <c r="B896" t="s">
        <v>1592</v>
      </c>
      <c r="C896" t="s">
        <v>267</v>
      </c>
      <c r="D896" t="s">
        <v>158</v>
      </c>
      <c r="E896" s="34">
        <v>500000</v>
      </c>
      <c r="F896" s="29">
        <v>0.1804</v>
      </c>
      <c r="G896" s="30">
        <v>45735</v>
      </c>
      <c r="H896">
        <v>12</v>
      </c>
      <c r="I896">
        <v>0</v>
      </c>
      <c r="J896" s="34">
        <v>695000</v>
      </c>
      <c r="K896" t="s">
        <v>171</v>
      </c>
      <c r="L896" s="34">
        <f>PMT(Loans[[#This Row],[InterestRate]]/12,Loans[[#This Row],[LoanTenureMonths]],-Loans[[#This Row],[LoanAmount]])</f>
        <v>45849.515259462431</v>
      </c>
      <c r="M896" s="30">
        <f>EDATE(Loans[[#This Row],[LoanStartDate]],Loans[[#This Row],[LoanTenureMonths]])</f>
        <v>46100</v>
      </c>
      <c r="N896" s="33">
        <f>IF(Loans[[#This Row],[LoanAmount]]=0,0,Loans[[#This Row],[CollateralValue]]/Loans[[#This Row],[LoanAmount]])</f>
        <v>1.39</v>
      </c>
      <c r="O896" t="str">
        <f>IF(Loans[[#This Row],[CollateralCoverageRatio]]&lt;1,"Undersecured","Secured")</f>
        <v>Secured</v>
      </c>
      <c r="P896" t="str">
        <f>_xlfn.XLOOKUP(Loans[[#This Row],[BranchCode]],BranchesTbl[BranchCode],BranchesTbl[BranchName])</f>
        <v>Malindi</v>
      </c>
      <c r="Q896">
        <f>_xlfn.XLOOKUP(Loans[[#This Row],[CustomerID]],CustomerTbl[CustomerID],CustomerTbl[RiskScore])</f>
        <v>641</v>
      </c>
      <c r="R896" t="str">
        <f>IFERROR(INDEX(RiskTbl[Risk_Category],MATCH(Loans[[#This Row],[RiskScore]],RiskTbl[Score_Min],1)),"Unknown")</f>
        <v>Medium Risk</v>
      </c>
      <c r="S896" t="str">
        <f>IF(OR(Loans[[#This Row],[LoanStatus]]="Default",Loans[[#This Row],[LoanStatus]]="Watchlist",Loans[[#This Row],[CollateralRisk]]="Undersecured",Loans[[#This Row],[RiskCategory]]="High Risk"),"High Risk Exposure","Normal")</f>
        <v>Normal</v>
      </c>
      <c r="T896" t="str" cm="1">
        <f t="array" ref="T896">_xlfn.IFS(
Loans[[#This Row],[LoanStatus]]="Default","Critical",
OR(Loans[[#This Row],[LoanStatus]]="Watchlist",Loans[[#This Row],[CollateralRisk]]="Undersecured",Loans[[#This Row],[RiskCategory]]="High Risk"),"High",
TRUE,"Normal"
)</f>
        <v>Normal</v>
      </c>
    </row>
    <row r="897" spans="1:20" x14ac:dyDescent="0.35">
      <c r="A897" t="s">
        <v>1593</v>
      </c>
      <c r="B897" t="s">
        <v>1594</v>
      </c>
      <c r="C897" t="s">
        <v>219</v>
      </c>
      <c r="D897" t="s">
        <v>158</v>
      </c>
      <c r="E897" s="34">
        <v>6000000</v>
      </c>
      <c r="F897" s="29">
        <v>0.1227</v>
      </c>
      <c r="G897" s="30">
        <v>44933</v>
      </c>
      <c r="H897">
        <v>60</v>
      </c>
      <c r="I897">
        <v>0</v>
      </c>
      <c r="J897" s="34">
        <v>4020000</v>
      </c>
      <c r="K897" t="s">
        <v>171</v>
      </c>
      <c r="L897" s="34">
        <f>PMT(Loans[[#This Row],[InterestRate]]/12,Loans[[#This Row],[LoanTenureMonths]],-Loans[[#This Row],[LoanAmount]])</f>
        <v>134286.76796161491</v>
      </c>
      <c r="M897" s="30">
        <f>EDATE(Loans[[#This Row],[LoanStartDate]],Loans[[#This Row],[LoanTenureMonths]])</f>
        <v>46759</v>
      </c>
      <c r="N897" s="33">
        <f>IF(Loans[[#This Row],[LoanAmount]]=0,0,Loans[[#This Row],[CollateralValue]]/Loans[[#This Row],[LoanAmount]])</f>
        <v>0.67</v>
      </c>
      <c r="O897" t="str">
        <f>IF(Loans[[#This Row],[CollateralCoverageRatio]]&lt;1,"Undersecured","Secured")</f>
        <v>Undersecured</v>
      </c>
      <c r="P897" t="str">
        <f>_xlfn.XLOOKUP(Loans[[#This Row],[BranchCode]],BranchesTbl[BranchCode],BranchesTbl[BranchName])</f>
        <v>Meru</v>
      </c>
      <c r="Q897">
        <f>_xlfn.XLOOKUP(Loans[[#This Row],[CustomerID]],CustomerTbl[CustomerID],CustomerTbl[RiskScore])</f>
        <v>457</v>
      </c>
      <c r="R897" t="str">
        <f>IFERROR(INDEX(RiskTbl[Risk_Category],MATCH(Loans[[#This Row],[RiskScore]],RiskTbl[Score_Min],1)),"Unknown")</f>
        <v>High Risk</v>
      </c>
      <c r="S897" t="str">
        <f>IF(OR(Loans[[#This Row],[LoanStatus]]="Default",Loans[[#This Row],[LoanStatus]]="Watchlist",Loans[[#This Row],[CollateralRisk]]="Undersecured",Loans[[#This Row],[RiskCategory]]="High Risk"),"High Risk Exposure","Normal")</f>
        <v>High Risk Exposure</v>
      </c>
      <c r="T897" t="str" cm="1">
        <f t="array" ref="T897">_xlfn.IFS(
Loans[[#This Row],[LoanStatus]]="Default","Critical",
OR(Loans[[#This Row],[LoanStatus]]="Watchlist",Loans[[#This Row],[CollateralRisk]]="Undersecured",Loans[[#This Row],[RiskCategory]]="High Risk"),"High",
TRUE,"Normal"
)</f>
        <v>High</v>
      </c>
    </row>
    <row r="898" spans="1:20" x14ac:dyDescent="0.35">
      <c r="A898" t="s">
        <v>1595</v>
      </c>
      <c r="B898" t="s">
        <v>598</v>
      </c>
      <c r="C898" t="s">
        <v>239</v>
      </c>
      <c r="D898" t="s">
        <v>158</v>
      </c>
      <c r="E898" s="34">
        <v>500000</v>
      </c>
      <c r="F898" s="29">
        <v>0.19550000000000001</v>
      </c>
      <c r="G898" s="30">
        <v>44781</v>
      </c>
      <c r="H898">
        <v>60</v>
      </c>
      <c r="I898">
        <v>90</v>
      </c>
      <c r="J898" s="34">
        <v>490000</v>
      </c>
      <c r="K898" t="s">
        <v>199</v>
      </c>
      <c r="L898" s="34">
        <f>PMT(Loans[[#This Row],[InterestRate]]/12,Loans[[#This Row],[LoanTenureMonths]],-Loans[[#This Row],[LoanAmount]])</f>
        <v>13122.059920159454</v>
      </c>
      <c r="M898" s="30">
        <f>EDATE(Loans[[#This Row],[LoanStartDate]],Loans[[#This Row],[LoanTenureMonths]])</f>
        <v>46607</v>
      </c>
      <c r="N898" s="33">
        <f>IF(Loans[[#This Row],[LoanAmount]]=0,0,Loans[[#This Row],[CollateralValue]]/Loans[[#This Row],[LoanAmount]])</f>
        <v>0.98</v>
      </c>
      <c r="O898" t="str">
        <f>IF(Loans[[#This Row],[CollateralCoverageRatio]]&lt;1,"Undersecured","Secured")</f>
        <v>Undersecured</v>
      </c>
      <c r="P898" t="str">
        <f>_xlfn.XLOOKUP(Loans[[#This Row],[BranchCode]],BranchesTbl[BranchCode],BranchesTbl[BranchName])</f>
        <v>Machakos</v>
      </c>
      <c r="Q898">
        <f>_xlfn.XLOOKUP(Loans[[#This Row],[CustomerID]],CustomerTbl[CustomerID],CustomerTbl[RiskScore])</f>
        <v>329</v>
      </c>
      <c r="R898" t="str">
        <f>IFERROR(INDEX(RiskTbl[Risk_Category],MATCH(Loans[[#This Row],[RiskScore]],RiskTbl[Score_Min],1)),"Unknown")</f>
        <v>High Risk</v>
      </c>
      <c r="S898" t="str">
        <f>IF(OR(Loans[[#This Row],[LoanStatus]]="Default",Loans[[#This Row],[LoanStatus]]="Watchlist",Loans[[#This Row],[CollateralRisk]]="Undersecured",Loans[[#This Row],[RiskCategory]]="High Risk"),"High Risk Exposure","Normal")</f>
        <v>High Risk Exposure</v>
      </c>
      <c r="T898" t="str" cm="1">
        <f t="array" ref="T898">_xlfn.IFS(
Loans[[#This Row],[LoanStatus]]="Default","Critical",
OR(Loans[[#This Row],[LoanStatus]]="Watchlist",Loans[[#This Row],[CollateralRisk]]="Undersecured",Loans[[#This Row],[RiskCategory]]="High Risk"),"High",
TRUE,"Normal"
)</f>
        <v>High</v>
      </c>
    </row>
    <row r="899" spans="1:20" x14ac:dyDescent="0.35">
      <c r="A899" t="s">
        <v>1596</v>
      </c>
      <c r="B899" t="s">
        <v>990</v>
      </c>
      <c r="C899" t="s">
        <v>196</v>
      </c>
      <c r="D899" t="s">
        <v>155</v>
      </c>
      <c r="E899" s="34">
        <v>500000</v>
      </c>
      <c r="F899" s="29">
        <v>0.25629999999999997</v>
      </c>
      <c r="G899" s="30">
        <v>45591</v>
      </c>
      <c r="H899">
        <v>36</v>
      </c>
      <c r="I899">
        <v>5</v>
      </c>
      <c r="J899" s="34">
        <v>0</v>
      </c>
      <c r="K899" t="s">
        <v>171</v>
      </c>
      <c r="L899" s="34">
        <f>PMT(Loans[[#This Row],[InterestRate]]/12,Loans[[#This Row],[LoanTenureMonths]],-Loans[[#This Row],[LoanAmount]])</f>
        <v>20046.891248136646</v>
      </c>
      <c r="M899" s="30">
        <f>EDATE(Loans[[#This Row],[LoanStartDate]],Loans[[#This Row],[LoanTenureMonths]])</f>
        <v>46686</v>
      </c>
      <c r="N899" s="33">
        <f>IF(Loans[[#This Row],[LoanAmount]]=0,0,Loans[[#This Row],[CollateralValue]]/Loans[[#This Row],[LoanAmount]])</f>
        <v>0</v>
      </c>
      <c r="O899" t="str">
        <f>IF(Loans[[#This Row],[CollateralCoverageRatio]]&lt;1,"Undersecured","Secured")</f>
        <v>Undersecured</v>
      </c>
      <c r="P899" t="str">
        <f>_xlfn.XLOOKUP(Loans[[#This Row],[BranchCode]],BranchesTbl[BranchCode],BranchesTbl[BranchName])</f>
        <v>Karen</v>
      </c>
      <c r="Q899">
        <f>_xlfn.XLOOKUP(Loans[[#This Row],[CustomerID]],CustomerTbl[CustomerID],CustomerTbl[RiskScore])</f>
        <v>324</v>
      </c>
      <c r="R899" t="str">
        <f>IFERROR(INDEX(RiskTbl[Risk_Category],MATCH(Loans[[#This Row],[RiskScore]],RiskTbl[Score_Min],1)),"Unknown")</f>
        <v>High Risk</v>
      </c>
      <c r="S899" t="str">
        <f>IF(OR(Loans[[#This Row],[LoanStatus]]="Default",Loans[[#This Row],[LoanStatus]]="Watchlist",Loans[[#This Row],[CollateralRisk]]="Undersecured",Loans[[#This Row],[RiskCategory]]="High Risk"),"High Risk Exposure","Normal")</f>
        <v>High Risk Exposure</v>
      </c>
      <c r="T899" t="str" cm="1">
        <f t="array" ref="T899">_xlfn.IFS(
Loans[[#This Row],[LoanStatus]]="Default","Critical",
OR(Loans[[#This Row],[LoanStatus]]="Watchlist",Loans[[#This Row],[CollateralRisk]]="Undersecured",Loans[[#This Row],[RiskCategory]]="High Risk"),"High",
TRUE,"Normal"
)</f>
        <v>High</v>
      </c>
    </row>
    <row r="900" spans="1:20" x14ac:dyDescent="0.35">
      <c r="A900" t="s">
        <v>1597</v>
      </c>
      <c r="B900" t="s">
        <v>363</v>
      </c>
      <c r="C900" t="s">
        <v>187</v>
      </c>
      <c r="D900" t="s">
        <v>155</v>
      </c>
      <c r="E900" s="34">
        <v>250000</v>
      </c>
      <c r="F900" s="29">
        <v>0.2354</v>
      </c>
      <c r="G900" s="30">
        <v>44162</v>
      </c>
      <c r="H900">
        <v>48</v>
      </c>
      <c r="I900">
        <v>5</v>
      </c>
      <c r="J900" s="34">
        <v>0</v>
      </c>
      <c r="K900" t="s">
        <v>171</v>
      </c>
      <c r="L900" s="34">
        <f>PMT(Loans[[#This Row],[InterestRate]]/12,Loans[[#This Row],[LoanTenureMonths]],-Loans[[#This Row],[LoanAmount]])</f>
        <v>8087.013356080226</v>
      </c>
      <c r="M900" s="30">
        <f>EDATE(Loans[[#This Row],[LoanStartDate]],Loans[[#This Row],[LoanTenureMonths]])</f>
        <v>45623</v>
      </c>
      <c r="N900" s="33">
        <f>IF(Loans[[#This Row],[LoanAmount]]=0,0,Loans[[#This Row],[CollateralValue]]/Loans[[#This Row],[LoanAmount]])</f>
        <v>0</v>
      </c>
      <c r="O900" t="str">
        <f>IF(Loans[[#This Row],[CollateralCoverageRatio]]&lt;1,"Undersecured","Secured")</f>
        <v>Undersecured</v>
      </c>
      <c r="P900" t="str">
        <f>_xlfn.XLOOKUP(Loans[[#This Row],[BranchCode]],BranchesTbl[BranchCode],BranchesTbl[BranchName])</f>
        <v>Eldoret</v>
      </c>
      <c r="Q900">
        <f>_xlfn.XLOOKUP(Loans[[#This Row],[CustomerID]],CustomerTbl[CustomerID],CustomerTbl[RiskScore])</f>
        <v>653</v>
      </c>
      <c r="R900" t="str">
        <f>IFERROR(INDEX(RiskTbl[Risk_Category],MATCH(Loans[[#This Row],[RiskScore]],RiskTbl[Score_Min],1)),"Unknown")</f>
        <v>Medium Risk</v>
      </c>
      <c r="S900" t="str">
        <f>IF(OR(Loans[[#This Row],[LoanStatus]]="Default",Loans[[#This Row],[LoanStatus]]="Watchlist",Loans[[#This Row],[CollateralRisk]]="Undersecured",Loans[[#This Row],[RiskCategory]]="High Risk"),"High Risk Exposure","Normal")</f>
        <v>High Risk Exposure</v>
      </c>
      <c r="T900" t="str" cm="1">
        <f t="array" ref="T900">_xlfn.IFS(
Loans[[#This Row],[LoanStatus]]="Default","Critical",
OR(Loans[[#This Row],[LoanStatus]]="Watchlist",Loans[[#This Row],[CollateralRisk]]="Undersecured",Loans[[#This Row],[RiskCategory]]="High Risk"),"High",
TRUE,"Normal"
)</f>
        <v>High</v>
      </c>
    </row>
    <row r="901" spans="1:20" x14ac:dyDescent="0.35">
      <c r="A901" t="s">
        <v>1598</v>
      </c>
      <c r="B901" t="s">
        <v>1415</v>
      </c>
      <c r="C901" t="s">
        <v>232</v>
      </c>
      <c r="D901" t="s">
        <v>157</v>
      </c>
      <c r="E901" s="34">
        <v>6000000</v>
      </c>
      <c r="F901" s="29">
        <v>9.2700000000000005E-2</v>
      </c>
      <c r="G901" s="30">
        <v>45903</v>
      </c>
      <c r="H901">
        <v>12</v>
      </c>
      <c r="I901">
        <v>0</v>
      </c>
      <c r="J901" s="34">
        <v>7980000</v>
      </c>
      <c r="K901" t="s">
        <v>171</v>
      </c>
      <c r="L901" s="34">
        <f>PMT(Loans[[#This Row],[InterestRate]]/12,Loans[[#This Row],[LoanTenureMonths]],-Loans[[#This Row],[LoanAmount]])</f>
        <v>525460.40023988078</v>
      </c>
      <c r="M901" s="30">
        <f>EDATE(Loans[[#This Row],[LoanStartDate]],Loans[[#This Row],[LoanTenureMonths]])</f>
        <v>46268</v>
      </c>
      <c r="N901" s="33">
        <f>IF(Loans[[#This Row],[LoanAmount]]=0,0,Loans[[#This Row],[CollateralValue]]/Loans[[#This Row],[LoanAmount]])</f>
        <v>1.33</v>
      </c>
      <c r="O901" t="str">
        <f>IF(Loans[[#This Row],[CollateralCoverageRatio]]&lt;1,"Undersecured","Secured")</f>
        <v>Secured</v>
      </c>
      <c r="P901" t="str">
        <f>_xlfn.XLOOKUP(Loans[[#This Row],[BranchCode]],BranchesTbl[BranchCode],BranchesTbl[BranchName])</f>
        <v>Upper Hill</v>
      </c>
      <c r="Q901">
        <f>_xlfn.XLOOKUP(Loans[[#This Row],[CustomerID]],CustomerTbl[CustomerID],CustomerTbl[RiskScore])</f>
        <v>309</v>
      </c>
      <c r="R901" t="str">
        <f>IFERROR(INDEX(RiskTbl[Risk_Category],MATCH(Loans[[#This Row],[RiskScore]],RiskTbl[Score_Min],1)),"Unknown")</f>
        <v>High Risk</v>
      </c>
      <c r="S901" t="str">
        <f>IF(OR(Loans[[#This Row],[LoanStatus]]="Default",Loans[[#This Row],[LoanStatus]]="Watchlist",Loans[[#This Row],[CollateralRisk]]="Undersecured",Loans[[#This Row],[RiskCategory]]="High Risk"),"High Risk Exposure","Normal")</f>
        <v>High Risk Exposure</v>
      </c>
      <c r="T901" t="str" cm="1">
        <f t="array" ref="T901">_xlfn.IFS(
Loans[[#This Row],[LoanStatus]]="Default","Critical",
OR(Loans[[#This Row],[LoanStatus]]="Watchlist",Loans[[#This Row],[CollateralRisk]]="Undersecured",Loans[[#This Row],[RiskCategory]]="High Risk"),"High",
TRUE,"Normal"
)</f>
        <v>High</v>
      </c>
    </row>
    <row r="902" spans="1:20" x14ac:dyDescent="0.35">
      <c r="A902" t="s">
        <v>1599</v>
      </c>
      <c r="B902" t="s">
        <v>513</v>
      </c>
      <c r="C902" t="s">
        <v>177</v>
      </c>
      <c r="D902" t="s">
        <v>155</v>
      </c>
      <c r="E902" s="34">
        <v>250000</v>
      </c>
      <c r="F902" s="29">
        <v>0.2384</v>
      </c>
      <c r="G902" s="30">
        <v>45022</v>
      </c>
      <c r="H902">
        <v>12</v>
      </c>
      <c r="I902">
        <v>0</v>
      </c>
      <c r="J902" s="34">
        <v>0</v>
      </c>
      <c r="K902" t="s">
        <v>171</v>
      </c>
      <c r="L902" s="34">
        <f>PMT(Loans[[#This Row],[InterestRate]]/12,Loans[[#This Row],[LoanTenureMonths]],-Loans[[#This Row],[LoanAmount]])</f>
        <v>23620.54576289167</v>
      </c>
      <c r="M902" s="30">
        <f>EDATE(Loans[[#This Row],[LoanStartDate]],Loans[[#This Row],[LoanTenureMonths]])</f>
        <v>45388</v>
      </c>
      <c r="N902" s="33">
        <f>IF(Loans[[#This Row],[LoanAmount]]=0,0,Loans[[#This Row],[CollateralValue]]/Loans[[#This Row],[LoanAmount]])</f>
        <v>0</v>
      </c>
      <c r="O902" t="str">
        <f>IF(Loans[[#This Row],[CollateralCoverageRatio]]&lt;1,"Undersecured","Secured")</f>
        <v>Undersecured</v>
      </c>
      <c r="P902" t="str">
        <f>_xlfn.XLOOKUP(Loans[[#This Row],[BranchCode]],BranchesTbl[BranchCode],BranchesTbl[BranchName])</f>
        <v>Naivasha</v>
      </c>
      <c r="Q902">
        <f>_xlfn.XLOOKUP(Loans[[#This Row],[CustomerID]],CustomerTbl[CustomerID],CustomerTbl[RiskScore])</f>
        <v>425</v>
      </c>
      <c r="R902" t="str">
        <f>IFERROR(INDEX(RiskTbl[Risk_Category],MATCH(Loans[[#This Row],[RiskScore]],RiskTbl[Score_Min],1)),"Unknown")</f>
        <v>High Risk</v>
      </c>
      <c r="S902" t="str">
        <f>IF(OR(Loans[[#This Row],[LoanStatus]]="Default",Loans[[#This Row],[LoanStatus]]="Watchlist",Loans[[#This Row],[CollateralRisk]]="Undersecured",Loans[[#This Row],[RiskCategory]]="High Risk"),"High Risk Exposure","Normal")</f>
        <v>High Risk Exposure</v>
      </c>
      <c r="T902" t="str" cm="1">
        <f t="array" ref="T902">_xlfn.IFS(
Loans[[#This Row],[LoanStatus]]="Default","Critical",
OR(Loans[[#This Row],[LoanStatus]]="Watchlist",Loans[[#This Row],[CollateralRisk]]="Undersecured",Loans[[#This Row],[RiskCategory]]="High Risk"),"High",
TRUE,"Normal"
)</f>
        <v>High</v>
      </c>
    </row>
    <row r="903" spans="1:20" x14ac:dyDescent="0.35">
      <c r="A903" t="s">
        <v>1600</v>
      </c>
      <c r="B903" t="s">
        <v>300</v>
      </c>
      <c r="C903" t="s">
        <v>196</v>
      </c>
      <c r="D903" t="s">
        <v>157</v>
      </c>
      <c r="E903" s="34">
        <v>25000000</v>
      </c>
      <c r="F903" s="29">
        <v>9.2899999999999996E-2</v>
      </c>
      <c r="G903" s="30">
        <v>45109</v>
      </c>
      <c r="H903">
        <v>36</v>
      </c>
      <c r="I903">
        <v>45</v>
      </c>
      <c r="J903" s="34">
        <v>31250000</v>
      </c>
      <c r="K903" t="s">
        <v>199</v>
      </c>
      <c r="L903" s="34">
        <f>PMT(Loans[[#This Row],[InterestRate]]/12,Loans[[#This Row],[LoanTenureMonths]],-Loans[[#This Row],[LoanAmount]])</f>
        <v>798371.85499128746</v>
      </c>
      <c r="M903" s="30">
        <f>EDATE(Loans[[#This Row],[LoanStartDate]],Loans[[#This Row],[LoanTenureMonths]])</f>
        <v>46205</v>
      </c>
      <c r="N903" s="33">
        <f>IF(Loans[[#This Row],[LoanAmount]]=0,0,Loans[[#This Row],[CollateralValue]]/Loans[[#This Row],[LoanAmount]])</f>
        <v>1.25</v>
      </c>
      <c r="O903" t="str">
        <f>IF(Loans[[#This Row],[CollateralCoverageRatio]]&lt;1,"Undersecured","Secured")</f>
        <v>Secured</v>
      </c>
      <c r="P903" t="str">
        <f>_xlfn.XLOOKUP(Loans[[#This Row],[BranchCode]],BranchesTbl[BranchCode],BranchesTbl[BranchName])</f>
        <v>Karen</v>
      </c>
      <c r="Q903">
        <f>_xlfn.XLOOKUP(Loans[[#This Row],[CustomerID]],CustomerTbl[CustomerID],CustomerTbl[RiskScore])</f>
        <v>674</v>
      </c>
      <c r="R903" t="str">
        <f>IFERROR(INDEX(RiskTbl[Risk_Category],MATCH(Loans[[#This Row],[RiskScore]],RiskTbl[Score_Min],1)),"Unknown")</f>
        <v>Low Risk</v>
      </c>
      <c r="S903" t="str">
        <f>IF(OR(Loans[[#This Row],[LoanStatus]]="Default",Loans[[#This Row],[LoanStatus]]="Watchlist",Loans[[#This Row],[CollateralRisk]]="Undersecured",Loans[[#This Row],[RiskCategory]]="High Risk"),"High Risk Exposure","Normal")</f>
        <v>High Risk Exposure</v>
      </c>
      <c r="T903" t="str" cm="1">
        <f t="array" ref="T903">_xlfn.IFS(
Loans[[#This Row],[LoanStatus]]="Default","Critical",
OR(Loans[[#This Row],[LoanStatus]]="Watchlist",Loans[[#This Row],[CollateralRisk]]="Undersecured",Loans[[#This Row],[RiskCategory]]="High Risk"),"High",
TRUE,"Normal"
)</f>
        <v>High</v>
      </c>
    </row>
    <row r="904" spans="1:20" x14ac:dyDescent="0.35">
      <c r="A904" t="s">
        <v>1601</v>
      </c>
      <c r="B904" t="s">
        <v>579</v>
      </c>
      <c r="C904" t="s">
        <v>267</v>
      </c>
      <c r="D904" t="s">
        <v>158</v>
      </c>
      <c r="E904" s="34">
        <v>500000</v>
      </c>
      <c r="F904" s="29">
        <v>0.16220000000000001</v>
      </c>
      <c r="G904" s="30">
        <v>44038</v>
      </c>
      <c r="H904">
        <v>24</v>
      </c>
      <c r="I904">
        <v>90</v>
      </c>
      <c r="J904" s="34">
        <v>365000</v>
      </c>
      <c r="K904" t="s">
        <v>199</v>
      </c>
      <c r="L904" s="34">
        <f>PMT(Loans[[#This Row],[InterestRate]]/12,Loans[[#This Row],[LoanTenureMonths]],-Loans[[#This Row],[LoanAmount]])</f>
        <v>24534.146820066104</v>
      </c>
      <c r="M904" s="30">
        <f>EDATE(Loans[[#This Row],[LoanStartDate]],Loans[[#This Row],[LoanTenureMonths]])</f>
        <v>44768</v>
      </c>
      <c r="N904" s="33">
        <f>IF(Loans[[#This Row],[LoanAmount]]=0,0,Loans[[#This Row],[CollateralValue]]/Loans[[#This Row],[LoanAmount]])</f>
        <v>0.73</v>
      </c>
      <c r="O904" t="str">
        <f>IF(Loans[[#This Row],[CollateralCoverageRatio]]&lt;1,"Undersecured","Secured")</f>
        <v>Undersecured</v>
      </c>
      <c r="P904" t="str">
        <f>_xlfn.XLOOKUP(Loans[[#This Row],[BranchCode]],BranchesTbl[BranchCode],BranchesTbl[BranchName])</f>
        <v>Malindi</v>
      </c>
      <c r="Q904">
        <f>_xlfn.XLOOKUP(Loans[[#This Row],[CustomerID]],CustomerTbl[CustomerID],CustomerTbl[RiskScore])</f>
        <v>334</v>
      </c>
      <c r="R904" t="str">
        <f>IFERROR(INDEX(RiskTbl[Risk_Category],MATCH(Loans[[#This Row],[RiskScore]],RiskTbl[Score_Min],1)),"Unknown")</f>
        <v>High Risk</v>
      </c>
      <c r="S904" t="str">
        <f>IF(OR(Loans[[#This Row],[LoanStatus]]="Default",Loans[[#This Row],[LoanStatus]]="Watchlist",Loans[[#This Row],[CollateralRisk]]="Undersecured",Loans[[#This Row],[RiskCategory]]="High Risk"),"High Risk Exposure","Normal")</f>
        <v>High Risk Exposure</v>
      </c>
      <c r="T904" t="str" cm="1">
        <f t="array" ref="T904">_xlfn.IFS(
Loans[[#This Row],[LoanStatus]]="Default","Critical",
OR(Loans[[#This Row],[LoanStatus]]="Watchlist",Loans[[#This Row],[CollateralRisk]]="Undersecured",Loans[[#This Row],[RiskCategory]]="High Risk"),"High",
TRUE,"Normal"
)</f>
        <v>High</v>
      </c>
    </row>
    <row r="905" spans="1:20" x14ac:dyDescent="0.35">
      <c r="A905" t="s">
        <v>1602</v>
      </c>
      <c r="B905" t="s">
        <v>176</v>
      </c>
      <c r="C905" t="s">
        <v>239</v>
      </c>
      <c r="D905" t="s">
        <v>156</v>
      </c>
      <c r="E905" s="34">
        <v>1000000</v>
      </c>
      <c r="F905" s="29">
        <v>0.1578</v>
      </c>
      <c r="G905" s="30">
        <v>45873</v>
      </c>
      <c r="H905">
        <v>60</v>
      </c>
      <c r="I905">
        <v>10</v>
      </c>
      <c r="J905" s="34">
        <v>770000</v>
      </c>
      <c r="K905" t="s">
        <v>171</v>
      </c>
      <c r="L905" s="34">
        <f>PMT(Loans[[#This Row],[InterestRate]]/12,Loans[[#This Row],[LoanTenureMonths]],-Loans[[#This Row],[LoanAmount]])</f>
        <v>24201.318770201447</v>
      </c>
      <c r="M905" s="30">
        <f>EDATE(Loans[[#This Row],[LoanStartDate]],Loans[[#This Row],[LoanTenureMonths]])</f>
        <v>47699</v>
      </c>
      <c r="N905" s="33">
        <f>IF(Loans[[#This Row],[LoanAmount]]=0,0,Loans[[#This Row],[CollateralValue]]/Loans[[#This Row],[LoanAmount]])</f>
        <v>0.77</v>
      </c>
      <c r="O905" t="str">
        <f>IF(Loans[[#This Row],[CollateralCoverageRatio]]&lt;1,"Undersecured","Secured")</f>
        <v>Undersecured</v>
      </c>
      <c r="P905" t="str">
        <f>_xlfn.XLOOKUP(Loans[[#This Row],[BranchCode]],BranchesTbl[BranchCode],BranchesTbl[BranchName])</f>
        <v>Machakos</v>
      </c>
      <c r="Q905">
        <f>_xlfn.XLOOKUP(Loans[[#This Row],[CustomerID]],CustomerTbl[CustomerID],CustomerTbl[RiskScore])</f>
        <v>451</v>
      </c>
      <c r="R905" t="str">
        <f>IFERROR(INDEX(RiskTbl[Risk_Category],MATCH(Loans[[#This Row],[RiskScore]],RiskTbl[Score_Min],1)),"Unknown")</f>
        <v>High Risk</v>
      </c>
      <c r="S905" t="str">
        <f>IF(OR(Loans[[#This Row],[LoanStatus]]="Default",Loans[[#This Row],[LoanStatus]]="Watchlist",Loans[[#This Row],[CollateralRisk]]="Undersecured",Loans[[#This Row],[RiskCategory]]="High Risk"),"High Risk Exposure","Normal")</f>
        <v>High Risk Exposure</v>
      </c>
      <c r="T905" t="str" cm="1">
        <f t="array" ref="T905">_xlfn.IFS(
Loans[[#This Row],[LoanStatus]]="Default","Critical",
OR(Loans[[#This Row],[LoanStatus]]="Watchlist",Loans[[#This Row],[CollateralRisk]]="Undersecured",Loans[[#This Row],[RiskCategory]]="High Risk"),"High",
TRUE,"Normal"
)</f>
        <v>High</v>
      </c>
    </row>
    <row r="906" spans="1:20" x14ac:dyDescent="0.35">
      <c r="A906" t="s">
        <v>1603</v>
      </c>
      <c r="B906" t="s">
        <v>1604</v>
      </c>
      <c r="C906" t="s">
        <v>177</v>
      </c>
      <c r="D906" t="s">
        <v>158</v>
      </c>
      <c r="E906" s="34">
        <v>1000000</v>
      </c>
      <c r="F906" s="29">
        <v>0.13109999999999999</v>
      </c>
      <c r="G906" s="30">
        <v>44758</v>
      </c>
      <c r="H906">
        <v>72</v>
      </c>
      <c r="I906">
        <v>120</v>
      </c>
      <c r="J906" s="34">
        <v>700000</v>
      </c>
      <c r="K906" t="s">
        <v>178</v>
      </c>
      <c r="L906" s="34">
        <f>PMT(Loans[[#This Row],[InterestRate]]/12,Loans[[#This Row],[LoanTenureMonths]],-Loans[[#This Row],[LoanAmount]])</f>
        <v>20132.208454229287</v>
      </c>
      <c r="M906" s="30">
        <f>EDATE(Loans[[#This Row],[LoanStartDate]],Loans[[#This Row],[LoanTenureMonths]])</f>
        <v>46950</v>
      </c>
      <c r="N906" s="33">
        <f>IF(Loans[[#This Row],[LoanAmount]]=0,0,Loans[[#This Row],[CollateralValue]]/Loans[[#This Row],[LoanAmount]])</f>
        <v>0.7</v>
      </c>
      <c r="O906" t="str">
        <f>IF(Loans[[#This Row],[CollateralCoverageRatio]]&lt;1,"Undersecured","Secured")</f>
        <v>Undersecured</v>
      </c>
      <c r="P906" t="str">
        <f>_xlfn.XLOOKUP(Loans[[#This Row],[BranchCode]],BranchesTbl[BranchCode],BranchesTbl[BranchName])</f>
        <v>Naivasha</v>
      </c>
      <c r="Q906">
        <f>_xlfn.XLOOKUP(Loans[[#This Row],[CustomerID]],CustomerTbl[CustomerID],CustomerTbl[RiskScore])</f>
        <v>350</v>
      </c>
      <c r="R906" t="str">
        <f>IFERROR(INDEX(RiskTbl[Risk_Category],MATCH(Loans[[#This Row],[RiskScore]],RiskTbl[Score_Min],1)),"Unknown")</f>
        <v>High Risk</v>
      </c>
      <c r="S906" t="str">
        <f>IF(OR(Loans[[#This Row],[LoanStatus]]="Default",Loans[[#This Row],[LoanStatus]]="Watchlist",Loans[[#This Row],[CollateralRisk]]="Undersecured",Loans[[#This Row],[RiskCategory]]="High Risk"),"High Risk Exposure","Normal")</f>
        <v>High Risk Exposure</v>
      </c>
      <c r="T906" t="str" cm="1">
        <f t="array" ref="T906">_xlfn.IFS(
Loans[[#This Row],[LoanStatus]]="Default","Critical",
OR(Loans[[#This Row],[LoanStatus]]="Watchlist",Loans[[#This Row],[CollateralRisk]]="Undersecured",Loans[[#This Row],[RiskCategory]]="High Risk"),"High",
TRUE,"Normal"
)</f>
        <v>Critical</v>
      </c>
    </row>
    <row r="907" spans="1:20" x14ac:dyDescent="0.35">
      <c r="A907" t="s">
        <v>1605</v>
      </c>
      <c r="B907" t="s">
        <v>992</v>
      </c>
      <c r="C907" t="s">
        <v>196</v>
      </c>
      <c r="D907" t="s">
        <v>157</v>
      </c>
      <c r="E907" s="34">
        <v>80000000</v>
      </c>
      <c r="F907" s="29">
        <v>0.1032</v>
      </c>
      <c r="G907" s="30">
        <v>43983</v>
      </c>
      <c r="H907">
        <v>36</v>
      </c>
      <c r="I907">
        <v>90</v>
      </c>
      <c r="J907" s="34">
        <v>100000000</v>
      </c>
      <c r="K907" t="s">
        <v>199</v>
      </c>
      <c r="L907" s="34">
        <f>PMT(Loans[[#This Row],[InterestRate]]/12,Loans[[#This Row],[LoanTenureMonths]],-Loans[[#This Row],[LoanAmount]])</f>
        <v>2593410.716598433</v>
      </c>
      <c r="M907" s="30">
        <f>EDATE(Loans[[#This Row],[LoanStartDate]],Loans[[#This Row],[LoanTenureMonths]])</f>
        <v>45078</v>
      </c>
      <c r="N907" s="33">
        <f>IF(Loans[[#This Row],[LoanAmount]]=0,0,Loans[[#This Row],[CollateralValue]]/Loans[[#This Row],[LoanAmount]])</f>
        <v>1.25</v>
      </c>
      <c r="O907" t="str">
        <f>IF(Loans[[#This Row],[CollateralCoverageRatio]]&lt;1,"Undersecured","Secured")</f>
        <v>Secured</v>
      </c>
      <c r="P907" t="str">
        <f>_xlfn.XLOOKUP(Loans[[#This Row],[BranchCode]],BranchesTbl[BranchCode],BranchesTbl[BranchName])</f>
        <v>Karen</v>
      </c>
      <c r="Q907">
        <f>_xlfn.XLOOKUP(Loans[[#This Row],[CustomerID]],CustomerTbl[CustomerID],CustomerTbl[RiskScore])</f>
        <v>300</v>
      </c>
      <c r="R907" t="str">
        <f>IFERROR(INDEX(RiskTbl[Risk_Category],MATCH(Loans[[#This Row],[RiskScore]],RiskTbl[Score_Min],1)),"Unknown")</f>
        <v>High Risk</v>
      </c>
      <c r="S907" t="str">
        <f>IF(OR(Loans[[#This Row],[LoanStatus]]="Default",Loans[[#This Row],[LoanStatus]]="Watchlist",Loans[[#This Row],[CollateralRisk]]="Undersecured",Loans[[#This Row],[RiskCategory]]="High Risk"),"High Risk Exposure","Normal")</f>
        <v>High Risk Exposure</v>
      </c>
      <c r="T907" t="str" cm="1">
        <f t="array" ref="T907">_xlfn.IFS(
Loans[[#This Row],[LoanStatus]]="Default","Critical",
OR(Loans[[#This Row],[LoanStatus]]="Watchlist",Loans[[#This Row],[CollateralRisk]]="Undersecured",Loans[[#This Row],[RiskCategory]]="High Risk"),"High",
TRUE,"Normal"
)</f>
        <v>High</v>
      </c>
    </row>
    <row r="908" spans="1:20" x14ac:dyDescent="0.35">
      <c r="A908" t="s">
        <v>1606</v>
      </c>
      <c r="B908" t="s">
        <v>1081</v>
      </c>
      <c r="C908" t="s">
        <v>181</v>
      </c>
      <c r="D908" t="s">
        <v>157</v>
      </c>
      <c r="E908" s="34">
        <v>6000000</v>
      </c>
      <c r="F908" s="29">
        <v>0.1106</v>
      </c>
      <c r="G908" s="30">
        <v>44070</v>
      </c>
      <c r="H908">
        <v>72</v>
      </c>
      <c r="I908">
        <v>20</v>
      </c>
      <c r="J908" s="34">
        <v>3960000</v>
      </c>
      <c r="K908" t="s">
        <v>171</v>
      </c>
      <c r="L908" s="34">
        <f>PMT(Loans[[#This Row],[InterestRate]]/12,Loans[[#This Row],[LoanTenureMonths]],-Loans[[#This Row],[LoanAmount]])</f>
        <v>114388.94710922579</v>
      </c>
      <c r="M908" s="30">
        <f>EDATE(Loans[[#This Row],[LoanStartDate]],Loans[[#This Row],[LoanTenureMonths]])</f>
        <v>46261</v>
      </c>
      <c r="N908" s="33">
        <f>IF(Loans[[#This Row],[LoanAmount]]=0,0,Loans[[#This Row],[CollateralValue]]/Loans[[#This Row],[LoanAmount]])</f>
        <v>0.66</v>
      </c>
      <c r="O908" t="str">
        <f>IF(Loans[[#This Row],[CollateralCoverageRatio]]&lt;1,"Undersecured","Secured")</f>
        <v>Undersecured</v>
      </c>
      <c r="P908" t="str">
        <f>_xlfn.XLOOKUP(Loans[[#This Row],[BranchCode]],BranchesTbl[BranchCode],BranchesTbl[BranchName])</f>
        <v>Kitale</v>
      </c>
      <c r="Q908">
        <f>_xlfn.XLOOKUP(Loans[[#This Row],[CustomerID]],CustomerTbl[CustomerID],CustomerTbl[RiskScore])</f>
        <v>463</v>
      </c>
      <c r="R908" t="str">
        <f>IFERROR(INDEX(RiskTbl[Risk_Category],MATCH(Loans[[#This Row],[RiskScore]],RiskTbl[Score_Min],1)),"Unknown")</f>
        <v>High Risk</v>
      </c>
      <c r="S908" t="str">
        <f>IF(OR(Loans[[#This Row],[LoanStatus]]="Default",Loans[[#This Row],[LoanStatus]]="Watchlist",Loans[[#This Row],[CollateralRisk]]="Undersecured",Loans[[#This Row],[RiskCategory]]="High Risk"),"High Risk Exposure","Normal")</f>
        <v>High Risk Exposure</v>
      </c>
      <c r="T908" t="str" cm="1">
        <f t="array" ref="T908">_xlfn.IFS(
Loans[[#This Row],[LoanStatus]]="Default","Critical",
OR(Loans[[#This Row],[LoanStatus]]="Watchlist",Loans[[#This Row],[CollateralRisk]]="Undersecured",Loans[[#This Row],[RiskCategory]]="High Risk"),"High",
TRUE,"Normal"
)</f>
        <v>High</v>
      </c>
    </row>
    <row r="909" spans="1:20" x14ac:dyDescent="0.35">
      <c r="A909" t="s">
        <v>1607</v>
      </c>
      <c r="B909" t="s">
        <v>1608</v>
      </c>
      <c r="C909" t="s">
        <v>267</v>
      </c>
      <c r="D909" t="s">
        <v>156</v>
      </c>
      <c r="E909" s="34">
        <v>25000000</v>
      </c>
      <c r="F909" s="29">
        <v>0.2147</v>
      </c>
      <c r="G909" s="30">
        <v>44442</v>
      </c>
      <c r="H909">
        <v>72</v>
      </c>
      <c r="I909">
        <v>90</v>
      </c>
      <c r="J909" s="34">
        <v>30000000</v>
      </c>
      <c r="K909" t="s">
        <v>199</v>
      </c>
      <c r="L909" s="34">
        <f>PMT(Loans[[#This Row],[InterestRate]]/12,Loans[[#This Row],[LoanTenureMonths]],-Loans[[#This Row],[LoanAmount]])</f>
        <v>620312.44173353841</v>
      </c>
      <c r="M909" s="30">
        <f>EDATE(Loans[[#This Row],[LoanStartDate]],Loans[[#This Row],[LoanTenureMonths]])</f>
        <v>46633</v>
      </c>
      <c r="N909" s="33">
        <f>IF(Loans[[#This Row],[LoanAmount]]=0,0,Loans[[#This Row],[CollateralValue]]/Loans[[#This Row],[LoanAmount]])</f>
        <v>1.2</v>
      </c>
      <c r="O909" t="str">
        <f>IF(Loans[[#This Row],[CollateralCoverageRatio]]&lt;1,"Undersecured","Secured")</f>
        <v>Secured</v>
      </c>
      <c r="P909" t="str">
        <f>_xlfn.XLOOKUP(Loans[[#This Row],[BranchCode]],BranchesTbl[BranchCode],BranchesTbl[BranchName])</f>
        <v>Malindi</v>
      </c>
      <c r="Q909">
        <f>_xlfn.XLOOKUP(Loans[[#This Row],[CustomerID]],CustomerTbl[CustomerID],CustomerTbl[RiskScore])</f>
        <v>415</v>
      </c>
      <c r="R909" t="str">
        <f>IFERROR(INDEX(RiskTbl[Risk_Category],MATCH(Loans[[#This Row],[RiskScore]],RiskTbl[Score_Min],1)),"Unknown")</f>
        <v>High Risk</v>
      </c>
      <c r="S909" t="str">
        <f>IF(OR(Loans[[#This Row],[LoanStatus]]="Default",Loans[[#This Row],[LoanStatus]]="Watchlist",Loans[[#This Row],[CollateralRisk]]="Undersecured",Loans[[#This Row],[RiskCategory]]="High Risk"),"High Risk Exposure","Normal")</f>
        <v>High Risk Exposure</v>
      </c>
      <c r="T909" t="str" cm="1">
        <f t="array" ref="T909">_xlfn.IFS(
Loans[[#This Row],[LoanStatus]]="Default","Critical",
OR(Loans[[#This Row],[LoanStatus]]="Watchlist",Loans[[#This Row],[CollateralRisk]]="Undersecured",Loans[[#This Row],[RiskCategory]]="High Risk"),"High",
TRUE,"Normal"
)</f>
        <v>High</v>
      </c>
    </row>
    <row r="910" spans="1:20" x14ac:dyDescent="0.35">
      <c r="A910" t="s">
        <v>1609</v>
      </c>
      <c r="B910" t="s">
        <v>324</v>
      </c>
      <c r="C910" t="s">
        <v>270</v>
      </c>
      <c r="D910" t="s">
        <v>157</v>
      </c>
      <c r="E910" s="34">
        <v>80000000</v>
      </c>
      <c r="F910" s="29">
        <v>0.1066</v>
      </c>
      <c r="G910" s="30">
        <v>44695</v>
      </c>
      <c r="H910">
        <v>36</v>
      </c>
      <c r="I910">
        <v>45</v>
      </c>
      <c r="J910" s="34">
        <v>110400000</v>
      </c>
      <c r="K910" t="s">
        <v>199</v>
      </c>
      <c r="L910" s="34">
        <f>PMT(Loans[[#This Row],[InterestRate]]/12,Loans[[#This Row],[LoanTenureMonths]],-Loans[[#This Row],[LoanAmount]])</f>
        <v>2606235.2363113062</v>
      </c>
      <c r="M910" s="30">
        <f>EDATE(Loans[[#This Row],[LoanStartDate]],Loans[[#This Row],[LoanTenureMonths]])</f>
        <v>45791</v>
      </c>
      <c r="N910" s="33">
        <f>IF(Loans[[#This Row],[LoanAmount]]=0,0,Loans[[#This Row],[CollateralValue]]/Loans[[#This Row],[LoanAmount]])</f>
        <v>1.38</v>
      </c>
      <c r="O910" t="str">
        <f>IF(Loans[[#This Row],[CollateralCoverageRatio]]&lt;1,"Undersecured","Secured")</f>
        <v>Secured</v>
      </c>
      <c r="P910" t="str">
        <f>_xlfn.XLOOKUP(Loans[[#This Row],[BranchCode]],BranchesTbl[BranchCode],BranchesTbl[BranchName])</f>
        <v>Nakuru</v>
      </c>
      <c r="Q910">
        <f>_xlfn.XLOOKUP(Loans[[#This Row],[CustomerID]],CustomerTbl[CustomerID],CustomerTbl[RiskScore])</f>
        <v>696</v>
      </c>
      <c r="R910" t="str">
        <f>IFERROR(INDEX(RiskTbl[Risk_Category],MATCH(Loans[[#This Row],[RiskScore]],RiskTbl[Score_Min],1)),"Unknown")</f>
        <v>Low Risk</v>
      </c>
      <c r="S910" t="str">
        <f>IF(OR(Loans[[#This Row],[LoanStatus]]="Default",Loans[[#This Row],[LoanStatus]]="Watchlist",Loans[[#This Row],[CollateralRisk]]="Undersecured",Loans[[#This Row],[RiskCategory]]="High Risk"),"High Risk Exposure","Normal")</f>
        <v>High Risk Exposure</v>
      </c>
      <c r="T910" t="str" cm="1">
        <f t="array" ref="T910">_xlfn.IFS(
Loans[[#This Row],[LoanStatus]]="Default","Critical",
OR(Loans[[#This Row],[LoanStatus]]="Watchlist",Loans[[#This Row],[CollateralRisk]]="Undersecured",Loans[[#This Row],[RiskCategory]]="High Risk"),"High",
TRUE,"Normal"
)</f>
        <v>High</v>
      </c>
    </row>
    <row r="911" spans="1:20" x14ac:dyDescent="0.35">
      <c r="A911" t="s">
        <v>1610</v>
      </c>
      <c r="B911" t="s">
        <v>1611</v>
      </c>
      <c r="C911" t="s">
        <v>174</v>
      </c>
      <c r="D911" t="s">
        <v>156</v>
      </c>
      <c r="E911" s="34">
        <v>3000000</v>
      </c>
      <c r="F911" s="29">
        <v>0.18479999999999999</v>
      </c>
      <c r="G911" s="30">
        <v>44899</v>
      </c>
      <c r="H911">
        <v>24</v>
      </c>
      <c r="I911">
        <v>10</v>
      </c>
      <c r="J911" s="34">
        <v>4230000</v>
      </c>
      <c r="K911" t="s">
        <v>171</v>
      </c>
      <c r="L911" s="34">
        <f>PMT(Loans[[#This Row],[InterestRate]]/12,Loans[[#This Row],[LoanTenureMonths]],-Loans[[#This Row],[LoanAmount]])</f>
        <v>150469.00675406621</v>
      </c>
      <c r="M911" s="30">
        <f>EDATE(Loans[[#This Row],[LoanStartDate]],Loans[[#This Row],[LoanTenureMonths]])</f>
        <v>45630</v>
      </c>
      <c r="N911" s="33">
        <f>IF(Loans[[#This Row],[LoanAmount]]=0,0,Loans[[#This Row],[CollateralValue]]/Loans[[#This Row],[LoanAmount]])</f>
        <v>1.41</v>
      </c>
      <c r="O911" t="str">
        <f>IF(Loans[[#This Row],[CollateralCoverageRatio]]&lt;1,"Undersecured","Secured")</f>
        <v>Secured</v>
      </c>
      <c r="P911" t="str">
        <f>_xlfn.XLOOKUP(Loans[[#This Row],[BranchCode]],BranchesTbl[BranchCode],BranchesTbl[BranchName])</f>
        <v>Westlands</v>
      </c>
      <c r="Q911">
        <f>_xlfn.XLOOKUP(Loans[[#This Row],[CustomerID]],CustomerTbl[CustomerID],CustomerTbl[RiskScore])</f>
        <v>668</v>
      </c>
      <c r="R911" t="str">
        <f>IFERROR(INDEX(RiskTbl[Risk_Category],MATCH(Loans[[#This Row],[RiskScore]],RiskTbl[Score_Min],1)),"Unknown")</f>
        <v>Medium Risk</v>
      </c>
      <c r="S911" t="str">
        <f>IF(OR(Loans[[#This Row],[LoanStatus]]="Default",Loans[[#This Row],[LoanStatus]]="Watchlist",Loans[[#This Row],[CollateralRisk]]="Undersecured",Loans[[#This Row],[RiskCategory]]="High Risk"),"High Risk Exposure","Normal")</f>
        <v>Normal</v>
      </c>
      <c r="T911" t="str" cm="1">
        <f t="array" ref="T911">_xlfn.IFS(
Loans[[#This Row],[LoanStatus]]="Default","Critical",
OR(Loans[[#This Row],[LoanStatus]]="Watchlist",Loans[[#This Row],[CollateralRisk]]="Undersecured",Loans[[#This Row],[RiskCategory]]="High Risk"),"High",
TRUE,"Normal"
)</f>
        <v>Normal</v>
      </c>
    </row>
    <row r="912" spans="1:20" x14ac:dyDescent="0.35">
      <c r="A912" t="s">
        <v>1612</v>
      </c>
      <c r="B912" t="s">
        <v>1388</v>
      </c>
      <c r="C912" t="s">
        <v>184</v>
      </c>
      <c r="D912" t="s">
        <v>158</v>
      </c>
      <c r="E912" s="34">
        <v>3000000</v>
      </c>
      <c r="F912" s="29">
        <v>0.18290000000000001</v>
      </c>
      <c r="G912" s="30">
        <v>45876</v>
      </c>
      <c r="H912">
        <v>24</v>
      </c>
      <c r="I912">
        <v>45</v>
      </c>
      <c r="J912" s="34">
        <v>2070000</v>
      </c>
      <c r="K912" t="s">
        <v>199</v>
      </c>
      <c r="L912" s="34">
        <f>PMT(Loans[[#This Row],[InterestRate]]/12,Loans[[#This Row],[LoanTenureMonths]],-Loans[[#This Row],[LoanAmount]])</f>
        <v>150193.00820199717</v>
      </c>
      <c r="M912" s="30">
        <f>EDATE(Loans[[#This Row],[LoanStartDate]],Loans[[#This Row],[LoanTenureMonths]])</f>
        <v>46606</v>
      </c>
      <c r="N912" s="33">
        <f>IF(Loans[[#This Row],[LoanAmount]]=0,0,Loans[[#This Row],[CollateralValue]]/Loans[[#This Row],[LoanAmount]])</f>
        <v>0.69</v>
      </c>
      <c r="O912" t="str">
        <f>IF(Loans[[#This Row],[CollateralCoverageRatio]]&lt;1,"Undersecured","Secured")</f>
        <v>Undersecured</v>
      </c>
      <c r="P912" t="str">
        <f>_xlfn.XLOOKUP(Loans[[#This Row],[BranchCode]],BranchesTbl[BranchCode],BranchesTbl[BranchName])</f>
        <v>Kisumu</v>
      </c>
      <c r="Q912">
        <f>_xlfn.XLOOKUP(Loans[[#This Row],[CustomerID]],CustomerTbl[CustomerID],CustomerTbl[RiskScore])</f>
        <v>603</v>
      </c>
      <c r="R912" t="str">
        <f>IFERROR(INDEX(RiskTbl[Risk_Category],MATCH(Loans[[#This Row],[RiskScore]],RiskTbl[Score_Min],1)),"Unknown")</f>
        <v>Medium Risk</v>
      </c>
      <c r="S912" t="str">
        <f>IF(OR(Loans[[#This Row],[LoanStatus]]="Default",Loans[[#This Row],[LoanStatus]]="Watchlist",Loans[[#This Row],[CollateralRisk]]="Undersecured",Loans[[#This Row],[RiskCategory]]="High Risk"),"High Risk Exposure","Normal")</f>
        <v>High Risk Exposure</v>
      </c>
      <c r="T912" t="str" cm="1">
        <f t="array" ref="T912">_xlfn.IFS(
Loans[[#This Row],[LoanStatus]]="Default","Critical",
OR(Loans[[#This Row],[LoanStatus]]="Watchlist",Loans[[#This Row],[CollateralRisk]]="Undersecured",Loans[[#This Row],[RiskCategory]]="High Risk"),"High",
TRUE,"Normal"
)</f>
        <v>High</v>
      </c>
    </row>
    <row r="913" spans="1:20" x14ac:dyDescent="0.35">
      <c r="A913" t="s">
        <v>1613</v>
      </c>
      <c r="B913" t="s">
        <v>1492</v>
      </c>
      <c r="C913" t="s">
        <v>170</v>
      </c>
      <c r="D913" t="s">
        <v>156</v>
      </c>
      <c r="E913" s="34">
        <v>6000000</v>
      </c>
      <c r="F913" s="29">
        <v>0.1628</v>
      </c>
      <c r="G913" s="30">
        <v>45235</v>
      </c>
      <c r="H913">
        <v>48</v>
      </c>
      <c r="I913">
        <v>120</v>
      </c>
      <c r="J913" s="34">
        <v>5160000</v>
      </c>
      <c r="K913" t="s">
        <v>178</v>
      </c>
      <c r="L913" s="34">
        <f>PMT(Loans[[#This Row],[InterestRate]]/12,Loans[[#This Row],[LoanTenureMonths]],-Loans[[#This Row],[LoanAmount]])</f>
        <v>170903.33008452851</v>
      </c>
      <c r="M913" s="30">
        <f>EDATE(Loans[[#This Row],[LoanStartDate]],Loans[[#This Row],[LoanTenureMonths]])</f>
        <v>46696</v>
      </c>
      <c r="N913" s="33">
        <f>IF(Loans[[#This Row],[LoanAmount]]=0,0,Loans[[#This Row],[CollateralValue]]/Loans[[#This Row],[LoanAmount]])</f>
        <v>0.86</v>
      </c>
      <c r="O913" t="str">
        <f>IF(Loans[[#This Row],[CollateralCoverageRatio]]&lt;1,"Undersecured","Secured")</f>
        <v>Undersecured</v>
      </c>
      <c r="P913" t="str">
        <f>_xlfn.XLOOKUP(Loans[[#This Row],[BranchCode]],BranchesTbl[BranchCode],BranchesTbl[BranchName])</f>
        <v>Thika</v>
      </c>
      <c r="Q913">
        <f>_xlfn.XLOOKUP(Loans[[#This Row],[CustomerID]],CustomerTbl[CustomerID],CustomerTbl[RiskScore])</f>
        <v>321</v>
      </c>
      <c r="R913" t="str">
        <f>IFERROR(INDEX(RiskTbl[Risk_Category],MATCH(Loans[[#This Row],[RiskScore]],RiskTbl[Score_Min],1)),"Unknown")</f>
        <v>High Risk</v>
      </c>
      <c r="S913" t="str">
        <f>IF(OR(Loans[[#This Row],[LoanStatus]]="Default",Loans[[#This Row],[LoanStatus]]="Watchlist",Loans[[#This Row],[CollateralRisk]]="Undersecured",Loans[[#This Row],[RiskCategory]]="High Risk"),"High Risk Exposure","Normal")</f>
        <v>High Risk Exposure</v>
      </c>
      <c r="T913" t="str" cm="1">
        <f t="array" ref="T913">_xlfn.IFS(
Loans[[#This Row],[LoanStatus]]="Default","Critical",
OR(Loans[[#This Row],[LoanStatus]]="Watchlist",Loans[[#This Row],[CollateralRisk]]="Undersecured",Loans[[#This Row],[RiskCategory]]="High Risk"),"High",
TRUE,"Normal"
)</f>
        <v>Critical</v>
      </c>
    </row>
    <row r="914" spans="1:20" x14ac:dyDescent="0.35">
      <c r="A914" t="s">
        <v>1614</v>
      </c>
      <c r="B914" t="s">
        <v>1615</v>
      </c>
      <c r="C914" t="s">
        <v>190</v>
      </c>
      <c r="D914" t="s">
        <v>155</v>
      </c>
      <c r="E914" s="34">
        <v>1000000</v>
      </c>
      <c r="F914" s="29">
        <v>0.1867</v>
      </c>
      <c r="G914" s="30">
        <v>45877</v>
      </c>
      <c r="H914">
        <v>36</v>
      </c>
      <c r="I914">
        <v>10</v>
      </c>
      <c r="J914" s="34">
        <v>0</v>
      </c>
      <c r="K914" t="s">
        <v>171</v>
      </c>
      <c r="L914" s="34">
        <f>PMT(Loans[[#This Row],[InterestRate]]/12,Loans[[#This Row],[LoanTenureMonths]],-Loans[[#This Row],[LoanAmount]])</f>
        <v>36489.387626947173</v>
      </c>
      <c r="M914" s="30">
        <f>EDATE(Loans[[#This Row],[LoanStartDate]],Loans[[#This Row],[LoanTenureMonths]])</f>
        <v>46973</v>
      </c>
      <c r="N914" s="33">
        <f>IF(Loans[[#This Row],[LoanAmount]]=0,0,Loans[[#This Row],[CollateralValue]]/Loans[[#This Row],[LoanAmount]])</f>
        <v>0</v>
      </c>
      <c r="O914" t="str">
        <f>IF(Loans[[#This Row],[CollateralCoverageRatio]]&lt;1,"Undersecured","Secured")</f>
        <v>Undersecured</v>
      </c>
      <c r="P914" t="str">
        <f>_xlfn.XLOOKUP(Loans[[#This Row],[BranchCode]],BranchesTbl[BranchCode],BranchesTbl[BranchName])</f>
        <v>Nyeri</v>
      </c>
      <c r="Q914">
        <f>_xlfn.XLOOKUP(Loans[[#This Row],[CustomerID]],CustomerTbl[CustomerID],CustomerTbl[RiskScore])</f>
        <v>834</v>
      </c>
      <c r="R914" t="str">
        <f>IFERROR(INDEX(RiskTbl[Risk_Category],MATCH(Loans[[#This Row],[RiskScore]],RiskTbl[Score_Min],1)),"Unknown")</f>
        <v>Prime</v>
      </c>
      <c r="S914" t="str">
        <f>IF(OR(Loans[[#This Row],[LoanStatus]]="Default",Loans[[#This Row],[LoanStatus]]="Watchlist",Loans[[#This Row],[CollateralRisk]]="Undersecured",Loans[[#This Row],[RiskCategory]]="High Risk"),"High Risk Exposure","Normal")</f>
        <v>High Risk Exposure</v>
      </c>
      <c r="T914" t="str" cm="1">
        <f t="array" ref="T914">_xlfn.IFS(
Loans[[#This Row],[LoanStatus]]="Default","Critical",
OR(Loans[[#This Row],[LoanStatus]]="Watchlist",Loans[[#This Row],[CollateralRisk]]="Undersecured",Loans[[#This Row],[RiskCategory]]="High Risk"),"High",
TRUE,"Normal"
)</f>
        <v>High</v>
      </c>
    </row>
    <row r="915" spans="1:20" x14ac:dyDescent="0.35">
      <c r="A915" t="s">
        <v>1616</v>
      </c>
      <c r="B915" t="s">
        <v>765</v>
      </c>
      <c r="C915" t="s">
        <v>187</v>
      </c>
      <c r="D915" t="s">
        <v>158</v>
      </c>
      <c r="E915" s="34">
        <v>1000000</v>
      </c>
      <c r="F915" s="29">
        <v>0.1326</v>
      </c>
      <c r="G915" s="30">
        <v>45281</v>
      </c>
      <c r="H915">
        <v>72</v>
      </c>
      <c r="I915">
        <v>5</v>
      </c>
      <c r="J915" s="34">
        <v>770000</v>
      </c>
      <c r="K915" t="s">
        <v>171</v>
      </c>
      <c r="L915" s="34">
        <f>PMT(Loans[[#This Row],[InterestRate]]/12,Loans[[#This Row],[LoanTenureMonths]],-Loans[[#This Row],[LoanAmount]])</f>
        <v>20211.590540675872</v>
      </c>
      <c r="M915" s="30">
        <f>EDATE(Loans[[#This Row],[LoanStartDate]],Loans[[#This Row],[LoanTenureMonths]])</f>
        <v>47473</v>
      </c>
      <c r="N915" s="33">
        <f>IF(Loans[[#This Row],[LoanAmount]]=0,0,Loans[[#This Row],[CollateralValue]]/Loans[[#This Row],[LoanAmount]])</f>
        <v>0.77</v>
      </c>
      <c r="O915" t="str">
        <f>IF(Loans[[#This Row],[CollateralCoverageRatio]]&lt;1,"Undersecured","Secured")</f>
        <v>Undersecured</v>
      </c>
      <c r="P915" t="str">
        <f>_xlfn.XLOOKUP(Loans[[#This Row],[BranchCode]],BranchesTbl[BranchCode],BranchesTbl[BranchName])</f>
        <v>Eldoret</v>
      </c>
      <c r="Q915">
        <f>_xlfn.XLOOKUP(Loans[[#This Row],[CustomerID]],CustomerTbl[CustomerID],CustomerTbl[RiskScore])</f>
        <v>389</v>
      </c>
      <c r="R915" t="str">
        <f>IFERROR(INDEX(RiskTbl[Risk_Category],MATCH(Loans[[#This Row],[RiskScore]],RiskTbl[Score_Min],1)),"Unknown")</f>
        <v>High Risk</v>
      </c>
      <c r="S915" t="str">
        <f>IF(OR(Loans[[#This Row],[LoanStatus]]="Default",Loans[[#This Row],[LoanStatus]]="Watchlist",Loans[[#This Row],[CollateralRisk]]="Undersecured",Loans[[#This Row],[RiskCategory]]="High Risk"),"High Risk Exposure","Normal")</f>
        <v>High Risk Exposure</v>
      </c>
      <c r="T915" t="str" cm="1">
        <f t="array" ref="T915">_xlfn.IFS(
Loans[[#This Row],[LoanStatus]]="Default","Critical",
OR(Loans[[#This Row],[LoanStatus]]="Watchlist",Loans[[#This Row],[CollateralRisk]]="Undersecured",Loans[[#This Row],[RiskCategory]]="High Risk"),"High",
TRUE,"Normal"
)</f>
        <v>High</v>
      </c>
    </row>
    <row r="916" spans="1:20" x14ac:dyDescent="0.35">
      <c r="A916" t="s">
        <v>1617</v>
      </c>
      <c r="B916" t="s">
        <v>1618</v>
      </c>
      <c r="C916" t="s">
        <v>193</v>
      </c>
      <c r="D916" t="s">
        <v>157</v>
      </c>
      <c r="E916" s="34">
        <v>80000000</v>
      </c>
      <c r="F916" s="29">
        <v>0.1119</v>
      </c>
      <c r="G916" s="30">
        <v>44261</v>
      </c>
      <c r="H916">
        <v>72</v>
      </c>
      <c r="I916">
        <v>0</v>
      </c>
      <c r="J916" s="34">
        <v>59200000</v>
      </c>
      <c r="K916" t="s">
        <v>171</v>
      </c>
      <c r="L916" s="34">
        <f>PMT(Loans[[#This Row],[InterestRate]]/12,Loans[[#This Row],[LoanTenureMonths]],-Loans[[#This Row],[LoanAmount]])</f>
        <v>1530522.9568439496</v>
      </c>
      <c r="M916" s="30">
        <f>EDATE(Loans[[#This Row],[LoanStartDate]],Loans[[#This Row],[LoanTenureMonths]])</f>
        <v>46452</v>
      </c>
      <c r="N916" s="33">
        <f>IF(Loans[[#This Row],[LoanAmount]]=0,0,Loans[[#This Row],[CollateralValue]]/Loans[[#This Row],[LoanAmount]])</f>
        <v>0.74</v>
      </c>
      <c r="O916" t="str">
        <f>IF(Loans[[#This Row],[CollateralCoverageRatio]]&lt;1,"Undersecured","Secured")</f>
        <v>Undersecured</v>
      </c>
      <c r="P916" t="str">
        <f>_xlfn.XLOOKUP(Loans[[#This Row],[BranchCode]],BranchesTbl[BranchCode],BranchesTbl[BranchName])</f>
        <v>Mombasa</v>
      </c>
      <c r="Q916">
        <f>_xlfn.XLOOKUP(Loans[[#This Row],[CustomerID]],CustomerTbl[CustomerID],CustomerTbl[RiskScore])</f>
        <v>758</v>
      </c>
      <c r="R916" t="str">
        <f>IFERROR(INDEX(RiskTbl[Risk_Category],MATCH(Loans[[#This Row],[RiskScore]],RiskTbl[Score_Min],1)),"Unknown")</f>
        <v>Very Low Risk</v>
      </c>
      <c r="S916" t="str">
        <f>IF(OR(Loans[[#This Row],[LoanStatus]]="Default",Loans[[#This Row],[LoanStatus]]="Watchlist",Loans[[#This Row],[CollateralRisk]]="Undersecured",Loans[[#This Row],[RiskCategory]]="High Risk"),"High Risk Exposure","Normal")</f>
        <v>High Risk Exposure</v>
      </c>
      <c r="T916" t="str" cm="1">
        <f t="array" ref="T916">_xlfn.IFS(
Loans[[#This Row],[LoanStatus]]="Default","Critical",
OR(Loans[[#This Row],[LoanStatus]]="Watchlist",Loans[[#This Row],[CollateralRisk]]="Undersecured",Loans[[#This Row],[RiskCategory]]="High Risk"),"High",
TRUE,"Normal"
)</f>
        <v>High</v>
      </c>
    </row>
    <row r="917" spans="1:20" x14ac:dyDescent="0.35">
      <c r="A917" t="s">
        <v>1619</v>
      </c>
      <c r="B917" t="s">
        <v>1352</v>
      </c>
      <c r="C917" t="s">
        <v>174</v>
      </c>
      <c r="D917" t="s">
        <v>155</v>
      </c>
      <c r="E917" s="34">
        <v>250000</v>
      </c>
      <c r="F917" s="29">
        <v>0.21179999999999999</v>
      </c>
      <c r="G917" s="30">
        <v>44324</v>
      </c>
      <c r="H917">
        <v>72</v>
      </c>
      <c r="I917">
        <v>45</v>
      </c>
      <c r="J917" s="34">
        <v>0</v>
      </c>
      <c r="K917" t="s">
        <v>199</v>
      </c>
      <c r="L917" s="34">
        <f>PMT(Loans[[#This Row],[InterestRate]]/12,Loans[[#This Row],[LoanTenureMonths]],-Loans[[#This Row],[LoanAmount]])</f>
        <v>6160.4273674442175</v>
      </c>
      <c r="M917" s="30">
        <f>EDATE(Loans[[#This Row],[LoanStartDate]],Loans[[#This Row],[LoanTenureMonths]])</f>
        <v>46515</v>
      </c>
      <c r="N917" s="33">
        <f>IF(Loans[[#This Row],[LoanAmount]]=0,0,Loans[[#This Row],[CollateralValue]]/Loans[[#This Row],[LoanAmount]])</f>
        <v>0</v>
      </c>
      <c r="O917" t="str">
        <f>IF(Loans[[#This Row],[CollateralCoverageRatio]]&lt;1,"Undersecured","Secured")</f>
        <v>Undersecured</v>
      </c>
      <c r="P917" t="str">
        <f>_xlfn.XLOOKUP(Loans[[#This Row],[BranchCode]],BranchesTbl[BranchCode],BranchesTbl[BranchName])</f>
        <v>Westlands</v>
      </c>
      <c r="Q917">
        <f>_xlfn.XLOOKUP(Loans[[#This Row],[CustomerID]],CustomerTbl[CustomerID],CustomerTbl[RiskScore])</f>
        <v>622</v>
      </c>
      <c r="R917" t="str">
        <f>IFERROR(INDEX(RiskTbl[Risk_Category],MATCH(Loans[[#This Row],[RiskScore]],RiskTbl[Score_Min],1)),"Unknown")</f>
        <v>Medium Risk</v>
      </c>
      <c r="S917" t="str">
        <f>IF(OR(Loans[[#This Row],[LoanStatus]]="Default",Loans[[#This Row],[LoanStatus]]="Watchlist",Loans[[#This Row],[CollateralRisk]]="Undersecured",Loans[[#This Row],[RiskCategory]]="High Risk"),"High Risk Exposure","Normal")</f>
        <v>High Risk Exposure</v>
      </c>
      <c r="T917" t="str" cm="1">
        <f t="array" ref="T917">_xlfn.IFS(
Loans[[#This Row],[LoanStatus]]="Default","Critical",
OR(Loans[[#This Row],[LoanStatus]]="Watchlist",Loans[[#This Row],[CollateralRisk]]="Undersecured",Loans[[#This Row],[RiskCategory]]="High Risk"),"High",
TRUE,"Normal"
)</f>
        <v>High</v>
      </c>
    </row>
    <row r="918" spans="1:20" x14ac:dyDescent="0.35">
      <c r="A918" t="s">
        <v>1620</v>
      </c>
      <c r="B918" t="s">
        <v>1621</v>
      </c>
      <c r="C918" t="s">
        <v>187</v>
      </c>
      <c r="D918" t="s">
        <v>157</v>
      </c>
      <c r="E918" s="34">
        <v>25000000</v>
      </c>
      <c r="F918" s="29">
        <v>0.12659999999999999</v>
      </c>
      <c r="G918" s="30">
        <v>45006</v>
      </c>
      <c r="H918">
        <v>24</v>
      </c>
      <c r="I918">
        <v>5</v>
      </c>
      <c r="J918" s="34">
        <v>27500000</v>
      </c>
      <c r="K918" t="s">
        <v>171</v>
      </c>
      <c r="L918" s="34">
        <f>PMT(Loans[[#This Row],[InterestRate]]/12,Loans[[#This Row],[LoanTenureMonths]],-Loans[[#This Row],[LoanAmount]])</f>
        <v>1184556.9765266862</v>
      </c>
      <c r="M918" s="30">
        <f>EDATE(Loans[[#This Row],[LoanStartDate]],Loans[[#This Row],[LoanTenureMonths]])</f>
        <v>45737</v>
      </c>
      <c r="N918" s="33">
        <f>IF(Loans[[#This Row],[LoanAmount]]=0,0,Loans[[#This Row],[CollateralValue]]/Loans[[#This Row],[LoanAmount]])</f>
        <v>1.1000000000000001</v>
      </c>
      <c r="O918" t="str">
        <f>IF(Loans[[#This Row],[CollateralCoverageRatio]]&lt;1,"Undersecured","Secured")</f>
        <v>Secured</v>
      </c>
      <c r="P918" t="str">
        <f>_xlfn.XLOOKUP(Loans[[#This Row],[BranchCode]],BranchesTbl[BranchCode],BranchesTbl[BranchName])</f>
        <v>Eldoret</v>
      </c>
      <c r="Q918">
        <f>_xlfn.XLOOKUP(Loans[[#This Row],[CustomerID]],CustomerTbl[CustomerID],CustomerTbl[RiskScore])</f>
        <v>825</v>
      </c>
      <c r="R918" t="str">
        <f>IFERROR(INDEX(RiskTbl[Risk_Category],MATCH(Loans[[#This Row],[RiskScore]],RiskTbl[Score_Min],1)),"Unknown")</f>
        <v>Prime</v>
      </c>
      <c r="S918" t="str">
        <f>IF(OR(Loans[[#This Row],[LoanStatus]]="Default",Loans[[#This Row],[LoanStatus]]="Watchlist",Loans[[#This Row],[CollateralRisk]]="Undersecured",Loans[[#This Row],[RiskCategory]]="High Risk"),"High Risk Exposure","Normal")</f>
        <v>Normal</v>
      </c>
      <c r="T918" t="str" cm="1">
        <f t="array" ref="T918">_xlfn.IFS(
Loans[[#This Row],[LoanStatus]]="Default","Critical",
OR(Loans[[#This Row],[LoanStatus]]="Watchlist",Loans[[#This Row],[CollateralRisk]]="Undersecured",Loans[[#This Row],[RiskCategory]]="High Risk"),"High",
TRUE,"Normal"
)</f>
        <v>Normal</v>
      </c>
    </row>
    <row r="919" spans="1:20" x14ac:dyDescent="0.35">
      <c r="A919" t="s">
        <v>1622</v>
      </c>
      <c r="B919" t="s">
        <v>1623</v>
      </c>
      <c r="C919" t="s">
        <v>181</v>
      </c>
      <c r="D919" t="s">
        <v>155</v>
      </c>
      <c r="E919" s="34">
        <v>1000000</v>
      </c>
      <c r="F919" s="29">
        <v>0.25240000000000001</v>
      </c>
      <c r="G919" s="30">
        <v>45931</v>
      </c>
      <c r="H919">
        <v>60</v>
      </c>
      <c r="I919">
        <v>0</v>
      </c>
      <c r="J919" s="34">
        <v>0</v>
      </c>
      <c r="K919" t="s">
        <v>171</v>
      </c>
      <c r="L919" s="34">
        <f>PMT(Loans[[#This Row],[InterestRate]]/12,Loans[[#This Row],[LoanTenureMonths]],-Loans[[#This Row],[LoanAmount]])</f>
        <v>29492.193332806703</v>
      </c>
      <c r="M919" s="30">
        <f>EDATE(Loans[[#This Row],[LoanStartDate]],Loans[[#This Row],[LoanTenureMonths]])</f>
        <v>47757</v>
      </c>
      <c r="N919" s="33">
        <f>IF(Loans[[#This Row],[LoanAmount]]=0,0,Loans[[#This Row],[CollateralValue]]/Loans[[#This Row],[LoanAmount]])</f>
        <v>0</v>
      </c>
      <c r="O919" t="str">
        <f>IF(Loans[[#This Row],[CollateralCoverageRatio]]&lt;1,"Undersecured","Secured")</f>
        <v>Undersecured</v>
      </c>
      <c r="P919" t="str">
        <f>_xlfn.XLOOKUP(Loans[[#This Row],[BranchCode]],BranchesTbl[BranchCode],BranchesTbl[BranchName])</f>
        <v>Kitale</v>
      </c>
      <c r="Q919">
        <f>_xlfn.XLOOKUP(Loans[[#This Row],[CustomerID]],CustomerTbl[CustomerID],CustomerTbl[RiskScore])</f>
        <v>813</v>
      </c>
      <c r="R919" t="str">
        <f>IFERROR(INDEX(RiskTbl[Risk_Category],MATCH(Loans[[#This Row],[RiskScore]],RiskTbl[Score_Min],1)),"Unknown")</f>
        <v>Prime</v>
      </c>
      <c r="S919" t="str">
        <f>IF(OR(Loans[[#This Row],[LoanStatus]]="Default",Loans[[#This Row],[LoanStatus]]="Watchlist",Loans[[#This Row],[CollateralRisk]]="Undersecured",Loans[[#This Row],[RiskCategory]]="High Risk"),"High Risk Exposure","Normal")</f>
        <v>High Risk Exposure</v>
      </c>
      <c r="T919" t="str" cm="1">
        <f t="array" ref="T919">_xlfn.IFS(
Loans[[#This Row],[LoanStatus]]="Default","Critical",
OR(Loans[[#This Row],[LoanStatus]]="Watchlist",Loans[[#This Row],[CollateralRisk]]="Undersecured",Loans[[#This Row],[RiskCategory]]="High Risk"),"High",
TRUE,"Normal"
)</f>
        <v>High</v>
      </c>
    </row>
    <row r="920" spans="1:20" x14ac:dyDescent="0.35">
      <c r="A920" t="s">
        <v>1624</v>
      </c>
      <c r="B920" t="s">
        <v>710</v>
      </c>
      <c r="C920" t="s">
        <v>184</v>
      </c>
      <c r="D920" t="s">
        <v>157</v>
      </c>
      <c r="E920" s="34">
        <v>6000000</v>
      </c>
      <c r="F920" s="29">
        <v>0.10879999999999999</v>
      </c>
      <c r="G920" s="30">
        <v>45210</v>
      </c>
      <c r="H920">
        <v>24</v>
      </c>
      <c r="I920">
        <v>20</v>
      </c>
      <c r="J920" s="34">
        <v>5160000</v>
      </c>
      <c r="K920" t="s">
        <v>171</v>
      </c>
      <c r="L920" s="34">
        <f>PMT(Loans[[#This Row],[InterestRate]]/12,Loans[[#This Row],[LoanTenureMonths]],-Loans[[#This Row],[LoanAmount]])</f>
        <v>279312.86958074884</v>
      </c>
      <c r="M920" s="30">
        <f>EDATE(Loans[[#This Row],[LoanStartDate]],Loans[[#This Row],[LoanTenureMonths]])</f>
        <v>45941</v>
      </c>
      <c r="N920" s="33">
        <f>IF(Loans[[#This Row],[LoanAmount]]=0,0,Loans[[#This Row],[CollateralValue]]/Loans[[#This Row],[LoanAmount]])</f>
        <v>0.86</v>
      </c>
      <c r="O920" t="str">
        <f>IF(Loans[[#This Row],[CollateralCoverageRatio]]&lt;1,"Undersecured","Secured")</f>
        <v>Undersecured</v>
      </c>
      <c r="P920" t="str">
        <f>_xlfn.XLOOKUP(Loans[[#This Row],[BranchCode]],BranchesTbl[BranchCode],BranchesTbl[BranchName])</f>
        <v>Kisumu</v>
      </c>
      <c r="Q920">
        <f>_xlfn.XLOOKUP(Loans[[#This Row],[CustomerID]],CustomerTbl[CustomerID],CustomerTbl[RiskScore])</f>
        <v>775</v>
      </c>
      <c r="R920" t="str">
        <f>IFERROR(INDEX(RiskTbl[Risk_Category],MATCH(Loans[[#This Row],[RiskScore]],RiskTbl[Score_Min],1)),"Unknown")</f>
        <v>Very Low Risk</v>
      </c>
      <c r="S920" t="str">
        <f>IF(OR(Loans[[#This Row],[LoanStatus]]="Default",Loans[[#This Row],[LoanStatus]]="Watchlist",Loans[[#This Row],[CollateralRisk]]="Undersecured",Loans[[#This Row],[RiskCategory]]="High Risk"),"High Risk Exposure","Normal")</f>
        <v>High Risk Exposure</v>
      </c>
      <c r="T920" t="str" cm="1">
        <f t="array" ref="T920">_xlfn.IFS(
Loans[[#This Row],[LoanStatus]]="Default","Critical",
OR(Loans[[#This Row],[LoanStatus]]="Watchlist",Loans[[#This Row],[CollateralRisk]]="Undersecured",Loans[[#This Row],[RiskCategory]]="High Risk"),"High",
TRUE,"Normal"
)</f>
        <v>High</v>
      </c>
    </row>
    <row r="921" spans="1:20" x14ac:dyDescent="0.35">
      <c r="A921" t="s">
        <v>1625</v>
      </c>
      <c r="B921" t="s">
        <v>1541</v>
      </c>
      <c r="C921" t="s">
        <v>187</v>
      </c>
      <c r="D921" t="s">
        <v>155</v>
      </c>
      <c r="E921" s="34">
        <v>250000</v>
      </c>
      <c r="F921" s="29">
        <v>0.27360000000000001</v>
      </c>
      <c r="G921" s="30">
        <v>44068</v>
      </c>
      <c r="H921">
        <v>72</v>
      </c>
      <c r="I921">
        <v>0</v>
      </c>
      <c r="J921" s="34">
        <v>0</v>
      </c>
      <c r="K921" t="s">
        <v>171</v>
      </c>
      <c r="L921" s="34">
        <f>PMT(Loans[[#This Row],[InterestRate]]/12,Loans[[#This Row],[LoanTenureMonths]],-Loans[[#This Row],[LoanAmount]])</f>
        <v>7100.7974041570487</v>
      </c>
      <c r="M921" s="30">
        <f>EDATE(Loans[[#This Row],[LoanStartDate]],Loans[[#This Row],[LoanTenureMonths]])</f>
        <v>46259</v>
      </c>
      <c r="N921" s="33">
        <f>IF(Loans[[#This Row],[LoanAmount]]=0,0,Loans[[#This Row],[CollateralValue]]/Loans[[#This Row],[LoanAmount]])</f>
        <v>0</v>
      </c>
      <c r="O921" t="str">
        <f>IF(Loans[[#This Row],[CollateralCoverageRatio]]&lt;1,"Undersecured","Secured")</f>
        <v>Undersecured</v>
      </c>
      <c r="P921" t="str">
        <f>_xlfn.XLOOKUP(Loans[[#This Row],[BranchCode]],BranchesTbl[BranchCode],BranchesTbl[BranchName])</f>
        <v>Eldoret</v>
      </c>
      <c r="Q921">
        <f>_xlfn.XLOOKUP(Loans[[#This Row],[CustomerID]],CustomerTbl[CustomerID],CustomerTbl[RiskScore])</f>
        <v>314</v>
      </c>
      <c r="R921" t="str">
        <f>IFERROR(INDEX(RiskTbl[Risk_Category],MATCH(Loans[[#This Row],[RiskScore]],RiskTbl[Score_Min],1)),"Unknown")</f>
        <v>High Risk</v>
      </c>
      <c r="S921" t="str">
        <f>IF(OR(Loans[[#This Row],[LoanStatus]]="Default",Loans[[#This Row],[LoanStatus]]="Watchlist",Loans[[#This Row],[CollateralRisk]]="Undersecured",Loans[[#This Row],[RiskCategory]]="High Risk"),"High Risk Exposure","Normal")</f>
        <v>High Risk Exposure</v>
      </c>
      <c r="T921" t="str" cm="1">
        <f t="array" ref="T921">_xlfn.IFS(
Loans[[#This Row],[LoanStatus]]="Default","Critical",
OR(Loans[[#This Row],[LoanStatus]]="Watchlist",Loans[[#This Row],[CollateralRisk]]="Undersecured",Loans[[#This Row],[RiskCategory]]="High Risk"),"High",
TRUE,"Normal"
)</f>
        <v>High</v>
      </c>
    </row>
    <row r="922" spans="1:20" x14ac:dyDescent="0.35">
      <c r="A922" t="s">
        <v>1626</v>
      </c>
      <c r="B922" t="s">
        <v>983</v>
      </c>
      <c r="C922" t="s">
        <v>190</v>
      </c>
      <c r="D922" t="s">
        <v>156</v>
      </c>
      <c r="E922" s="34">
        <v>3000000</v>
      </c>
      <c r="F922" s="29">
        <v>0.15359999999999999</v>
      </c>
      <c r="G922" s="30">
        <v>44671</v>
      </c>
      <c r="H922">
        <v>72</v>
      </c>
      <c r="I922">
        <v>0</v>
      </c>
      <c r="J922" s="34">
        <v>3630000</v>
      </c>
      <c r="K922" t="s">
        <v>171</v>
      </c>
      <c r="L922" s="34">
        <f>PMT(Loans[[#This Row],[InterestRate]]/12,Loans[[#This Row],[LoanTenureMonths]],-Loans[[#This Row],[LoanAmount]])</f>
        <v>64023.016866344544</v>
      </c>
      <c r="M922" s="30">
        <f>EDATE(Loans[[#This Row],[LoanStartDate]],Loans[[#This Row],[LoanTenureMonths]])</f>
        <v>46863</v>
      </c>
      <c r="N922" s="33">
        <f>IF(Loans[[#This Row],[LoanAmount]]=0,0,Loans[[#This Row],[CollateralValue]]/Loans[[#This Row],[LoanAmount]])</f>
        <v>1.21</v>
      </c>
      <c r="O922" t="str">
        <f>IF(Loans[[#This Row],[CollateralCoverageRatio]]&lt;1,"Undersecured","Secured")</f>
        <v>Secured</v>
      </c>
      <c r="P922" t="str">
        <f>_xlfn.XLOOKUP(Loans[[#This Row],[BranchCode]],BranchesTbl[BranchCode],BranchesTbl[BranchName])</f>
        <v>Nyeri</v>
      </c>
      <c r="Q922">
        <f>_xlfn.XLOOKUP(Loans[[#This Row],[CustomerID]],CustomerTbl[CustomerID],CustomerTbl[RiskScore])</f>
        <v>368</v>
      </c>
      <c r="R922" t="str">
        <f>IFERROR(INDEX(RiskTbl[Risk_Category],MATCH(Loans[[#This Row],[RiskScore]],RiskTbl[Score_Min],1)),"Unknown")</f>
        <v>High Risk</v>
      </c>
      <c r="S922" t="str">
        <f>IF(OR(Loans[[#This Row],[LoanStatus]]="Default",Loans[[#This Row],[LoanStatus]]="Watchlist",Loans[[#This Row],[CollateralRisk]]="Undersecured",Loans[[#This Row],[RiskCategory]]="High Risk"),"High Risk Exposure","Normal")</f>
        <v>High Risk Exposure</v>
      </c>
      <c r="T922" t="str" cm="1">
        <f t="array" ref="T922">_xlfn.IFS(
Loans[[#This Row],[LoanStatus]]="Default","Critical",
OR(Loans[[#This Row],[LoanStatus]]="Watchlist",Loans[[#This Row],[CollateralRisk]]="Undersecured",Loans[[#This Row],[RiskCategory]]="High Risk"),"High",
TRUE,"Normal"
)</f>
        <v>High</v>
      </c>
    </row>
    <row r="923" spans="1:20" x14ac:dyDescent="0.35">
      <c r="A923" t="s">
        <v>1627</v>
      </c>
      <c r="B923" t="s">
        <v>879</v>
      </c>
      <c r="C923" t="s">
        <v>170</v>
      </c>
      <c r="D923" t="s">
        <v>155</v>
      </c>
      <c r="E923" s="34">
        <v>1000000</v>
      </c>
      <c r="F923" s="29">
        <v>0.1855</v>
      </c>
      <c r="G923" s="30">
        <v>43940</v>
      </c>
      <c r="H923">
        <v>36</v>
      </c>
      <c r="I923">
        <v>0</v>
      </c>
      <c r="J923" s="34">
        <v>0</v>
      </c>
      <c r="K923" t="s">
        <v>171</v>
      </c>
      <c r="L923" s="34">
        <f>PMT(Loans[[#This Row],[InterestRate]]/12,Loans[[#This Row],[LoanTenureMonths]],-Loans[[#This Row],[LoanAmount]])</f>
        <v>36428.900503597994</v>
      </c>
      <c r="M923" s="30">
        <f>EDATE(Loans[[#This Row],[LoanStartDate]],Loans[[#This Row],[LoanTenureMonths]])</f>
        <v>45035</v>
      </c>
      <c r="N923" s="33">
        <f>IF(Loans[[#This Row],[LoanAmount]]=0,0,Loans[[#This Row],[CollateralValue]]/Loans[[#This Row],[LoanAmount]])</f>
        <v>0</v>
      </c>
      <c r="O923" t="str">
        <f>IF(Loans[[#This Row],[CollateralCoverageRatio]]&lt;1,"Undersecured","Secured")</f>
        <v>Undersecured</v>
      </c>
      <c r="P923" t="str">
        <f>_xlfn.XLOOKUP(Loans[[#This Row],[BranchCode]],BranchesTbl[BranchCode],BranchesTbl[BranchName])</f>
        <v>Thika</v>
      </c>
      <c r="Q923">
        <f>_xlfn.XLOOKUP(Loans[[#This Row],[CustomerID]],CustomerTbl[CustomerID],CustomerTbl[RiskScore])</f>
        <v>580</v>
      </c>
      <c r="R923" t="str">
        <f>IFERROR(INDEX(RiskTbl[Risk_Category],MATCH(Loans[[#This Row],[RiskScore]],RiskTbl[Score_Min],1)),"Unknown")</f>
        <v>Medium Risk</v>
      </c>
      <c r="S923" t="str">
        <f>IF(OR(Loans[[#This Row],[LoanStatus]]="Default",Loans[[#This Row],[LoanStatus]]="Watchlist",Loans[[#This Row],[CollateralRisk]]="Undersecured",Loans[[#This Row],[RiskCategory]]="High Risk"),"High Risk Exposure","Normal")</f>
        <v>High Risk Exposure</v>
      </c>
      <c r="T923" t="str" cm="1">
        <f t="array" ref="T923">_xlfn.IFS(
Loans[[#This Row],[LoanStatus]]="Default","Critical",
OR(Loans[[#This Row],[LoanStatus]]="Watchlist",Loans[[#This Row],[CollateralRisk]]="Undersecured",Loans[[#This Row],[RiskCategory]]="High Risk"),"High",
TRUE,"Normal"
)</f>
        <v>High</v>
      </c>
    </row>
    <row r="924" spans="1:20" x14ac:dyDescent="0.35">
      <c r="A924" t="s">
        <v>1628</v>
      </c>
      <c r="B924" t="s">
        <v>1629</v>
      </c>
      <c r="C924" t="s">
        <v>270</v>
      </c>
      <c r="D924" t="s">
        <v>156</v>
      </c>
      <c r="E924" s="34">
        <v>25000000</v>
      </c>
      <c r="F924" s="29">
        <v>0.16250000000000001</v>
      </c>
      <c r="G924" s="30">
        <v>45769</v>
      </c>
      <c r="H924">
        <v>24</v>
      </c>
      <c r="I924">
        <v>0</v>
      </c>
      <c r="J924" s="34">
        <v>24250000</v>
      </c>
      <c r="K924" t="s">
        <v>171</v>
      </c>
      <c r="L924" s="34">
        <f>PMT(Loans[[#This Row],[InterestRate]]/12,Loans[[#This Row],[LoanTenureMonths]],-Loans[[#This Row],[LoanAmount]])</f>
        <v>1227066.1720234265</v>
      </c>
      <c r="M924" s="30">
        <f>EDATE(Loans[[#This Row],[LoanStartDate]],Loans[[#This Row],[LoanTenureMonths]])</f>
        <v>46499</v>
      </c>
      <c r="N924" s="33">
        <f>IF(Loans[[#This Row],[LoanAmount]]=0,0,Loans[[#This Row],[CollateralValue]]/Loans[[#This Row],[LoanAmount]])</f>
        <v>0.97</v>
      </c>
      <c r="O924" t="str">
        <f>IF(Loans[[#This Row],[CollateralCoverageRatio]]&lt;1,"Undersecured","Secured")</f>
        <v>Undersecured</v>
      </c>
      <c r="P924" t="str">
        <f>_xlfn.XLOOKUP(Loans[[#This Row],[BranchCode]],BranchesTbl[BranchCode],BranchesTbl[BranchName])</f>
        <v>Nakuru</v>
      </c>
      <c r="Q924">
        <f>_xlfn.XLOOKUP(Loans[[#This Row],[CustomerID]],CustomerTbl[CustomerID],CustomerTbl[RiskScore])</f>
        <v>802</v>
      </c>
      <c r="R924" t="str">
        <f>IFERROR(INDEX(RiskTbl[Risk_Category],MATCH(Loans[[#This Row],[RiskScore]],RiskTbl[Score_Min],1)),"Unknown")</f>
        <v>Prime</v>
      </c>
      <c r="S924" t="str">
        <f>IF(OR(Loans[[#This Row],[LoanStatus]]="Default",Loans[[#This Row],[LoanStatus]]="Watchlist",Loans[[#This Row],[CollateralRisk]]="Undersecured",Loans[[#This Row],[RiskCategory]]="High Risk"),"High Risk Exposure","Normal")</f>
        <v>High Risk Exposure</v>
      </c>
      <c r="T924" t="str" cm="1">
        <f t="array" ref="T924">_xlfn.IFS(
Loans[[#This Row],[LoanStatus]]="Default","Critical",
OR(Loans[[#This Row],[LoanStatus]]="Watchlist",Loans[[#This Row],[CollateralRisk]]="Undersecured",Loans[[#This Row],[RiskCategory]]="High Risk"),"High",
TRUE,"Normal"
)</f>
        <v>High</v>
      </c>
    </row>
    <row r="925" spans="1:20" x14ac:dyDescent="0.35">
      <c r="A925" t="s">
        <v>1630</v>
      </c>
      <c r="B925" t="s">
        <v>1039</v>
      </c>
      <c r="C925" t="s">
        <v>270</v>
      </c>
      <c r="D925" t="s">
        <v>158</v>
      </c>
      <c r="E925" s="34">
        <v>1000000</v>
      </c>
      <c r="F925" s="29">
        <v>0.17269999999999999</v>
      </c>
      <c r="G925" s="30">
        <v>45796</v>
      </c>
      <c r="H925">
        <v>72</v>
      </c>
      <c r="I925">
        <v>5</v>
      </c>
      <c r="J925" s="34">
        <v>1440000</v>
      </c>
      <c r="K925" t="s">
        <v>171</v>
      </c>
      <c r="L925" s="34">
        <f>PMT(Loans[[#This Row],[InterestRate]]/12,Loans[[#This Row],[LoanTenureMonths]],-Loans[[#This Row],[LoanAmount]])</f>
        <v>22397.05708060598</v>
      </c>
      <c r="M925" s="30">
        <f>EDATE(Loans[[#This Row],[LoanStartDate]],Loans[[#This Row],[LoanTenureMonths]])</f>
        <v>47987</v>
      </c>
      <c r="N925" s="33">
        <f>IF(Loans[[#This Row],[LoanAmount]]=0,0,Loans[[#This Row],[CollateralValue]]/Loans[[#This Row],[LoanAmount]])</f>
        <v>1.44</v>
      </c>
      <c r="O925" t="str">
        <f>IF(Loans[[#This Row],[CollateralCoverageRatio]]&lt;1,"Undersecured","Secured")</f>
        <v>Secured</v>
      </c>
      <c r="P925" t="str">
        <f>_xlfn.XLOOKUP(Loans[[#This Row],[BranchCode]],BranchesTbl[BranchCode],BranchesTbl[BranchName])</f>
        <v>Nakuru</v>
      </c>
      <c r="Q925">
        <f>_xlfn.XLOOKUP(Loans[[#This Row],[CustomerID]],CustomerTbl[CustomerID],CustomerTbl[RiskScore])</f>
        <v>698</v>
      </c>
      <c r="R925" t="str">
        <f>IFERROR(INDEX(RiskTbl[Risk_Category],MATCH(Loans[[#This Row],[RiskScore]],RiskTbl[Score_Min],1)),"Unknown")</f>
        <v>Low Risk</v>
      </c>
      <c r="S925" t="str">
        <f>IF(OR(Loans[[#This Row],[LoanStatus]]="Default",Loans[[#This Row],[LoanStatus]]="Watchlist",Loans[[#This Row],[CollateralRisk]]="Undersecured",Loans[[#This Row],[RiskCategory]]="High Risk"),"High Risk Exposure","Normal")</f>
        <v>Normal</v>
      </c>
      <c r="T925" t="str" cm="1">
        <f t="array" ref="T925">_xlfn.IFS(
Loans[[#This Row],[LoanStatus]]="Default","Critical",
OR(Loans[[#This Row],[LoanStatus]]="Watchlist",Loans[[#This Row],[CollateralRisk]]="Undersecured",Loans[[#This Row],[RiskCategory]]="High Risk"),"High",
TRUE,"Normal"
)</f>
        <v>Normal</v>
      </c>
    </row>
    <row r="926" spans="1:20" x14ac:dyDescent="0.35">
      <c r="A926" t="s">
        <v>1631</v>
      </c>
      <c r="B926" t="s">
        <v>1632</v>
      </c>
      <c r="C926" t="s">
        <v>270</v>
      </c>
      <c r="D926" t="s">
        <v>157</v>
      </c>
      <c r="E926" s="34">
        <v>25000000</v>
      </c>
      <c r="F926" s="29">
        <v>0.128</v>
      </c>
      <c r="G926" s="30">
        <v>44516</v>
      </c>
      <c r="H926">
        <v>48</v>
      </c>
      <c r="I926">
        <v>0</v>
      </c>
      <c r="J926" s="34">
        <v>32750000</v>
      </c>
      <c r="K926" t="s">
        <v>171</v>
      </c>
      <c r="L926" s="34">
        <f>PMT(Loans[[#This Row],[InterestRate]]/12,Loans[[#This Row],[LoanTenureMonths]],-Loans[[#This Row],[LoanAmount]])</f>
        <v>668208.43222106935</v>
      </c>
      <c r="M926" s="30">
        <f>EDATE(Loans[[#This Row],[LoanStartDate]],Loans[[#This Row],[LoanTenureMonths]])</f>
        <v>45977</v>
      </c>
      <c r="N926" s="33">
        <f>IF(Loans[[#This Row],[LoanAmount]]=0,0,Loans[[#This Row],[CollateralValue]]/Loans[[#This Row],[LoanAmount]])</f>
        <v>1.31</v>
      </c>
      <c r="O926" t="str">
        <f>IF(Loans[[#This Row],[CollateralCoverageRatio]]&lt;1,"Undersecured","Secured")</f>
        <v>Secured</v>
      </c>
      <c r="P926" t="str">
        <f>_xlfn.XLOOKUP(Loans[[#This Row],[BranchCode]],BranchesTbl[BranchCode],BranchesTbl[BranchName])</f>
        <v>Nakuru</v>
      </c>
      <c r="Q926">
        <f>_xlfn.XLOOKUP(Loans[[#This Row],[CustomerID]],CustomerTbl[CustomerID],CustomerTbl[RiskScore])</f>
        <v>816</v>
      </c>
      <c r="R926" t="str">
        <f>IFERROR(INDEX(RiskTbl[Risk_Category],MATCH(Loans[[#This Row],[RiskScore]],RiskTbl[Score_Min],1)),"Unknown")</f>
        <v>Prime</v>
      </c>
      <c r="S926" t="str">
        <f>IF(OR(Loans[[#This Row],[LoanStatus]]="Default",Loans[[#This Row],[LoanStatus]]="Watchlist",Loans[[#This Row],[CollateralRisk]]="Undersecured",Loans[[#This Row],[RiskCategory]]="High Risk"),"High Risk Exposure","Normal")</f>
        <v>Normal</v>
      </c>
      <c r="T926" t="str" cm="1">
        <f t="array" ref="T926">_xlfn.IFS(
Loans[[#This Row],[LoanStatus]]="Default","Critical",
OR(Loans[[#This Row],[LoanStatus]]="Watchlist",Loans[[#This Row],[CollateralRisk]]="Undersecured",Loans[[#This Row],[RiskCategory]]="High Risk"),"High",
TRUE,"Normal"
)</f>
        <v>Normal</v>
      </c>
    </row>
    <row r="927" spans="1:20" x14ac:dyDescent="0.35">
      <c r="A927" t="s">
        <v>1633</v>
      </c>
      <c r="B927" t="s">
        <v>1623</v>
      </c>
      <c r="C927" t="s">
        <v>177</v>
      </c>
      <c r="D927" t="s">
        <v>158</v>
      </c>
      <c r="E927" s="34">
        <v>500000</v>
      </c>
      <c r="F927" s="29">
        <v>0.18790000000000001</v>
      </c>
      <c r="G927" s="30">
        <v>44312</v>
      </c>
      <c r="H927">
        <v>48</v>
      </c>
      <c r="I927">
        <v>10</v>
      </c>
      <c r="J927" s="34">
        <v>435000</v>
      </c>
      <c r="K927" t="s">
        <v>171</v>
      </c>
      <c r="L927" s="34">
        <f>PMT(Loans[[#This Row],[InterestRate]]/12,Loans[[#This Row],[LoanTenureMonths]],-Loans[[#This Row],[LoanAmount]])</f>
        <v>14894.708464330057</v>
      </c>
      <c r="M927" s="30">
        <f>EDATE(Loans[[#This Row],[LoanStartDate]],Loans[[#This Row],[LoanTenureMonths]])</f>
        <v>45773</v>
      </c>
      <c r="N927" s="33">
        <f>IF(Loans[[#This Row],[LoanAmount]]=0,0,Loans[[#This Row],[CollateralValue]]/Loans[[#This Row],[LoanAmount]])</f>
        <v>0.87</v>
      </c>
      <c r="O927" t="str">
        <f>IF(Loans[[#This Row],[CollateralCoverageRatio]]&lt;1,"Undersecured","Secured")</f>
        <v>Undersecured</v>
      </c>
      <c r="P927" t="str">
        <f>_xlfn.XLOOKUP(Loans[[#This Row],[BranchCode]],BranchesTbl[BranchCode],BranchesTbl[BranchName])</f>
        <v>Naivasha</v>
      </c>
      <c r="Q927">
        <f>_xlfn.XLOOKUP(Loans[[#This Row],[CustomerID]],CustomerTbl[CustomerID],CustomerTbl[RiskScore])</f>
        <v>813</v>
      </c>
      <c r="R927" t="str">
        <f>IFERROR(INDEX(RiskTbl[Risk_Category],MATCH(Loans[[#This Row],[RiskScore]],RiskTbl[Score_Min],1)),"Unknown")</f>
        <v>Prime</v>
      </c>
      <c r="S927" t="str">
        <f>IF(OR(Loans[[#This Row],[LoanStatus]]="Default",Loans[[#This Row],[LoanStatus]]="Watchlist",Loans[[#This Row],[CollateralRisk]]="Undersecured",Loans[[#This Row],[RiskCategory]]="High Risk"),"High Risk Exposure","Normal")</f>
        <v>High Risk Exposure</v>
      </c>
      <c r="T927" t="str" cm="1">
        <f t="array" ref="T927">_xlfn.IFS(
Loans[[#This Row],[LoanStatus]]="Default","Critical",
OR(Loans[[#This Row],[LoanStatus]]="Watchlist",Loans[[#This Row],[CollateralRisk]]="Undersecured",Loans[[#This Row],[RiskCategory]]="High Risk"),"High",
TRUE,"Normal"
)</f>
        <v>High</v>
      </c>
    </row>
    <row r="928" spans="1:20" x14ac:dyDescent="0.35">
      <c r="A928" t="s">
        <v>1634</v>
      </c>
      <c r="B928" t="s">
        <v>1364</v>
      </c>
      <c r="C928" t="s">
        <v>196</v>
      </c>
      <c r="D928" t="s">
        <v>157</v>
      </c>
      <c r="E928" s="34">
        <v>25000000</v>
      </c>
      <c r="F928" s="29">
        <v>0.1023</v>
      </c>
      <c r="G928" s="30">
        <v>44034</v>
      </c>
      <c r="H928">
        <v>24</v>
      </c>
      <c r="I928">
        <v>20</v>
      </c>
      <c r="J928" s="34">
        <v>33000000</v>
      </c>
      <c r="K928" t="s">
        <v>171</v>
      </c>
      <c r="L928" s="34">
        <f>PMT(Loans[[#This Row],[InterestRate]]/12,Loans[[#This Row],[LoanTenureMonths]],-Loans[[#This Row],[LoanAmount]])</f>
        <v>1156278.8679918661</v>
      </c>
      <c r="M928" s="30">
        <f>EDATE(Loans[[#This Row],[LoanStartDate]],Loans[[#This Row],[LoanTenureMonths]])</f>
        <v>44764</v>
      </c>
      <c r="N928" s="33">
        <f>IF(Loans[[#This Row],[LoanAmount]]=0,0,Loans[[#This Row],[CollateralValue]]/Loans[[#This Row],[LoanAmount]])</f>
        <v>1.32</v>
      </c>
      <c r="O928" t="str">
        <f>IF(Loans[[#This Row],[CollateralCoverageRatio]]&lt;1,"Undersecured","Secured")</f>
        <v>Secured</v>
      </c>
      <c r="P928" t="str">
        <f>_xlfn.XLOOKUP(Loans[[#This Row],[BranchCode]],BranchesTbl[BranchCode],BranchesTbl[BranchName])</f>
        <v>Karen</v>
      </c>
      <c r="Q928">
        <f>_xlfn.XLOOKUP(Loans[[#This Row],[CustomerID]],CustomerTbl[CustomerID],CustomerTbl[RiskScore])</f>
        <v>325</v>
      </c>
      <c r="R928" t="str">
        <f>IFERROR(INDEX(RiskTbl[Risk_Category],MATCH(Loans[[#This Row],[RiskScore]],RiskTbl[Score_Min],1)),"Unknown")</f>
        <v>High Risk</v>
      </c>
      <c r="S928" t="str">
        <f>IF(OR(Loans[[#This Row],[LoanStatus]]="Default",Loans[[#This Row],[LoanStatus]]="Watchlist",Loans[[#This Row],[CollateralRisk]]="Undersecured",Loans[[#This Row],[RiskCategory]]="High Risk"),"High Risk Exposure","Normal")</f>
        <v>High Risk Exposure</v>
      </c>
      <c r="T928" t="str" cm="1">
        <f t="array" ref="T928">_xlfn.IFS(
Loans[[#This Row],[LoanStatus]]="Default","Critical",
OR(Loans[[#This Row],[LoanStatus]]="Watchlist",Loans[[#This Row],[CollateralRisk]]="Undersecured",Loans[[#This Row],[RiskCategory]]="High Risk"),"High",
TRUE,"Normal"
)</f>
        <v>High</v>
      </c>
    </row>
    <row r="929" spans="1:20" x14ac:dyDescent="0.35">
      <c r="A929" t="s">
        <v>1635</v>
      </c>
      <c r="B929" t="s">
        <v>1636</v>
      </c>
      <c r="C929" t="s">
        <v>187</v>
      </c>
      <c r="D929" t="s">
        <v>155</v>
      </c>
      <c r="E929" s="34">
        <v>1000000</v>
      </c>
      <c r="F929" s="29">
        <v>0.2059</v>
      </c>
      <c r="G929" s="30">
        <v>44984</v>
      </c>
      <c r="H929">
        <v>24</v>
      </c>
      <c r="I929">
        <v>0</v>
      </c>
      <c r="J929" s="34">
        <v>0</v>
      </c>
      <c r="K929" t="s">
        <v>171</v>
      </c>
      <c r="L929" s="34">
        <f>PMT(Loans[[#This Row],[InterestRate]]/12,Loans[[#This Row],[LoanTenureMonths]],-Loans[[#This Row],[LoanAmount]])</f>
        <v>51184.491551665669</v>
      </c>
      <c r="M929" s="30">
        <f>EDATE(Loans[[#This Row],[LoanStartDate]],Loans[[#This Row],[LoanTenureMonths]])</f>
        <v>45715</v>
      </c>
      <c r="N929" s="33">
        <f>IF(Loans[[#This Row],[LoanAmount]]=0,0,Loans[[#This Row],[CollateralValue]]/Loans[[#This Row],[LoanAmount]])</f>
        <v>0</v>
      </c>
      <c r="O929" t="str">
        <f>IF(Loans[[#This Row],[CollateralCoverageRatio]]&lt;1,"Undersecured","Secured")</f>
        <v>Undersecured</v>
      </c>
      <c r="P929" t="str">
        <f>_xlfn.XLOOKUP(Loans[[#This Row],[BranchCode]],BranchesTbl[BranchCode],BranchesTbl[BranchName])</f>
        <v>Eldoret</v>
      </c>
      <c r="Q929">
        <f>_xlfn.XLOOKUP(Loans[[#This Row],[CustomerID]],CustomerTbl[CustomerID],CustomerTbl[RiskScore])</f>
        <v>457</v>
      </c>
      <c r="R929" t="str">
        <f>IFERROR(INDEX(RiskTbl[Risk_Category],MATCH(Loans[[#This Row],[RiskScore]],RiskTbl[Score_Min],1)),"Unknown")</f>
        <v>High Risk</v>
      </c>
      <c r="S929" t="str">
        <f>IF(OR(Loans[[#This Row],[LoanStatus]]="Default",Loans[[#This Row],[LoanStatus]]="Watchlist",Loans[[#This Row],[CollateralRisk]]="Undersecured",Loans[[#This Row],[RiskCategory]]="High Risk"),"High Risk Exposure","Normal")</f>
        <v>High Risk Exposure</v>
      </c>
      <c r="T929" t="str" cm="1">
        <f t="array" ref="T929">_xlfn.IFS(
Loans[[#This Row],[LoanStatus]]="Default","Critical",
OR(Loans[[#This Row],[LoanStatus]]="Watchlist",Loans[[#This Row],[CollateralRisk]]="Undersecured",Loans[[#This Row],[RiskCategory]]="High Risk"),"High",
TRUE,"Normal"
)</f>
        <v>High</v>
      </c>
    </row>
    <row r="930" spans="1:20" x14ac:dyDescent="0.35">
      <c r="A930" t="s">
        <v>1637</v>
      </c>
      <c r="B930" t="s">
        <v>247</v>
      </c>
      <c r="C930" t="s">
        <v>187</v>
      </c>
      <c r="D930" t="s">
        <v>157</v>
      </c>
      <c r="E930" s="34">
        <v>80000000</v>
      </c>
      <c r="F930" s="29">
        <v>9.2600000000000002E-2</v>
      </c>
      <c r="G930" s="30">
        <v>44619</v>
      </c>
      <c r="H930">
        <v>12</v>
      </c>
      <c r="I930">
        <v>0</v>
      </c>
      <c r="J930" s="34">
        <v>104800000</v>
      </c>
      <c r="K930" t="s">
        <v>171</v>
      </c>
      <c r="L930" s="34">
        <f>PMT(Loans[[#This Row],[InterestRate]]/12,Loans[[#This Row],[LoanTenureMonths]],-Loans[[#This Row],[LoanAmount]])</f>
        <v>7005767.3974950584</v>
      </c>
      <c r="M930" s="30">
        <f>EDATE(Loans[[#This Row],[LoanStartDate]],Loans[[#This Row],[LoanTenureMonths]])</f>
        <v>44984</v>
      </c>
      <c r="N930" s="33">
        <f>IF(Loans[[#This Row],[LoanAmount]]=0,0,Loans[[#This Row],[CollateralValue]]/Loans[[#This Row],[LoanAmount]])</f>
        <v>1.31</v>
      </c>
      <c r="O930" t="str">
        <f>IF(Loans[[#This Row],[CollateralCoverageRatio]]&lt;1,"Undersecured","Secured")</f>
        <v>Secured</v>
      </c>
      <c r="P930" t="str">
        <f>_xlfn.XLOOKUP(Loans[[#This Row],[BranchCode]],BranchesTbl[BranchCode],BranchesTbl[BranchName])</f>
        <v>Eldoret</v>
      </c>
      <c r="Q930">
        <f>_xlfn.XLOOKUP(Loans[[#This Row],[CustomerID]],CustomerTbl[CustomerID],CustomerTbl[RiskScore])</f>
        <v>795</v>
      </c>
      <c r="R930" t="str">
        <f>IFERROR(INDEX(RiskTbl[Risk_Category],MATCH(Loans[[#This Row],[RiskScore]],RiskTbl[Score_Min],1)),"Unknown")</f>
        <v>Very Low Risk</v>
      </c>
      <c r="S930" t="str">
        <f>IF(OR(Loans[[#This Row],[LoanStatus]]="Default",Loans[[#This Row],[LoanStatus]]="Watchlist",Loans[[#This Row],[CollateralRisk]]="Undersecured",Loans[[#This Row],[RiskCategory]]="High Risk"),"High Risk Exposure","Normal")</f>
        <v>Normal</v>
      </c>
      <c r="T930" t="str" cm="1">
        <f t="array" ref="T930">_xlfn.IFS(
Loans[[#This Row],[LoanStatus]]="Default","Critical",
OR(Loans[[#This Row],[LoanStatus]]="Watchlist",Loans[[#This Row],[CollateralRisk]]="Undersecured",Loans[[#This Row],[RiskCategory]]="High Risk"),"High",
TRUE,"Normal"
)</f>
        <v>Normal</v>
      </c>
    </row>
    <row r="931" spans="1:20" x14ac:dyDescent="0.35">
      <c r="A931" t="s">
        <v>1638</v>
      </c>
      <c r="B931" t="s">
        <v>1639</v>
      </c>
      <c r="C931" t="s">
        <v>267</v>
      </c>
      <c r="D931" t="s">
        <v>156</v>
      </c>
      <c r="E931" s="34">
        <v>3000000</v>
      </c>
      <c r="F931" s="29">
        <v>0.14230000000000001</v>
      </c>
      <c r="G931" s="30">
        <v>45189</v>
      </c>
      <c r="H931">
        <v>12</v>
      </c>
      <c r="I931">
        <v>0</v>
      </c>
      <c r="J931" s="34">
        <v>4440000</v>
      </c>
      <c r="K931" t="s">
        <v>171</v>
      </c>
      <c r="L931" s="34">
        <f>PMT(Loans[[#This Row],[InterestRate]]/12,Loans[[#This Row],[LoanTenureMonths]],-Loans[[#This Row],[LoanAmount]])</f>
        <v>269686.11804280314</v>
      </c>
      <c r="M931" s="30">
        <f>EDATE(Loans[[#This Row],[LoanStartDate]],Loans[[#This Row],[LoanTenureMonths]])</f>
        <v>45555</v>
      </c>
      <c r="N931" s="33">
        <f>IF(Loans[[#This Row],[LoanAmount]]=0,0,Loans[[#This Row],[CollateralValue]]/Loans[[#This Row],[LoanAmount]])</f>
        <v>1.48</v>
      </c>
      <c r="O931" t="str">
        <f>IF(Loans[[#This Row],[CollateralCoverageRatio]]&lt;1,"Undersecured","Secured")</f>
        <v>Secured</v>
      </c>
      <c r="P931" t="str">
        <f>_xlfn.XLOOKUP(Loans[[#This Row],[BranchCode]],BranchesTbl[BranchCode],BranchesTbl[BranchName])</f>
        <v>Malindi</v>
      </c>
      <c r="Q931">
        <f>_xlfn.XLOOKUP(Loans[[#This Row],[CustomerID]],CustomerTbl[CustomerID],CustomerTbl[RiskScore])</f>
        <v>355</v>
      </c>
      <c r="R931" t="str">
        <f>IFERROR(INDEX(RiskTbl[Risk_Category],MATCH(Loans[[#This Row],[RiskScore]],RiskTbl[Score_Min],1)),"Unknown")</f>
        <v>High Risk</v>
      </c>
      <c r="S931" t="str">
        <f>IF(OR(Loans[[#This Row],[LoanStatus]]="Default",Loans[[#This Row],[LoanStatus]]="Watchlist",Loans[[#This Row],[CollateralRisk]]="Undersecured",Loans[[#This Row],[RiskCategory]]="High Risk"),"High Risk Exposure","Normal")</f>
        <v>High Risk Exposure</v>
      </c>
      <c r="T931" t="str" cm="1">
        <f t="array" ref="T931">_xlfn.IFS(
Loans[[#This Row],[LoanStatus]]="Default","Critical",
OR(Loans[[#This Row],[LoanStatus]]="Watchlist",Loans[[#This Row],[CollateralRisk]]="Undersecured",Loans[[#This Row],[RiskCategory]]="High Risk"),"High",
TRUE,"Normal"
)</f>
        <v>High</v>
      </c>
    </row>
    <row r="932" spans="1:20" x14ac:dyDescent="0.35">
      <c r="A932" t="s">
        <v>1640</v>
      </c>
      <c r="B932" t="s">
        <v>1585</v>
      </c>
      <c r="C932" t="s">
        <v>193</v>
      </c>
      <c r="D932" t="s">
        <v>155</v>
      </c>
      <c r="E932" s="34">
        <v>1000000</v>
      </c>
      <c r="F932" s="29">
        <v>0.25879999999999997</v>
      </c>
      <c r="G932" s="30">
        <v>45690</v>
      </c>
      <c r="H932">
        <v>60</v>
      </c>
      <c r="I932">
        <v>120</v>
      </c>
      <c r="J932" s="34">
        <v>0</v>
      </c>
      <c r="K932" t="s">
        <v>178</v>
      </c>
      <c r="L932" s="34">
        <f>PMT(Loans[[#This Row],[InterestRate]]/12,Loans[[#This Row],[LoanTenureMonths]],-Loans[[#This Row],[LoanAmount]])</f>
        <v>29869.468630351123</v>
      </c>
      <c r="M932" s="30">
        <f>EDATE(Loans[[#This Row],[LoanStartDate]],Loans[[#This Row],[LoanTenureMonths]])</f>
        <v>47516</v>
      </c>
      <c r="N932" s="33">
        <f>IF(Loans[[#This Row],[LoanAmount]]=0,0,Loans[[#This Row],[CollateralValue]]/Loans[[#This Row],[LoanAmount]])</f>
        <v>0</v>
      </c>
      <c r="O932" t="str">
        <f>IF(Loans[[#This Row],[CollateralCoverageRatio]]&lt;1,"Undersecured","Secured")</f>
        <v>Undersecured</v>
      </c>
      <c r="P932" t="str">
        <f>_xlfn.XLOOKUP(Loans[[#This Row],[BranchCode]],BranchesTbl[BranchCode],BranchesTbl[BranchName])</f>
        <v>Mombasa</v>
      </c>
      <c r="Q932">
        <f>_xlfn.XLOOKUP(Loans[[#This Row],[CustomerID]],CustomerTbl[CustomerID],CustomerTbl[RiskScore])</f>
        <v>744</v>
      </c>
      <c r="R932" t="str">
        <f>IFERROR(INDEX(RiskTbl[Risk_Category],MATCH(Loans[[#This Row],[RiskScore]],RiskTbl[Score_Min],1)),"Unknown")</f>
        <v>Very Low Risk</v>
      </c>
      <c r="S932" t="str">
        <f>IF(OR(Loans[[#This Row],[LoanStatus]]="Default",Loans[[#This Row],[LoanStatus]]="Watchlist",Loans[[#This Row],[CollateralRisk]]="Undersecured",Loans[[#This Row],[RiskCategory]]="High Risk"),"High Risk Exposure","Normal")</f>
        <v>High Risk Exposure</v>
      </c>
      <c r="T932" t="str" cm="1">
        <f t="array" ref="T932">_xlfn.IFS(
Loans[[#This Row],[LoanStatus]]="Default","Critical",
OR(Loans[[#This Row],[LoanStatus]]="Watchlist",Loans[[#This Row],[CollateralRisk]]="Undersecured",Loans[[#This Row],[RiskCategory]]="High Risk"),"High",
TRUE,"Normal"
)</f>
        <v>Critical</v>
      </c>
    </row>
    <row r="933" spans="1:20" x14ac:dyDescent="0.35">
      <c r="A933" t="s">
        <v>1641</v>
      </c>
      <c r="B933" t="s">
        <v>701</v>
      </c>
      <c r="C933" t="s">
        <v>232</v>
      </c>
      <c r="D933" t="s">
        <v>155</v>
      </c>
      <c r="E933" s="34">
        <v>1000000</v>
      </c>
      <c r="F933" s="29">
        <v>0.22170000000000001</v>
      </c>
      <c r="G933" s="30">
        <v>44796</v>
      </c>
      <c r="H933">
        <v>24</v>
      </c>
      <c r="I933">
        <v>0</v>
      </c>
      <c r="J933" s="34">
        <v>0</v>
      </c>
      <c r="K933" t="s">
        <v>171</v>
      </c>
      <c r="L933" s="34">
        <f>PMT(Loans[[#This Row],[InterestRate]]/12,Loans[[#This Row],[LoanTenureMonths]],-Loans[[#This Row],[LoanAmount]])</f>
        <v>51962.143801809623</v>
      </c>
      <c r="M933" s="30">
        <f>EDATE(Loans[[#This Row],[LoanStartDate]],Loans[[#This Row],[LoanTenureMonths]])</f>
        <v>45527</v>
      </c>
      <c r="N933" s="33">
        <f>IF(Loans[[#This Row],[LoanAmount]]=0,0,Loans[[#This Row],[CollateralValue]]/Loans[[#This Row],[LoanAmount]])</f>
        <v>0</v>
      </c>
      <c r="O933" t="str">
        <f>IF(Loans[[#This Row],[CollateralCoverageRatio]]&lt;1,"Undersecured","Secured")</f>
        <v>Undersecured</v>
      </c>
      <c r="P933" t="str">
        <f>_xlfn.XLOOKUP(Loans[[#This Row],[BranchCode]],BranchesTbl[BranchCode],BranchesTbl[BranchName])</f>
        <v>Upper Hill</v>
      </c>
      <c r="Q933">
        <f>_xlfn.XLOOKUP(Loans[[#This Row],[CustomerID]],CustomerTbl[CustomerID],CustomerTbl[RiskScore])</f>
        <v>522</v>
      </c>
      <c r="R933" t="str">
        <f>IFERROR(INDEX(RiskTbl[Risk_Category],MATCH(Loans[[#This Row],[RiskScore]],RiskTbl[Score_Min],1)),"Unknown")</f>
        <v>High Risk</v>
      </c>
      <c r="S933" t="str">
        <f>IF(OR(Loans[[#This Row],[LoanStatus]]="Default",Loans[[#This Row],[LoanStatus]]="Watchlist",Loans[[#This Row],[CollateralRisk]]="Undersecured",Loans[[#This Row],[RiskCategory]]="High Risk"),"High Risk Exposure","Normal")</f>
        <v>High Risk Exposure</v>
      </c>
      <c r="T933" t="str" cm="1">
        <f t="array" ref="T933">_xlfn.IFS(
Loans[[#This Row],[LoanStatus]]="Default","Critical",
OR(Loans[[#This Row],[LoanStatus]]="Watchlist",Loans[[#This Row],[CollateralRisk]]="Undersecured",Loans[[#This Row],[RiskCategory]]="High Risk"),"High",
TRUE,"Normal"
)</f>
        <v>High</v>
      </c>
    </row>
    <row r="934" spans="1:20" x14ac:dyDescent="0.35">
      <c r="A934" t="s">
        <v>1642</v>
      </c>
      <c r="B934" t="s">
        <v>1643</v>
      </c>
      <c r="C934" t="s">
        <v>174</v>
      </c>
      <c r="D934" t="s">
        <v>155</v>
      </c>
      <c r="E934" s="34">
        <v>100000</v>
      </c>
      <c r="F934" s="29">
        <v>0.2797</v>
      </c>
      <c r="G934" s="30">
        <v>46019</v>
      </c>
      <c r="H934">
        <v>12</v>
      </c>
      <c r="I934">
        <v>0</v>
      </c>
      <c r="J934" s="34">
        <v>0</v>
      </c>
      <c r="K934" t="s">
        <v>171</v>
      </c>
      <c r="L934" s="34">
        <f>PMT(Loans[[#This Row],[InterestRate]]/12,Loans[[#This Row],[LoanTenureMonths]],-Loans[[#This Row],[LoanAmount]])</f>
        <v>9649.1311748718599</v>
      </c>
      <c r="M934" s="30">
        <f>EDATE(Loans[[#This Row],[LoanStartDate]],Loans[[#This Row],[LoanTenureMonths]])</f>
        <v>46384</v>
      </c>
      <c r="N934" s="33">
        <f>IF(Loans[[#This Row],[LoanAmount]]=0,0,Loans[[#This Row],[CollateralValue]]/Loans[[#This Row],[LoanAmount]])</f>
        <v>0</v>
      </c>
      <c r="O934" t="str">
        <f>IF(Loans[[#This Row],[CollateralCoverageRatio]]&lt;1,"Undersecured","Secured")</f>
        <v>Undersecured</v>
      </c>
      <c r="P934" t="str">
        <f>_xlfn.XLOOKUP(Loans[[#This Row],[BranchCode]],BranchesTbl[BranchCode],BranchesTbl[BranchName])</f>
        <v>Westlands</v>
      </c>
      <c r="Q934">
        <f>_xlfn.XLOOKUP(Loans[[#This Row],[CustomerID]],CustomerTbl[CustomerID],CustomerTbl[RiskScore])</f>
        <v>625</v>
      </c>
      <c r="R934" t="str">
        <f>IFERROR(INDEX(RiskTbl[Risk_Category],MATCH(Loans[[#This Row],[RiskScore]],RiskTbl[Score_Min],1)),"Unknown")</f>
        <v>Medium Risk</v>
      </c>
      <c r="S934" t="str">
        <f>IF(OR(Loans[[#This Row],[LoanStatus]]="Default",Loans[[#This Row],[LoanStatus]]="Watchlist",Loans[[#This Row],[CollateralRisk]]="Undersecured",Loans[[#This Row],[RiskCategory]]="High Risk"),"High Risk Exposure","Normal")</f>
        <v>High Risk Exposure</v>
      </c>
      <c r="T934" t="str" cm="1">
        <f t="array" ref="T934">_xlfn.IFS(
Loans[[#This Row],[LoanStatus]]="Default","Critical",
OR(Loans[[#This Row],[LoanStatus]]="Watchlist",Loans[[#This Row],[CollateralRisk]]="Undersecured",Loans[[#This Row],[RiskCategory]]="High Risk"),"High",
TRUE,"Normal"
)</f>
        <v>High</v>
      </c>
    </row>
    <row r="935" spans="1:20" x14ac:dyDescent="0.35">
      <c r="A935" t="s">
        <v>1644</v>
      </c>
      <c r="B935" t="s">
        <v>901</v>
      </c>
      <c r="C935" t="s">
        <v>206</v>
      </c>
      <c r="D935" t="s">
        <v>157</v>
      </c>
      <c r="E935" s="34">
        <v>6000000</v>
      </c>
      <c r="F935" s="29">
        <v>0.13339999999999999</v>
      </c>
      <c r="G935" s="30">
        <v>44149</v>
      </c>
      <c r="H935">
        <v>72</v>
      </c>
      <c r="I935">
        <v>0</v>
      </c>
      <c r="J935" s="34">
        <v>5460000</v>
      </c>
      <c r="K935" t="s">
        <v>171</v>
      </c>
      <c r="L935" s="34">
        <f>PMT(Loans[[#This Row],[InterestRate]]/12,Loans[[#This Row],[LoanTenureMonths]],-Loans[[#This Row],[LoanAmount]])</f>
        <v>121523.99112125931</v>
      </c>
      <c r="M935" s="30">
        <f>EDATE(Loans[[#This Row],[LoanStartDate]],Loans[[#This Row],[LoanTenureMonths]])</f>
        <v>46340</v>
      </c>
      <c r="N935" s="33">
        <f>IF(Loans[[#This Row],[LoanAmount]]=0,0,Loans[[#This Row],[CollateralValue]]/Loans[[#This Row],[LoanAmount]])</f>
        <v>0.91</v>
      </c>
      <c r="O935" t="str">
        <f>IF(Loans[[#This Row],[CollateralCoverageRatio]]&lt;1,"Undersecured","Secured")</f>
        <v>Undersecured</v>
      </c>
      <c r="P935" t="str">
        <f>_xlfn.XLOOKUP(Loans[[#This Row],[BranchCode]],BranchesTbl[BranchCode],BranchesTbl[BranchName])</f>
        <v>Nyahururu</v>
      </c>
      <c r="Q935">
        <f>_xlfn.XLOOKUP(Loans[[#This Row],[CustomerID]],CustomerTbl[CustomerID],CustomerTbl[RiskScore])</f>
        <v>496</v>
      </c>
      <c r="R935" t="str">
        <f>IFERROR(INDEX(RiskTbl[Risk_Category],MATCH(Loans[[#This Row],[RiskScore]],RiskTbl[Score_Min],1)),"Unknown")</f>
        <v>High Risk</v>
      </c>
      <c r="S935" t="str">
        <f>IF(OR(Loans[[#This Row],[LoanStatus]]="Default",Loans[[#This Row],[LoanStatus]]="Watchlist",Loans[[#This Row],[CollateralRisk]]="Undersecured",Loans[[#This Row],[RiskCategory]]="High Risk"),"High Risk Exposure","Normal")</f>
        <v>High Risk Exposure</v>
      </c>
      <c r="T935" t="str" cm="1">
        <f t="array" ref="T935">_xlfn.IFS(
Loans[[#This Row],[LoanStatus]]="Default","Critical",
OR(Loans[[#This Row],[LoanStatus]]="Watchlist",Loans[[#This Row],[CollateralRisk]]="Undersecured",Loans[[#This Row],[RiskCategory]]="High Risk"),"High",
TRUE,"Normal"
)</f>
        <v>High</v>
      </c>
    </row>
    <row r="936" spans="1:20" x14ac:dyDescent="0.35">
      <c r="A936" t="s">
        <v>1645</v>
      </c>
      <c r="B936" t="s">
        <v>379</v>
      </c>
      <c r="C936" t="s">
        <v>219</v>
      </c>
      <c r="D936" t="s">
        <v>155</v>
      </c>
      <c r="E936" s="34">
        <v>500000</v>
      </c>
      <c r="F936" s="29">
        <v>0.1978</v>
      </c>
      <c r="G936" s="30">
        <v>44799</v>
      </c>
      <c r="H936">
        <v>36</v>
      </c>
      <c r="I936">
        <v>0</v>
      </c>
      <c r="J936" s="34">
        <v>0</v>
      </c>
      <c r="K936" t="s">
        <v>171</v>
      </c>
      <c r="L936" s="34">
        <f>PMT(Loans[[#This Row],[InterestRate]]/12,Loans[[#This Row],[LoanTenureMonths]],-Loans[[#This Row],[LoanAmount]])</f>
        <v>18525.791195323534</v>
      </c>
      <c r="M936" s="30">
        <f>EDATE(Loans[[#This Row],[LoanStartDate]],Loans[[#This Row],[LoanTenureMonths]])</f>
        <v>45895</v>
      </c>
      <c r="N936" s="33">
        <f>IF(Loans[[#This Row],[LoanAmount]]=0,0,Loans[[#This Row],[CollateralValue]]/Loans[[#This Row],[LoanAmount]])</f>
        <v>0</v>
      </c>
      <c r="O936" t="str">
        <f>IF(Loans[[#This Row],[CollateralCoverageRatio]]&lt;1,"Undersecured","Secured")</f>
        <v>Undersecured</v>
      </c>
      <c r="P936" t="str">
        <f>_xlfn.XLOOKUP(Loans[[#This Row],[BranchCode]],BranchesTbl[BranchCode],BranchesTbl[BranchName])</f>
        <v>Meru</v>
      </c>
      <c r="Q936">
        <f>_xlfn.XLOOKUP(Loans[[#This Row],[CustomerID]],CustomerTbl[CustomerID],CustomerTbl[RiskScore])</f>
        <v>696</v>
      </c>
      <c r="R936" t="str">
        <f>IFERROR(INDEX(RiskTbl[Risk_Category],MATCH(Loans[[#This Row],[RiskScore]],RiskTbl[Score_Min],1)),"Unknown")</f>
        <v>Low Risk</v>
      </c>
      <c r="S936" t="str">
        <f>IF(OR(Loans[[#This Row],[LoanStatus]]="Default",Loans[[#This Row],[LoanStatus]]="Watchlist",Loans[[#This Row],[CollateralRisk]]="Undersecured",Loans[[#This Row],[RiskCategory]]="High Risk"),"High Risk Exposure","Normal")</f>
        <v>High Risk Exposure</v>
      </c>
      <c r="T936" t="str" cm="1">
        <f t="array" ref="T936">_xlfn.IFS(
Loans[[#This Row],[LoanStatus]]="Default","Critical",
OR(Loans[[#This Row],[LoanStatus]]="Watchlist",Loans[[#This Row],[CollateralRisk]]="Undersecured",Loans[[#This Row],[RiskCategory]]="High Risk"),"High",
TRUE,"Normal"
)</f>
        <v>High</v>
      </c>
    </row>
    <row r="937" spans="1:20" x14ac:dyDescent="0.35">
      <c r="A937" t="s">
        <v>1646</v>
      </c>
      <c r="B937" t="s">
        <v>320</v>
      </c>
      <c r="C937" t="s">
        <v>219</v>
      </c>
      <c r="D937" t="s">
        <v>155</v>
      </c>
      <c r="E937" s="34">
        <v>250000</v>
      </c>
      <c r="F937" s="29">
        <v>0.24249999999999999</v>
      </c>
      <c r="G937" s="30">
        <v>44153</v>
      </c>
      <c r="H937">
        <v>12</v>
      </c>
      <c r="I937">
        <v>120</v>
      </c>
      <c r="J937" s="34">
        <v>0</v>
      </c>
      <c r="K937" t="s">
        <v>178</v>
      </c>
      <c r="L937" s="34">
        <f>PMT(Loans[[#This Row],[InterestRate]]/12,Loans[[#This Row],[LoanTenureMonths]],-Loans[[#This Row],[LoanAmount]])</f>
        <v>23670.155889183523</v>
      </c>
      <c r="M937" s="30">
        <f>EDATE(Loans[[#This Row],[LoanStartDate]],Loans[[#This Row],[LoanTenureMonths]])</f>
        <v>44518</v>
      </c>
      <c r="N937" s="33">
        <f>IF(Loans[[#This Row],[LoanAmount]]=0,0,Loans[[#This Row],[CollateralValue]]/Loans[[#This Row],[LoanAmount]])</f>
        <v>0</v>
      </c>
      <c r="O937" t="str">
        <f>IF(Loans[[#This Row],[CollateralCoverageRatio]]&lt;1,"Undersecured","Secured")</f>
        <v>Undersecured</v>
      </c>
      <c r="P937" t="str">
        <f>_xlfn.XLOOKUP(Loans[[#This Row],[BranchCode]],BranchesTbl[BranchCode],BranchesTbl[BranchName])</f>
        <v>Meru</v>
      </c>
      <c r="Q937">
        <f>_xlfn.XLOOKUP(Loans[[#This Row],[CustomerID]],CustomerTbl[CustomerID],CustomerTbl[RiskScore])</f>
        <v>406</v>
      </c>
      <c r="R937" t="str">
        <f>IFERROR(INDEX(RiskTbl[Risk_Category],MATCH(Loans[[#This Row],[RiskScore]],RiskTbl[Score_Min],1)),"Unknown")</f>
        <v>High Risk</v>
      </c>
      <c r="S937" t="str">
        <f>IF(OR(Loans[[#This Row],[LoanStatus]]="Default",Loans[[#This Row],[LoanStatus]]="Watchlist",Loans[[#This Row],[CollateralRisk]]="Undersecured",Loans[[#This Row],[RiskCategory]]="High Risk"),"High Risk Exposure","Normal")</f>
        <v>High Risk Exposure</v>
      </c>
      <c r="T937" t="str" cm="1">
        <f t="array" ref="T937">_xlfn.IFS(
Loans[[#This Row],[LoanStatus]]="Default","Critical",
OR(Loans[[#This Row],[LoanStatus]]="Watchlist",Loans[[#This Row],[CollateralRisk]]="Undersecured",Loans[[#This Row],[RiskCategory]]="High Risk"),"High",
TRUE,"Normal"
)</f>
        <v>Critical</v>
      </c>
    </row>
    <row r="938" spans="1:20" x14ac:dyDescent="0.35">
      <c r="A938" t="s">
        <v>1647</v>
      </c>
      <c r="B938" t="s">
        <v>1320</v>
      </c>
      <c r="C938" t="s">
        <v>193</v>
      </c>
      <c r="D938" t="s">
        <v>156</v>
      </c>
      <c r="E938" s="34">
        <v>3000000</v>
      </c>
      <c r="F938" s="29">
        <v>0.23910000000000001</v>
      </c>
      <c r="G938" s="30">
        <v>45384</v>
      </c>
      <c r="H938">
        <v>72</v>
      </c>
      <c r="I938">
        <v>90</v>
      </c>
      <c r="J938" s="34">
        <v>2130000</v>
      </c>
      <c r="K938" t="s">
        <v>199</v>
      </c>
      <c r="L938" s="34">
        <f>PMT(Loans[[#This Row],[InterestRate]]/12,Loans[[#This Row],[LoanTenureMonths]],-Loans[[#This Row],[LoanAmount]])</f>
        <v>78816.668344948732</v>
      </c>
      <c r="M938" s="30">
        <f>EDATE(Loans[[#This Row],[LoanStartDate]],Loans[[#This Row],[LoanTenureMonths]])</f>
        <v>47575</v>
      </c>
      <c r="N938" s="33">
        <f>IF(Loans[[#This Row],[LoanAmount]]=0,0,Loans[[#This Row],[CollateralValue]]/Loans[[#This Row],[LoanAmount]])</f>
        <v>0.71</v>
      </c>
      <c r="O938" t="str">
        <f>IF(Loans[[#This Row],[CollateralCoverageRatio]]&lt;1,"Undersecured","Secured")</f>
        <v>Undersecured</v>
      </c>
      <c r="P938" t="str">
        <f>_xlfn.XLOOKUP(Loans[[#This Row],[BranchCode]],BranchesTbl[BranchCode],BranchesTbl[BranchName])</f>
        <v>Mombasa</v>
      </c>
      <c r="Q938">
        <f>_xlfn.XLOOKUP(Loans[[#This Row],[CustomerID]],CustomerTbl[CustomerID],CustomerTbl[RiskScore])</f>
        <v>627</v>
      </c>
      <c r="R938" t="str">
        <f>IFERROR(INDEX(RiskTbl[Risk_Category],MATCH(Loans[[#This Row],[RiskScore]],RiskTbl[Score_Min],1)),"Unknown")</f>
        <v>Medium Risk</v>
      </c>
      <c r="S938" t="str">
        <f>IF(OR(Loans[[#This Row],[LoanStatus]]="Default",Loans[[#This Row],[LoanStatus]]="Watchlist",Loans[[#This Row],[CollateralRisk]]="Undersecured",Loans[[#This Row],[RiskCategory]]="High Risk"),"High Risk Exposure","Normal")</f>
        <v>High Risk Exposure</v>
      </c>
      <c r="T938" t="str" cm="1">
        <f t="array" ref="T938">_xlfn.IFS(
Loans[[#This Row],[LoanStatus]]="Default","Critical",
OR(Loans[[#This Row],[LoanStatus]]="Watchlist",Loans[[#This Row],[CollateralRisk]]="Undersecured",Loans[[#This Row],[RiskCategory]]="High Risk"),"High",
TRUE,"Normal"
)</f>
        <v>High</v>
      </c>
    </row>
    <row r="939" spans="1:20" x14ac:dyDescent="0.35">
      <c r="A939" t="s">
        <v>1648</v>
      </c>
      <c r="B939" t="s">
        <v>1649</v>
      </c>
      <c r="C939" t="s">
        <v>219</v>
      </c>
      <c r="D939" t="s">
        <v>157</v>
      </c>
      <c r="E939" s="34">
        <v>6000000</v>
      </c>
      <c r="F939" s="29">
        <v>0.1069</v>
      </c>
      <c r="G939" s="30">
        <v>45934</v>
      </c>
      <c r="H939">
        <v>12</v>
      </c>
      <c r="I939">
        <v>0</v>
      </c>
      <c r="J939" s="34">
        <v>7140000</v>
      </c>
      <c r="K939" t="s">
        <v>171</v>
      </c>
      <c r="L939" s="34">
        <f>PMT(Loans[[#This Row],[InterestRate]]/12,Loans[[#This Row],[LoanTenureMonths]],-Loans[[#This Row],[LoanAmount]])</f>
        <v>529422.74398987647</v>
      </c>
      <c r="M939" s="30">
        <f>EDATE(Loans[[#This Row],[LoanStartDate]],Loans[[#This Row],[LoanTenureMonths]])</f>
        <v>46299</v>
      </c>
      <c r="N939" s="33">
        <f>IF(Loans[[#This Row],[LoanAmount]]=0,0,Loans[[#This Row],[CollateralValue]]/Loans[[#This Row],[LoanAmount]])</f>
        <v>1.19</v>
      </c>
      <c r="O939" t="str">
        <f>IF(Loans[[#This Row],[CollateralCoverageRatio]]&lt;1,"Undersecured","Secured")</f>
        <v>Secured</v>
      </c>
      <c r="P939" t="str">
        <f>_xlfn.XLOOKUP(Loans[[#This Row],[BranchCode]],BranchesTbl[BranchCode],BranchesTbl[BranchName])</f>
        <v>Meru</v>
      </c>
      <c r="Q939">
        <f>_xlfn.XLOOKUP(Loans[[#This Row],[CustomerID]],CustomerTbl[CustomerID],CustomerTbl[RiskScore])</f>
        <v>578</v>
      </c>
      <c r="R939" t="str">
        <f>IFERROR(INDEX(RiskTbl[Risk_Category],MATCH(Loans[[#This Row],[RiskScore]],RiskTbl[Score_Min],1)),"Unknown")</f>
        <v>High Risk</v>
      </c>
      <c r="S939" t="str">
        <f>IF(OR(Loans[[#This Row],[LoanStatus]]="Default",Loans[[#This Row],[LoanStatus]]="Watchlist",Loans[[#This Row],[CollateralRisk]]="Undersecured",Loans[[#This Row],[RiskCategory]]="High Risk"),"High Risk Exposure","Normal")</f>
        <v>High Risk Exposure</v>
      </c>
      <c r="T939" t="str" cm="1">
        <f t="array" ref="T939">_xlfn.IFS(
Loans[[#This Row],[LoanStatus]]="Default","Critical",
OR(Loans[[#This Row],[LoanStatus]]="Watchlist",Loans[[#This Row],[CollateralRisk]]="Undersecured",Loans[[#This Row],[RiskCategory]]="High Risk"),"High",
TRUE,"Normal"
)</f>
        <v>High</v>
      </c>
    </row>
    <row r="940" spans="1:20" x14ac:dyDescent="0.35">
      <c r="A940" t="s">
        <v>1650</v>
      </c>
      <c r="B940" t="s">
        <v>730</v>
      </c>
      <c r="C940" t="s">
        <v>232</v>
      </c>
      <c r="D940" t="s">
        <v>155</v>
      </c>
      <c r="E940" s="34">
        <v>250000</v>
      </c>
      <c r="F940" s="29">
        <v>0.22750000000000001</v>
      </c>
      <c r="G940" s="30">
        <v>45748</v>
      </c>
      <c r="H940">
        <v>36</v>
      </c>
      <c r="I940">
        <v>0</v>
      </c>
      <c r="J940" s="34">
        <v>0</v>
      </c>
      <c r="K940" t="s">
        <v>171</v>
      </c>
      <c r="L940" s="34">
        <f>PMT(Loans[[#This Row],[InterestRate]]/12,Loans[[#This Row],[LoanTenureMonths]],-Loans[[#This Row],[LoanAmount]])</f>
        <v>9644.8853878431546</v>
      </c>
      <c r="M940" s="30">
        <f>EDATE(Loans[[#This Row],[LoanStartDate]],Loans[[#This Row],[LoanTenureMonths]])</f>
        <v>46844</v>
      </c>
      <c r="N940" s="33">
        <f>IF(Loans[[#This Row],[LoanAmount]]=0,0,Loans[[#This Row],[CollateralValue]]/Loans[[#This Row],[LoanAmount]])</f>
        <v>0</v>
      </c>
      <c r="O940" t="str">
        <f>IF(Loans[[#This Row],[CollateralCoverageRatio]]&lt;1,"Undersecured","Secured")</f>
        <v>Undersecured</v>
      </c>
      <c r="P940" t="str">
        <f>_xlfn.XLOOKUP(Loans[[#This Row],[BranchCode]],BranchesTbl[BranchCode],BranchesTbl[BranchName])</f>
        <v>Upper Hill</v>
      </c>
      <c r="Q940">
        <f>_xlfn.XLOOKUP(Loans[[#This Row],[CustomerID]],CustomerTbl[CustomerID],CustomerTbl[RiskScore])</f>
        <v>537</v>
      </c>
      <c r="R940" t="str">
        <f>IFERROR(INDEX(RiskTbl[Risk_Category],MATCH(Loans[[#This Row],[RiskScore]],RiskTbl[Score_Min],1)),"Unknown")</f>
        <v>High Risk</v>
      </c>
      <c r="S940" t="str">
        <f>IF(OR(Loans[[#This Row],[LoanStatus]]="Default",Loans[[#This Row],[LoanStatus]]="Watchlist",Loans[[#This Row],[CollateralRisk]]="Undersecured",Loans[[#This Row],[RiskCategory]]="High Risk"),"High Risk Exposure","Normal")</f>
        <v>High Risk Exposure</v>
      </c>
      <c r="T940" t="str" cm="1">
        <f t="array" ref="T940">_xlfn.IFS(
Loans[[#This Row],[LoanStatus]]="Default","Critical",
OR(Loans[[#This Row],[LoanStatus]]="Watchlist",Loans[[#This Row],[CollateralRisk]]="Undersecured",Loans[[#This Row],[RiskCategory]]="High Risk"),"High",
TRUE,"Normal"
)</f>
        <v>High</v>
      </c>
    </row>
    <row r="941" spans="1:20" x14ac:dyDescent="0.35">
      <c r="A941" t="s">
        <v>1651</v>
      </c>
      <c r="B941" t="s">
        <v>1246</v>
      </c>
      <c r="C941" t="s">
        <v>184</v>
      </c>
      <c r="D941" t="s">
        <v>158</v>
      </c>
      <c r="E941" s="34">
        <v>500000</v>
      </c>
      <c r="F941" s="29">
        <v>0.12590000000000001</v>
      </c>
      <c r="G941" s="30">
        <v>44663</v>
      </c>
      <c r="H941">
        <v>12</v>
      </c>
      <c r="I941">
        <v>0</v>
      </c>
      <c r="J941" s="34">
        <v>435000</v>
      </c>
      <c r="K941" t="s">
        <v>171</v>
      </c>
      <c r="L941" s="34">
        <f>PMT(Loans[[#This Row],[InterestRate]]/12,Loans[[#This Row],[LoanTenureMonths]],-Loans[[#This Row],[LoanAmount]])</f>
        <v>44562.516021099771</v>
      </c>
      <c r="M941" s="30">
        <f>EDATE(Loans[[#This Row],[LoanStartDate]],Loans[[#This Row],[LoanTenureMonths]])</f>
        <v>45028</v>
      </c>
      <c r="N941" s="33">
        <f>IF(Loans[[#This Row],[LoanAmount]]=0,0,Loans[[#This Row],[CollateralValue]]/Loans[[#This Row],[LoanAmount]])</f>
        <v>0.87</v>
      </c>
      <c r="O941" t="str">
        <f>IF(Loans[[#This Row],[CollateralCoverageRatio]]&lt;1,"Undersecured","Secured")</f>
        <v>Undersecured</v>
      </c>
      <c r="P941" t="str">
        <f>_xlfn.XLOOKUP(Loans[[#This Row],[BranchCode]],BranchesTbl[BranchCode],BranchesTbl[BranchName])</f>
        <v>Kisumu</v>
      </c>
      <c r="Q941">
        <f>_xlfn.XLOOKUP(Loans[[#This Row],[CustomerID]],CustomerTbl[CustomerID],CustomerTbl[RiskScore])</f>
        <v>309</v>
      </c>
      <c r="R941" t="str">
        <f>IFERROR(INDEX(RiskTbl[Risk_Category],MATCH(Loans[[#This Row],[RiskScore]],RiskTbl[Score_Min],1)),"Unknown")</f>
        <v>High Risk</v>
      </c>
      <c r="S941" t="str">
        <f>IF(OR(Loans[[#This Row],[LoanStatus]]="Default",Loans[[#This Row],[LoanStatus]]="Watchlist",Loans[[#This Row],[CollateralRisk]]="Undersecured",Loans[[#This Row],[RiskCategory]]="High Risk"),"High Risk Exposure","Normal")</f>
        <v>High Risk Exposure</v>
      </c>
      <c r="T941" t="str" cm="1">
        <f t="array" ref="T941">_xlfn.IFS(
Loans[[#This Row],[LoanStatus]]="Default","Critical",
OR(Loans[[#This Row],[LoanStatus]]="Watchlist",Loans[[#This Row],[CollateralRisk]]="Undersecured",Loans[[#This Row],[RiskCategory]]="High Risk"),"High",
TRUE,"Normal"
)</f>
        <v>High</v>
      </c>
    </row>
    <row r="942" spans="1:20" x14ac:dyDescent="0.35">
      <c r="A942" t="s">
        <v>1652</v>
      </c>
      <c r="B942" t="s">
        <v>1400</v>
      </c>
      <c r="C942" t="s">
        <v>206</v>
      </c>
      <c r="D942" t="s">
        <v>155</v>
      </c>
      <c r="E942" s="34">
        <v>100000</v>
      </c>
      <c r="F942" s="29">
        <v>0.1739</v>
      </c>
      <c r="G942" s="30">
        <v>44914</v>
      </c>
      <c r="H942">
        <v>12</v>
      </c>
      <c r="I942">
        <v>45</v>
      </c>
      <c r="J942" s="34">
        <v>0</v>
      </c>
      <c r="K942" t="s">
        <v>199</v>
      </c>
      <c r="L942" s="34">
        <f>PMT(Loans[[#This Row],[InterestRate]]/12,Loans[[#This Row],[LoanTenureMonths]],-Loans[[#This Row],[LoanAmount]])</f>
        <v>9138.9935938373656</v>
      </c>
      <c r="M942" s="30">
        <f>EDATE(Loans[[#This Row],[LoanStartDate]],Loans[[#This Row],[LoanTenureMonths]])</f>
        <v>45279</v>
      </c>
      <c r="N942" s="33">
        <f>IF(Loans[[#This Row],[LoanAmount]]=0,0,Loans[[#This Row],[CollateralValue]]/Loans[[#This Row],[LoanAmount]])</f>
        <v>0</v>
      </c>
      <c r="O942" t="str">
        <f>IF(Loans[[#This Row],[CollateralCoverageRatio]]&lt;1,"Undersecured","Secured")</f>
        <v>Undersecured</v>
      </c>
      <c r="P942" t="str">
        <f>_xlfn.XLOOKUP(Loans[[#This Row],[BranchCode]],BranchesTbl[BranchCode],BranchesTbl[BranchName])</f>
        <v>Nyahururu</v>
      </c>
      <c r="Q942">
        <f>_xlfn.XLOOKUP(Loans[[#This Row],[CustomerID]],CustomerTbl[CustomerID],CustomerTbl[RiskScore])</f>
        <v>673</v>
      </c>
      <c r="R942" t="str">
        <f>IFERROR(INDEX(RiskTbl[Risk_Category],MATCH(Loans[[#This Row],[RiskScore]],RiskTbl[Score_Min],1)),"Unknown")</f>
        <v>Low Risk</v>
      </c>
      <c r="S942" t="str">
        <f>IF(OR(Loans[[#This Row],[LoanStatus]]="Default",Loans[[#This Row],[LoanStatus]]="Watchlist",Loans[[#This Row],[CollateralRisk]]="Undersecured",Loans[[#This Row],[RiskCategory]]="High Risk"),"High Risk Exposure","Normal")</f>
        <v>High Risk Exposure</v>
      </c>
      <c r="T942" t="str" cm="1">
        <f t="array" ref="T942">_xlfn.IFS(
Loans[[#This Row],[LoanStatus]]="Default","Critical",
OR(Loans[[#This Row],[LoanStatus]]="Watchlist",Loans[[#This Row],[CollateralRisk]]="Undersecured",Loans[[#This Row],[RiskCategory]]="High Risk"),"High",
TRUE,"Normal"
)</f>
        <v>High</v>
      </c>
    </row>
    <row r="943" spans="1:20" x14ac:dyDescent="0.35">
      <c r="A943" t="s">
        <v>1653</v>
      </c>
      <c r="B943" t="s">
        <v>201</v>
      </c>
      <c r="C943" t="s">
        <v>190</v>
      </c>
      <c r="D943" t="s">
        <v>158</v>
      </c>
      <c r="E943" s="34">
        <v>1000000</v>
      </c>
      <c r="F943" s="29">
        <v>0.1227</v>
      </c>
      <c r="G943" s="30">
        <v>45086</v>
      </c>
      <c r="H943">
        <v>36</v>
      </c>
      <c r="I943">
        <v>10</v>
      </c>
      <c r="J943" s="34">
        <v>510000</v>
      </c>
      <c r="K943" t="s">
        <v>171</v>
      </c>
      <c r="L943" s="34">
        <f>PMT(Loans[[#This Row],[InterestRate]]/12,Loans[[#This Row],[LoanTenureMonths]],-Loans[[#This Row],[LoanAmount]])</f>
        <v>33343.414696052823</v>
      </c>
      <c r="M943" s="30">
        <f>EDATE(Loans[[#This Row],[LoanStartDate]],Loans[[#This Row],[LoanTenureMonths]])</f>
        <v>46182</v>
      </c>
      <c r="N943" s="33">
        <f>IF(Loans[[#This Row],[LoanAmount]]=0,0,Loans[[#This Row],[CollateralValue]]/Loans[[#This Row],[LoanAmount]])</f>
        <v>0.51</v>
      </c>
      <c r="O943" t="str">
        <f>IF(Loans[[#This Row],[CollateralCoverageRatio]]&lt;1,"Undersecured","Secured")</f>
        <v>Undersecured</v>
      </c>
      <c r="P943" t="str">
        <f>_xlfn.XLOOKUP(Loans[[#This Row],[BranchCode]],BranchesTbl[BranchCode],BranchesTbl[BranchName])</f>
        <v>Nyeri</v>
      </c>
      <c r="Q943">
        <f>_xlfn.XLOOKUP(Loans[[#This Row],[CustomerID]],CustomerTbl[CustomerID],CustomerTbl[RiskScore])</f>
        <v>459</v>
      </c>
      <c r="R943" t="str">
        <f>IFERROR(INDEX(RiskTbl[Risk_Category],MATCH(Loans[[#This Row],[RiskScore]],RiskTbl[Score_Min],1)),"Unknown")</f>
        <v>High Risk</v>
      </c>
      <c r="S943" t="str">
        <f>IF(OR(Loans[[#This Row],[LoanStatus]]="Default",Loans[[#This Row],[LoanStatus]]="Watchlist",Loans[[#This Row],[CollateralRisk]]="Undersecured",Loans[[#This Row],[RiskCategory]]="High Risk"),"High Risk Exposure","Normal")</f>
        <v>High Risk Exposure</v>
      </c>
      <c r="T943" t="str" cm="1">
        <f t="array" ref="T943">_xlfn.IFS(
Loans[[#This Row],[LoanStatus]]="Default","Critical",
OR(Loans[[#This Row],[LoanStatus]]="Watchlist",Loans[[#This Row],[CollateralRisk]]="Undersecured",Loans[[#This Row],[RiskCategory]]="High Risk"),"High",
TRUE,"Normal"
)</f>
        <v>High</v>
      </c>
    </row>
    <row r="944" spans="1:20" x14ac:dyDescent="0.35">
      <c r="A944" t="s">
        <v>1654</v>
      </c>
      <c r="B944" t="s">
        <v>1655</v>
      </c>
      <c r="C944" t="s">
        <v>181</v>
      </c>
      <c r="D944" t="s">
        <v>158</v>
      </c>
      <c r="E944" s="34">
        <v>6000000</v>
      </c>
      <c r="F944" s="29">
        <v>0.1666</v>
      </c>
      <c r="G944" s="30">
        <v>45153</v>
      </c>
      <c r="H944">
        <v>72</v>
      </c>
      <c r="I944">
        <v>20</v>
      </c>
      <c r="J944" s="34">
        <v>5580000</v>
      </c>
      <c r="K944" t="s">
        <v>171</v>
      </c>
      <c r="L944" s="34">
        <f>PMT(Loans[[#This Row],[InterestRate]]/12,Loans[[#This Row],[LoanTenureMonths]],-Loans[[#This Row],[LoanAmount]])</f>
        <v>132341.04441134541</v>
      </c>
      <c r="M944" s="30">
        <f>EDATE(Loans[[#This Row],[LoanStartDate]],Loans[[#This Row],[LoanTenureMonths]])</f>
        <v>47345</v>
      </c>
      <c r="N944" s="33">
        <f>IF(Loans[[#This Row],[LoanAmount]]=0,0,Loans[[#This Row],[CollateralValue]]/Loans[[#This Row],[LoanAmount]])</f>
        <v>0.93</v>
      </c>
      <c r="O944" t="str">
        <f>IF(Loans[[#This Row],[CollateralCoverageRatio]]&lt;1,"Undersecured","Secured")</f>
        <v>Undersecured</v>
      </c>
      <c r="P944" t="str">
        <f>_xlfn.XLOOKUP(Loans[[#This Row],[BranchCode]],BranchesTbl[BranchCode],BranchesTbl[BranchName])</f>
        <v>Kitale</v>
      </c>
      <c r="Q944">
        <f>_xlfn.XLOOKUP(Loans[[#This Row],[CustomerID]],CustomerTbl[CustomerID],CustomerTbl[RiskScore])</f>
        <v>402</v>
      </c>
      <c r="R944" t="str">
        <f>IFERROR(INDEX(RiskTbl[Risk_Category],MATCH(Loans[[#This Row],[RiskScore]],RiskTbl[Score_Min],1)),"Unknown")</f>
        <v>High Risk</v>
      </c>
      <c r="S944" t="str">
        <f>IF(OR(Loans[[#This Row],[LoanStatus]]="Default",Loans[[#This Row],[LoanStatus]]="Watchlist",Loans[[#This Row],[CollateralRisk]]="Undersecured",Loans[[#This Row],[RiskCategory]]="High Risk"),"High Risk Exposure","Normal")</f>
        <v>High Risk Exposure</v>
      </c>
      <c r="T944" t="str" cm="1">
        <f t="array" ref="T944">_xlfn.IFS(
Loans[[#This Row],[LoanStatus]]="Default","Critical",
OR(Loans[[#This Row],[LoanStatus]]="Watchlist",Loans[[#This Row],[CollateralRisk]]="Undersecured",Loans[[#This Row],[RiskCategory]]="High Risk"),"High",
TRUE,"Normal"
)</f>
        <v>High</v>
      </c>
    </row>
    <row r="945" spans="1:20" x14ac:dyDescent="0.35">
      <c r="A945" t="s">
        <v>1656</v>
      </c>
      <c r="B945" t="s">
        <v>914</v>
      </c>
      <c r="C945" t="s">
        <v>170</v>
      </c>
      <c r="D945" t="s">
        <v>158</v>
      </c>
      <c r="E945" s="34">
        <v>6000000</v>
      </c>
      <c r="F945" s="29">
        <v>0.19550000000000001</v>
      </c>
      <c r="G945" s="30">
        <v>44854</v>
      </c>
      <c r="H945">
        <v>72</v>
      </c>
      <c r="I945">
        <v>120</v>
      </c>
      <c r="J945" s="34">
        <v>5640000</v>
      </c>
      <c r="K945" t="s">
        <v>178</v>
      </c>
      <c r="L945" s="34">
        <f>PMT(Loans[[#This Row],[InterestRate]]/12,Loans[[#This Row],[LoanTenureMonths]],-Loans[[#This Row],[LoanAmount]])</f>
        <v>142156.19285490096</v>
      </c>
      <c r="M945" s="30">
        <f>EDATE(Loans[[#This Row],[LoanStartDate]],Loans[[#This Row],[LoanTenureMonths]])</f>
        <v>47046</v>
      </c>
      <c r="N945" s="33">
        <f>IF(Loans[[#This Row],[LoanAmount]]=0,0,Loans[[#This Row],[CollateralValue]]/Loans[[#This Row],[LoanAmount]])</f>
        <v>0.94</v>
      </c>
      <c r="O945" t="str">
        <f>IF(Loans[[#This Row],[CollateralCoverageRatio]]&lt;1,"Undersecured","Secured")</f>
        <v>Undersecured</v>
      </c>
      <c r="P945" t="str">
        <f>_xlfn.XLOOKUP(Loans[[#This Row],[BranchCode]],BranchesTbl[BranchCode],BranchesTbl[BranchName])</f>
        <v>Thika</v>
      </c>
      <c r="Q945">
        <f>_xlfn.XLOOKUP(Loans[[#This Row],[CustomerID]],CustomerTbl[CustomerID],CustomerTbl[RiskScore])</f>
        <v>595</v>
      </c>
      <c r="R945" t="str">
        <f>IFERROR(INDEX(RiskTbl[Risk_Category],MATCH(Loans[[#This Row],[RiskScore]],RiskTbl[Score_Min],1)),"Unknown")</f>
        <v>Medium Risk</v>
      </c>
      <c r="S945" t="str">
        <f>IF(OR(Loans[[#This Row],[LoanStatus]]="Default",Loans[[#This Row],[LoanStatus]]="Watchlist",Loans[[#This Row],[CollateralRisk]]="Undersecured",Loans[[#This Row],[RiskCategory]]="High Risk"),"High Risk Exposure","Normal")</f>
        <v>High Risk Exposure</v>
      </c>
      <c r="T945" t="str" cm="1">
        <f t="array" ref="T945">_xlfn.IFS(
Loans[[#This Row],[LoanStatus]]="Default","Critical",
OR(Loans[[#This Row],[LoanStatus]]="Watchlist",Loans[[#This Row],[CollateralRisk]]="Undersecured",Loans[[#This Row],[RiskCategory]]="High Risk"),"High",
TRUE,"Normal"
)</f>
        <v>Critical</v>
      </c>
    </row>
    <row r="946" spans="1:20" x14ac:dyDescent="0.35">
      <c r="A946" t="s">
        <v>1657</v>
      </c>
      <c r="B946" t="s">
        <v>1325</v>
      </c>
      <c r="C946" t="s">
        <v>170</v>
      </c>
      <c r="D946" t="s">
        <v>155</v>
      </c>
      <c r="E946" s="34">
        <v>500000</v>
      </c>
      <c r="F946" s="29">
        <v>0.20499999999999999</v>
      </c>
      <c r="G946" s="30">
        <v>44543</v>
      </c>
      <c r="H946">
        <v>24</v>
      </c>
      <c r="I946">
        <v>10</v>
      </c>
      <c r="J946" s="34">
        <v>0</v>
      </c>
      <c r="K946" t="s">
        <v>171</v>
      </c>
      <c r="L946" s="34">
        <f>PMT(Loans[[#This Row],[InterestRate]]/12,Loans[[#This Row],[LoanTenureMonths]],-Loans[[#This Row],[LoanAmount]])</f>
        <v>25570.197203203177</v>
      </c>
      <c r="M946" s="30">
        <f>EDATE(Loans[[#This Row],[LoanStartDate]],Loans[[#This Row],[LoanTenureMonths]])</f>
        <v>45273</v>
      </c>
      <c r="N946" s="33">
        <f>IF(Loans[[#This Row],[LoanAmount]]=0,0,Loans[[#This Row],[CollateralValue]]/Loans[[#This Row],[LoanAmount]])</f>
        <v>0</v>
      </c>
      <c r="O946" t="str">
        <f>IF(Loans[[#This Row],[CollateralCoverageRatio]]&lt;1,"Undersecured","Secured")</f>
        <v>Undersecured</v>
      </c>
      <c r="P946" t="str">
        <f>_xlfn.XLOOKUP(Loans[[#This Row],[BranchCode]],BranchesTbl[BranchCode],BranchesTbl[BranchName])</f>
        <v>Thika</v>
      </c>
      <c r="Q946">
        <f>_xlfn.XLOOKUP(Loans[[#This Row],[CustomerID]],CustomerTbl[CustomerID],CustomerTbl[RiskScore])</f>
        <v>439</v>
      </c>
      <c r="R946" t="str">
        <f>IFERROR(INDEX(RiskTbl[Risk_Category],MATCH(Loans[[#This Row],[RiskScore]],RiskTbl[Score_Min],1)),"Unknown")</f>
        <v>High Risk</v>
      </c>
      <c r="S946" t="str">
        <f>IF(OR(Loans[[#This Row],[LoanStatus]]="Default",Loans[[#This Row],[LoanStatus]]="Watchlist",Loans[[#This Row],[CollateralRisk]]="Undersecured",Loans[[#This Row],[RiskCategory]]="High Risk"),"High Risk Exposure","Normal")</f>
        <v>High Risk Exposure</v>
      </c>
      <c r="T946" t="str" cm="1">
        <f t="array" ref="T946">_xlfn.IFS(
Loans[[#This Row],[LoanStatus]]="Default","Critical",
OR(Loans[[#This Row],[LoanStatus]]="Watchlist",Loans[[#This Row],[CollateralRisk]]="Undersecured",Loans[[#This Row],[RiskCategory]]="High Risk"),"High",
TRUE,"Normal"
)</f>
        <v>High</v>
      </c>
    </row>
    <row r="947" spans="1:20" x14ac:dyDescent="0.35">
      <c r="A947" t="s">
        <v>1658</v>
      </c>
      <c r="B947" t="s">
        <v>1139</v>
      </c>
      <c r="C947" t="s">
        <v>219</v>
      </c>
      <c r="D947" t="s">
        <v>157</v>
      </c>
      <c r="E947" s="34">
        <v>80000000</v>
      </c>
      <c r="F947" s="29">
        <v>0.13539999999999999</v>
      </c>
      <c r="G947" s="30">
        <v>44384</v>
      </c>
      <c r="H947">
        <v>36</v>
      </c>
      <c r="I947">
        <v>120</v>
      </c>
      <c r="J947" s="34">
        <v>92800000</v>
      </c>
      <c r="K947" t="s">
        <v>178</v>
      </c>
      <c r="L947" s="34">
        <f>PMT(Loans[[#This Row],[InterestRate]]/12,Loans[[#This Row],[LoanTenureMonths]],-Loans[[#This Row],[LoanAmount]])</f>
        <v>2716371.0150426677</v>
      </c>
      <c r="M947" s="30">
        <f>EDATE(Loans[[#This Row],[LoanStartDate]],Loans[[#This Row],[LoanTenureMonths]])</f>
        <v>45480</v>
      </c>
      <c r="N947" s="33">
        <f>IF(Loans[[#This Row],[LoanAmount]]=0,0,Loans[[#This Row],[CollateralValue]]/Loans[[#This Row],[LoanAmount]])</f>
        <v>1.1599999999999999</v>
      </c>
      <c r="O947" t="str">
        <f>IF(Loans[[#This Row],[CollateralCoverageRatio]]&lt;1,"Undersecured","Secured")</f>
        <v>Secured</v>
      </c>
      <c r="P947" t="str">
        <f>_xlfn.XLOOKUP(Loans[[#This Row],[BranchCode]],BranchesTbl[BranchCode],BranchesTbl[BranchName])</f>
        <v>Meru</v>
      </c>
      <c r="Q947">
        <f>_xlfn.XLOOKUP(Loans[[#This Row],[CustomerID]],CustomerTbl[CustomerID],CustomerTbl[RiskScore])</f>
        <v>696</v>
      </c>
      <c r="R947" t="str">
        <f>IFERROR(INDEX(RiskTbl[Risk_Category],MATCH(Loans[[#This Row],[RiskScore]],RiskTbl[Score_Min],1)),"Unknown")</f>
        <v>Low Risk</v>
      </c>
      <c r="S947" t="str">
        <f>IF(OR(Loans[[#This Row],[LoanStatus]]="Default",Loans[[#This Row],[LoanStatus]]="Watchlist",Loans[[#This Row],[CollateralRisk]]="Undersecured",Loans[[#This Row],[RiskCategory]]="High Risk"),"High Risk Exposure","Normal")</f>
        <v>High Risk Exposure</v>
      </c>
      <c r="T947" t="str" cm="1">
        <f t="array" ref="T947">_xlfn.IFS(
Loans[[#This Row],[LoanStatus]]="Default","Critical",
OR(Loans[[#This Row],[LoanStatus]]="Watchlist",Loans[[#This Row],[CollateralRisk]]="Undersecured",Loans[[#This Row],[RiskCategory]]="High Risk"),"High",
TRUE,"Normal"
)</f>
        <v>Critical</v>
      </c>
    </row>
    <row r="948" spans="1:20" x14ac:dyDescent="0.35">
      <c r="A948" t="s">
        <v>1659</v>
      </c>
      <c r="B948" t="s">
        <v>391</v>
      </c>
      <c r="C948" t="s">
        <v>239</v>
      </c>
      <c r="D948" t="s">
        <v>156</v>
      </c>
      <c r="E948" s="34">
        <v>25000000</v>
      </c>
      <c r="F948" s="29">
        <v>0.2014</v>
      </c>
      <c r="G948" s="30">
        <v>45452</v>
      </c>
      <c r="H948">
        <v>24</v>
      </c>
      <c r="I948">
        <v>5</v>
      </c>
      <c r="J948" s="34">
        <v>31250000</v>
      </c>
      <c r="K948" t="s">
        <v>171</v>
      </c>
      <c r="L948" s="34">
        <f>PMT(Loans[[#This Row],[InterestRate]]/12,Loans[[#This Row],[LoanTenureMonths]],-Loans[[#This Row],[LoanAmount]])</f>
        <v>1274105.5318011669</v>
      </c>
      <c r="M948" s="30">
        <f>EDATE(Loans[[#This Row],[LoanStartDate]],Loans[[#This Row],[LoanTenureMonths]])</f>
        <v>46182</v>
      </c>
      <c r="N948" s="33">
        <f>IF(Loans[[#This Row],[LoanAmount]]=0,0,Loans[[#This Row],[CollateralValue]]/Loans[[#This Row],[LoanAmount]])</f>
        <v>1.25</v>
      </c>
      <c r="O948" t="str">
        <f>IF(Loans[[#This Row],[CollateralCoverageRatio]]&lt;1,"Undersecured","Secured")</f>
        <v>Secured</v>
      </c>
      <c r="P948" t="str">
        <f>_xlfn.XLOOKUP(Loans[[#This Row],[BranchCode]],BranchesTbl[BranchCode],BranchesTbl[BranchName])</f>
        <v>Machakos</v>
      </c>
      <c r="Q948">
        <f>_xlfn.XLOOKUP(Loans[[#This Row],[CustomerID]],CustomerTbl[CustomerID],CustomerTbl[RiskScore])</f>
        <v>411</v>
      </c>
      <c r="R948" t="str">
        <f>IFERROR(INDEX(RiskTbl[Risk_Category],MATCH(Loans[[#This Row],[RiskScore]],RiskTbl[Score_Min],1)),"Unknown")</f>
        <v>High Risk</v>
      </c>
      <c r="S948" t="str">
        <f>IF(OR(Loans[[#This Row],[LoanStatus]]="Default",Loans[[#This Row],[LoanStatus]]="Watchlist",Loans[[#This Row],[CollateralRisk]]="Undersecured",Loans[[#This Row],[RiskCategory]]="High Risk"),"High Risk Exposure","Normal")</f>
        <v>High Risk Exposure</v>
      </c>
      <c r="T948" t="str" cm="1">
        <f t="array" ref="T948">_xlfn.IFS(
Loans[[#This Row],[LoanStatus]]="Default","Critical",
OR(Loans[[#This Row],[LoanStatus]]="Watchlist",Loans[[#This Row],[CollateralRisk]]="Undersecured",Loans[[#This Row],[RiskCategory]]="High Risk"),"High",
TRUE,"Normal"
)</f>
        <v>High</v>
      </c>
    </row>
    <row r="949" spans="1:20" x14ac:dyDescent="0.35">
      <c r="A949" t="s">
        <v>1660</v>
      </c>
      <c r="B949" t="s">
        <v>1661</v>
      </c>
      <c r="C949" t="s">
        <v>219</v>
      </c>
      <c r="D949" t="s">
        <v>156</v>
      </c>
      <c r="E949" s="34">
        <v>6000000</v>
      </c>
      <c r="F949" s="29">
        <v>0.1913</v>
      </c>
      <c r="G949" s="30">
        <v>45665</v>
      </c>
      <c r="H949">
        <v>60</v>
      </c>
      <c r="I949">
        <v>90</v>
      </c>
      <c r="J949" s="34">
        <v>5940000</v>
      </c>
      <c r="K949" t="s">
        <v>199</v>
      </c>
      <c r="L949" s="34">
        <f>PMT(Loans[[#This Row],[InterestRate]]/12,Loans[[#This Row],[LoanTenureMonths]],-Loans[[#This Row],[LoanAmount]])</f>
        <v>156072.80781987234</v>
      </c>
      <c r="M949" s="30">
        <f>EDATE(Loans[[#This Row],[LoanStartDate]],Loans[[#This Row],[LoanTenureMonths]])</f>
        <v>47491</v>
      </c>
      <c r="N949" s="33">
        <f>IF(Loans[[#This Row],[LoanAmount]]=0,0,Loans[[#This Row],[CollateralValue]]/Loans[[#This Row],[LoanAmount]])</f>
        <v>0.99</v>
      </c>
      <c r="O949" t="str">
        <f>IF(Loans[[#This Row],[CollateralCoverageRatio]]&lt;1,"Undersecured","Secured")</f>
        <v>Undersecured</v>
      </c>
      <c r="P949" t="str">
        <f>_xlfn.XLOOKUP(Loans[[#This Row],[BranchCode]],BranchesTbl[BranchCode],BranchesTbl[BranchName])</f>
        <v>Meru</v>
      </c>
      <c r="Q949">
        <f>_xlfn.XLOOKUP(Loans[[#This Row],[CustomerID]],CustomerTbl[CustomerID],CustomerTbl[RiskScore])</f>
        <v>593</v>
      </c>
      <c r="R949" t="str">
        <f>IFERROR(INDEX(RiskTbl[Risk_Category],MATCH(Loans[[#This Row],[RiskScore]],RiskTbl[Score_Min],1)),"Unknown")</f>
        <v>Medium Risk</v>
      </c>
      <c r="S949" t="str">
        <f>IF(OR(Loans[[#This Row],[LoanStatus]]="Default",Loans[[#This Row],[LoanStatus]]="Watchlist",Loans[[#This Row],[CollateralRisk]]="Undersecured",Loans[[#This Row],[RiskCategory]]="High Risk"),"High Risk Exposure","Normal")</f>
        <v>High Risk Exposure</v>
      </c>
      <c r="T949" t="str" cm="1">
        <f t="array" ref="T949">_xlfn.IFS(
Loans[[#This Row],[LoanStatus]]="Default","Critical",
OR(Loans[[#This Row],[LoanStatus]]="Watchlist",Loans[[#This Row],[CollateralRisk]]="Undersecured",Loans[[#This Row],[RiskCategory]]="High Risk"),"High",
TRUE,"Normal"
)</f>
        <v>High</v>
      </c>
    </row>
    <row r="950" spans="1:20" x14ac:dyDescent="0.35">
      <c r="A950" t="s">
        <v>1662</v>
      </c>
      <c r="B950" t="s">
        <v>1663</v>
      </c>
      <c r="C950" t="s">
        <v>170</v>
      </c>
      <c r="D950" t="s">
        <v>156</v>
      </c>
      <c r="E950" s="34">
        <v>6000000</v>
      </c>
      <c r="F950" s="29">
        <v>0.20630000000000001</v>
      </c>
      <c r="G950" s="30">
        <v>45522</v>
      </c>
      <c r="H950">
        <v>12</v>
      </c>
      <c r="I950">
        <v>20</v>
      </c>
      <c r="J950" s="34">
        <v>8820000</v>
      </c>
      <c r="K950" t="s">
        <v>171</v>
      </c>
      <c r="L950" s="34">
        <f>PMT(Loans[[#This Row],[InterestRate]]/12,Loans[[#This Row],[LoanTenureMonths]],-Loans[[#This Row],[LoanAmount]])</f>
        <v>557617.73154210648</v>
      </c>
      <c r="M950" s="30">
        <f>EDATE(Loans[[#This Row],[LoanStartDate]],Loans[[#This Row],[LoanTenureMonths]])</f>
        <v>45887</v>
      </c>
      <c r="N950" s="33">
        <f>IF(Loans[[#This Row],[LoanAmount]]=0,0,Loans[[#This Row],[CollateralValue]]/Loans[[#This Row],[LoanAmount]])</f>
        <v>1.47</v>
      </c>
      <c r="O950" t="str">
        <f>IF(Loans[[#This Row],[CollateralCoverageRatio]]&lt;1,"Undersecured","Secured")</f>
        <v>Secured</v>
      </c>
      <c r="P950" t="str">
        <f>_xlfn.XLOOKUP(Loans[[#This Row],[BranchCode]],BranchesTbl[BranchCode],BranchesTbl[BranchName])</f>
        <v>Thika</v>
      </c>
      <c r="Q950">
        <f>_xlfn.XLOOKUP(Loans[[#This Row],[CustomerID]],CustomerTbl[CustomerID],CustomerTbl[RiskScore])</f>
        <v>565</v>
      </c>
      <c r="R950" t="str">
        <f>IFERROR(INDEX(RiskTbl[Risk_Category],MATCH(Loans[[#This Row],[RiskScore]],RiskTbl[Score_Min],1)),"Unknown")</f>
        <v>High Risk</v>
      </c>
      <c r="S950" t="str">
        <f>IF(OR(Loans[[#This Row],[LoanStatus]]="Default",Loans[[#This Row],[LoanStatus]]="Watchlist",Loans[[#This Row],[CollateralRisk]]="Undersecured",Loans[[#This Row],[RiskCategory]]="High Risk"),"High Risk Exposure","Normal")</f>
        <v>High Risk Exposure</v>
      </c>
      <c r="T950" t="str" cm="1">
        <f t="array" ref="T950">_xlfn.IFS(
Loans[[#This Row],[LoanStatus]]="Default","Critical",
OR(Loans[[#This Row],[LoanStatus]]="Watchlist",Loans[[#This Row],[CollateralRisk]]="Undersecured",Loans[[#This Row],[RiskCategory]]="High Risk"),"High",
TRUE,"Normal"
)</f>
        <v>High</v>
      </c>
    </row>
    <row r="951" spans="1:20" x14ac:dyDescent="0.35">
      <c r="A951" t="s">
        <v>1664</v>
      </c>
      <c r="B951" t="s">
        <v>704</v>
      </c>
      <c r="C951" t="s">
        <v>267</v>
      </c>
      <c r="D951" t="s">
        <v>157</v>
      </c>
      <c r="E951" s="34">
        <v>6000000</v>
      </c>
      <c r="F951" s="29">
        <v>0.1085</v>
      </c>
      <c r="G951" s="30">
        <v>45611</v>
      </c>
      <c r="H951">
        <v>72</v>
      </c>
      <c r="I951">
        <v>90</v>
      </c>
      <c r="J951" s="34">
        <v>8100000</v>
      </c>
      <c r="K951" t="s">
        <v>199</v>
      </c>
      <c r="L951" s="34">
        <f>PMT(Loans[[#This Row],[InterestRate]]/12,Loans[[#This Row],[LoanTenureMonths]],-Loans[[#This Row],[LoanAmount]])</f>
        <v>113744.03540917953</v>
      </c>
      <c r="M951" s="30">
        <f>EDATE(Loans[[#This Row],[LoanStartDate]],Loans[[#This Row],[LoanTenureMonths]])</f>
        <v>47802</v>
      </c>
      <c r="N951" s="33">
        <f>IF(Loans[[#This Row],[LoanAmount]]=0,0,Loans[[#This Row],[CollateralValue]]/Loans[[#This Row],[LoanAmount]])</f>
        <v>1.35</v>
      </c>
      <c r="O951" t="str">
        <f>IF(Loans[[#This Row],[CollateralCoverageRatio]]&lt;1,"Undersecured","Secured")</f>
        <v>Secured</v>
      </c>
      <c r="P951" t="str">
        <f>_xlfn.XLOOKUP(Loans[[#This Row],[BranchCode]],BranchesTbl[BranchCode],BranchesTbl[BranchName])</f>
        <v>Malindi</v>
      </c>
      <c r="Q951">
        <f>_xlfn.XLOOKUP(Loans[[#This Row],[CustomerID]],CustomerTbl[CustomerID],CustomerTbl[RiskScore])</f>
        <v>370</v>
      </c>
      <c r="R951" t="str">
        <f>IFERROR(INDEX(RiskTbl[Risk_Category],MATCH(Loans[[#This Row],[RiskScore]],RiskTbl[Score_Min],1)),"Unknown")</f>
        <v>High Risk</v>
      </c>
      <c r="S951" t="str">
        <f>IF(OR(Loans[[#This Row],[LoanStatus]]="Default",Loans[[#This Row],[LoanStatus]]="Watchlist",Loans[[#This Row],[CollateralRisk]]="Undersecured",Loans[[#This Row],[RiskCategory]]="High Risk"),"High Risk Exposure","Normal")</f>
        <v>High Risk Exposure</v>
      </c>
      <c r="T951" t="str" cm="1">
        <f t="array" ref="T951">_xlfn.IFS(
Loans[[#This Row],[LoanStatus]]="Default","Critical",
OR(Loans[[#This Row],[LoanStatus]]="Watchlist",Loans[[#This Row],[CollateralRisk]]="Undersecured",Loans[[#This Row],[RiskCategory]]="High Risk"),"High",
TRUE,"Normal"
)</f>
        <v>High</v>
      </c>
    </row>
    <row r="952" spans="1:20" x14ac:dyDescent="0.35">
      <c r="A952" t="s">
        <v>1665</v>
      </c>
      <c r="B952" t="s">
        <v>1110</v>
      </c>
      <c r="C952" t="s">
        <v>174</v>
      </c>
      <c r="D952" t="s">
        <v>155</v>
      </c>
      <c r="E952" s="34">
        <v>250000</v>
      </c>
      <c r="F952" s="29">
        <v>0.2165</v>
      </c>
      <c r="G952" s="30">
        <v>44882</v>
      </c>
      <c r="H952">
        <v>12</v>
      </c>
      <c r="I952">
        <v>120</v>
      </c>
      <c r="J952" s="34">
        <v>0</v>
      </c>
      <c r="K952" t="s">
        <v>178</v>
      </c>
      <c r="L952" s="34">
        <f>PMT(Loans[[#This Row],[InterestRate]]/12,Loans[[#This Row],[LoanTenureMonths]],-Loans[[#This Row],[LoanAmount]])</f>
        <v>23356.503880592751</v>
      </c>
      <c r="M952" s="30">
        <f>EDATE(Loans[[#This Row],[LoanStartDate]],Loans[[#This Row],[LoanTenureMonths]])</f>
        <v>45247</v>
      </c>
      <c r="N952" s="33">
        <f>IF(Loans[[#This Row],[LoanAmount]]=0,0,Loans[[#This Row],[CollateralValue]]/Loans[[#This Row],[LoanAmount]])</f>
        <v>0</v>
      </c>
      <c r="O952" t="str">
        <f>IF(Loans[[#This Row],[CollateralCoverageRatio]]&lt;1,"Undersecured","Secured")</f>
        <v>Undersecured</v>
      </c>
      <c r="P952" t="str">
        <f>_xlfn.XLOOKUP(Loans[[#This Row],[BranchCode]],BranchesTbl[BranchCode],BranchesTbl[BranchName])</f>
        <v>Westlands</v>
      </c>
      <c r="Q952">
        <f>_xlfn.XLOOKUP(Loans[[#This Row],[CustomerID]],CustomerTbl[CustomerID],CustomerTbl[RiskScore])</f>
        <v>604</v>
      </c>
      <c r="R952" t="str">
        <f>IFERROR(INDEX(RiskTbl[Risk_Category],MATCH(Loans[[#This Row],[RiskScore]],RiskTbl[Score_Min],1)),"Unknown")</f>
        <v>Medium Risk</v>
      </c>
      <c r="S952" t="str">
        <f>IF(OR(Loans[[#This Row],[LoanStatus]]="Default",Loans[[#This Row],[LoanStatus]]="Watchlist",Loans[[#This Row],[CollateralRisk]]="Undersecured",Loans[[#This Row],[RiskCategory]]="High Risk"),"High Risk Exposure","Normal")</f>
        <v>High Risk Exposure</v>
      </c>
      <c r="T952" t="str" cm="1">
        <f t="array" ref="T952">_xlfn.IFS(
Loans[[#This Row],[LoanStatus]]="Default","Critical",
OR(Loans[[#This Row],[LoanStatus]]="Watchlist",Loans[[#This Row],[CollateralRisk]]="Undersecured",Loans[[#This Row],[RiskCategory]]="High Risk"),"High",
TRUE,"Normal"
)</f>
        <v>Critical</v>
      </c>
    </row>
    <row r="953" spans="1:20" x14ac:dyDescent="0.35">
      <c r="A953" t="s">
        <v>1666</v>
      </c>
      <c r="B953" t="s">
        <v>208</v>
      </c>
      <c r="C953" t="s">
        <v>184</v>
      </c>
      <c r="D953" t="s">
        <v>156</v>
      </c>
      <c r="E953" s="34">
        <v>3000000</v>
      </c>
      <c r="F953" s="29">
        <v>0.2016</v>
      </c>
      <c r="G953" s="30">
        <v>43970</v>
      </c>
      <c r="H953">
        <v>12</v>
      </c>
      <c r="I953">
        <v>45</v>
      </c>
      <c r="J953" s="34">
        <v>3420000</v>
      </c>
      <c r="K953" t="s">
        <v>199</v>
      </c>
      <c r="L953" s="34">
        <f>PMT(Loans[[#This Row],[InterestRate]]/12,Loans[[#This Row],[LoanTenureMonths]],-Loans[[#This Row],[LoanAmount]])</f>
        <v>278133.29625280586</v>
      </c>
      <c r="M953" s="30">
        <f>EDATE(Loans[[#This Row],[LoanStartDate]],Loans[[#This Row],[LoanTenureMonths]])</f>
        <v>44335</v>
      </c>
      <c r="N953" s="33">
        <f>IF(Loans[[#This Row],[LoanAmount]]=0,0,Loans[[#This Row],[CollateralValue]]/Loans[[#This Row],[LoanAmount]])</f>
        <v>1.1399999999999999</v>
      </c>
      <c r="O953" t="str">
        <f>IF(Loans[[#This Row],[CollateralCoverageRatio]]&lt;1,"Undersecured","Secured")</f>
        <v>Secured</v>
      </c>
      <c r="P953" t="str">
        <f>_xlfn.XLOOKUP(Loans[[#This Row],[BranchCode]],BranchesTbl[BranchCode],BranchesTbl[BranchName])</f>
        <v>Kisumu</v>
      </c>
      <c r="Q953">
        <f>_xlfn.XLOOKUP(Loans[[#This Row],[CustomerID]],CustomerTbl[CustomerID],CustomerTbl[RiskScore])</f>
        <v>307</v>
      </c>
      <c r="R953" t="str">
        <f>IFERROR(INDEX(RiskTbl[Risk_Category],MATCH(Loans[[#This Row],[RiskScore]],RiskTbl[Score_Min],1)),"Unknown")</f>
        <v>High Risk</v>
      </c>
      <c r="S953" t="str">
        <f>IF(OR(Loans[[#This Row],[LoanStatus]]="Default",Loans[[#This Row],[LoanStatus]]="Watchlist",Loans[[#This Row],[CollateralRisk]]="Undersecured",Loans[[#This Row],[RiskCategory]]="High Risk"),"High Risk Exposure","Normal")</f>
        <v>High Risk Exposure</v>
      </c>
      <c r="T953" t="str" cm="1">
        <f t="array" ref="T953">_xlfn.IFS(
Loans[[#This Row],[LoanStatus]]="Default","Critical",
OR(Loans[[#This Row],[LoanStatus]]="Watchlist",Loans[[#This Row],[CollateralRisk]]="Undersecured",Loans[[#This Row],[RiskCategory]]="High Risk"),"High",
TRUE,"Normal"
)</f>
        <v>High</v>
      </c>
    </row>
    <row r="954" spans="1:20" x14ac:dyDescent="0.35">
      <c r="A954" t="s">
        <v>1667</v>
      </c>
      <c r="B954" t="s">
        <v>1649</v>
      </c>
      <c r="C954" t="s">
        <v>219</v>
      </c>
      <c r="D954" t="s">
        <v>158</v>
      </c>
      <c r="E954" s="34">
        <v>6000000</v>
      </c>
      <c r="F954" s="29">
        <v>0.13769999999999999</v>
      </c>
      <c r="G954" s="30">
        <v>45590</v>
      </c>
      <c r="H954">
        <v>12</v>
      </c>
      <c r="I954">
        <v>45</v>
      </c>
      <c r="J954" s="34">
        <v>5100000</v>
      </c>
      <c r="K954" t="s">
        <v>199</v>
      </c>
      <c r="L954" s="34">
        <f>PMT(Loans[[#This Row],[InterestRate]]/12,Loans[[#This Row],[LoanTenureMonths]],-Loans[[#This Row],[LoanAmount]])</f>
        <v>538073.60464143369</v>
      </c>
      <c r="M954" s="30">
        <f>EDATE(Loans[[#This Row],[LoanStartDate]],Loans[[#This Row],[LoanTenureMonths]])</f>
        <v>45955</v>
      </c>
      <c r="N954" s="33">
        <f>IF(Loans[[#This Row],[LoanAmount]]=0,0,Loans[[#This Row],[CollateralValue]]/Loans[[#This Row],[LoanAmount]])</f>
        <v>0.85</v>
      </c>
      <c r="O954" t="str">
        <f>IF(Loans[[#This Row],[CollateralCoverageRatio]]&lt;1,"Undersecured","Secured")</f>
        <v>Undersecured</v>
      </c>
      <c r="P954" t="str">
        <f>_xlfn.XLOOKUP(Loans[[#This Row],[BranchCode]],BranchesTbl[BranchCode],BranchesTbl[BranchName])</f>
        <v>Meru</v>
      </c>
      <c r="Q954">
        <f>_xlfn.XLOOKUP(Loans[[#This Row],[CustomerID]],CustomerTbl[CustomerID],CustomerTbl[RiskScore])</f>
        <v>578</v>
      </c>
      <c r="R954" t="str">
        <f>IFERROR(INDEX(RiskTbl[Risk_Category],MATCH(Loans[[#This Row],[RiskScore]],RiskTbl[Score_Min],1)),"Unknown")</f>
        <v>High Risk</v>
      </c>
      <c r="S954" t="str">
        <f>IF(OR(Loans[[#This Row],[LoanStatus]]="Default",Loans[[#This Row],[LoanStatus]]="Watchlist",Loans[[#This Row],[CollateralRisk]]="Undersecured",Loans[[#This Row],[RiskCategory]]="High Risk"),"High Risk Exposure","Normal")</f>
        <v>High Risk Exposure</v>
      </c>
      <c r="T954" t="str" cm="1">
        <f t="array" ref="T954">_xlfn.IFS(
Loans[[#This Row],[LoanStatus]]="Default","Critical",
OR(Loans[[#This Row],[LoanStatus]]="Watchlist",Loans[[#This Row],[CollateralRisk]]="Undersecured",Loans[[#This Row],[RiskCategory]]="High Risk"),"High",
TRUE,"Normal"
)</f>
        <v>High</v>
      </c>
    </row>
    <row r="955" spans="1:20" x14ac:dyDescent="0.35">
      <c r="A955" t="s">
        <v>1668</v>
      </c>
      <c r="B955" t="s">
        <v>718</v>
      </c>
      <c r="C955" t="s">
        <v>196</v>
      </c>
      <c r="D955" t="s">
        <v>155</v>
      </c>
      <c r="E955" s="34">
        <v>250000</v>
      </c>
      <c r="F955" s="29">
        <v>0.27050000000000002</v>
      </c>
      <c r="G955" s="30">
        <v>44353</v>
      </c>
      <c r="H955">
        <v>24</v>
      </c>
      <c r="I955">
        <v>0</v>
      </c>
      <c r="J955" s="34">
        <v>0</v>
      </c>
      <c r="K955" t="s">
        <v>171</v>
      </c>
      <c r="L955" s="34">
        <f>PMT(Loans[[#This Row],[InterestRate]]/12,Loans[[#This Row],[LoanTenureMonths]],-Loans[[#This Row],[LoanAmount]])</f>
        <v>13601.395125520074</v>
      </c>
      <c r="M955" s="30">
        <f>EDATE(Loans[[#This Row],[LoanStartDate]],Loans[[#This Row],[LoanTenureMonths]])</f>
        <v>45083</v>
      </c>
      <c r="N955" s="33">
        <f>IF(Loans[[#This Row],[LoanAmount]]=0,0,Loans[[#This Row],[CollateralValue]]/Loans[[#This Row],[LoanAmount]])</f>
        <v>0</v>
      </c>
      <c r="O955" t="str">
        <f>IF(Loans[[#This Row],[CollateralCoverageRatio]]&lt;1,"Undersecured","Secured")</f>
        <v>Undersecured</v>
      </c>
      <c r="P955" t="str">
        <f>_xlfn.XLOOKUP(Loans[[#This Row],[BranchCode]],BranchesTbl[BranchCode],BranchesTbl[BranchName])</f>
        <v>Karen</v>
      </c>
      <c r="Q955">
        <f>_xlfn.XLOOKUP(Loans[[#This Row],[CustomerID]],CustomerTbl[CustomerID],CustomerTbl[RiskScore])</f>
        <v>751</v>
      </c>
      <c r="R955" t="str">
        <f>IFERROR(INDEX(RiskTbl[Risk_Category],MATCH(Loans[[#This Row],[RiskScore]],RiskTbl[Score_Min],1)),"Unknown")</f>
        <v>Very Low Risk</v>
      </c>
      <c r="S955" t="str">
        <f>IF(OR(Loans[[#This Row],[LoanStatus]]="Default",Loans[[#This Row],[LoanStatus]]="Watchlist",Loans[[#This Row],[CollateralRisk]]="Undersecured",Loans[[#This Row],[RiskCategory]]="High Risk"),"High Risk Exposure","Normal")</f>
        <v>High Risk Exposure</v>
      </c>
      <c r="T955" t="str" cm="1">
        <f t="array" ref="T955">_xlfn.IFS(
Loans[[#This Row],[LoanStatus]]="Default","Critical",
OR(Loans[[#This Row],[LoanStatus]]="Watchlist",Loans[[#This Row],[CollateralRisk]]="Undersecured",Loans[[#This Row],[RiskCategory]]="High Risk"),"High",
TRUE,"Normal"
)</f>
        <v>High</v>
      </c>
    </row>
    <row r="956" spans="1:20" x14ac:dyDescent="0.35">
      <c r="A956" t="s">
        <v>1669</v>
      </c>
      <c r="B956" t="s">
        <v>1670</v>
      </c>
      <c r="C956" t="s">
        <v>239</v>
      </c>
      <c r="D956" t="s">
        <v>155</v>
      </c>
      <c r="E956" s="34">
        <v>1000000</v>
      </c>
      <c r="F956" s="29">
        <v>0.21790000000000001</v>
      </c>
      <c r="G956" s="30">
        <v>44798</v>
      </c>
      <c r="H956">
        <v>24</v>
      </c>
      <c r="I956">
        <v>0</v>
      </c>
      <c r="J956" s="34">
        <v>0</v>
      </c>
      <c r="K956" t="s">
        <v>171</v>
      </c>
      <c r="L956" s="34">
        <f>PMT(Loans[[#This Row],[InterestRate]]/12,Loans[[#This Row],[LoanTenureMonths]],-Loans[[#This Row],[LoanAmount]])</f>
        <v>51774.508987416164</v>
      </c>
      <c r="M956" s="30">
        <f>EDATE(Loans[[#This Row],[LoanStartDate]],Loans[[#This Row],[LoanTenureMonths]])</f>
        <v>45529</v>
      </c>
      <c r="N956" s="33">
        <f>IF(Loans[[#This Row],[LoanAmount]]=0,0,Loans[[#This Row],[CollateralValue]]/Loans[[#This Row],[LoanAmount]])</f>
        <v>0</v>
      </c>
      <c r="O956" t="str">
        <f>IF(Loans[[#This Row],[CollateralCoverageRatio]]&lt;1,"Undersecured","Secured")</f>
        <v>Undersecured</v>
      </c>
      <c r="P956" t="str">
        <f>_xlfn.XLOOKUP(Loans[[#This Row],[BranchCode]],BranchesTbl[BranchCode],BranchesTbl[BranchName])</f>
        <v>Machakos</v>
      </c>
      <c r="Q956">
        <f>_xlfn.XLOOKUP(Loans[[#This Row],[CustomerID]],CustomerTbl[CustomerID],CustomerTbl[RiskScore])</f>
        <v>602</v>
      </c>
      <c r="R956" t="str">
        <f>IFERROR(INDEX(RiskTbl[Risk_Category],MATCH(Loans[[#This Row],[RiskScore]],RiskTbl[Score_Min],1)),"Unknown")</f>
        <v>Medium Risk</v>
      </c>
      <c r="S956" t="str">
        <f>IF(OR(Loans[[#This Row],[LoanStatus]]="Default",Loans[[#This Row],[LoanStatus]]="Watchlist",Loans[[#This Row],[CollateralRisk]]="Undersecured",Loans[[#This Row],[RiskCategory]]="High Risk"),"High Risk Exposure","Normal")</f>
        <v>High Risk Exposure</v>
      </c>
      <c r="T956" t="str" cm="1">
        <f t="array" ref="T956">_xlfn.IFS(
Loans[[#This Row],[LoanStatus]]="Default","Critical",
OR(Loans[[#This Row],[LoanStatus]]="Watchlist",Loans[[#This Row],[CollateralRisk]]="Undersecured",Loans[[#This Row],[RiskCategory]]="High Risk"),"High",
TRUE,"Normal"
)</f>
        <v>High</v>
      </c>
    </row>
    <row r="957" spans="1:20" x14ac:dyDescent="0.35">
      <c r="A957" t="s">
        <v>1671</v>
      </c>
      <c r="B957" t="s">
        <v>665</v>
      </c>
      <c r="C957" t="s">
        <v>184</v>
      </c>
      <c r="D957" t="s">
        <v>155</v>
      </c>
      <c r="E957" s="34">
        <v>1000000</v>
      </c>
      <c r="F957" s="29">
        <v>0.25340000000000001</v>
      </c>
      <c r="G957" s="30">
        <v>44640</v>
      </c>
      <c r="H957">
        <v>12</v>
      </c>
      <c r="I957">
        <v>0</v>
      </c>
      <c r="J957" s="34">
        <v>0</v>
      </c>
      <c r="K957" t="s">
        <v>171</v>
      </c>
      <c r="L957" s="34">
        <f>PMT(Loans[[#This Row],[InterestRate]]/12,Loans[[#This Row],[LoanTenureMonths]],-Loans[[#This Row],[LoanAmount]])</f>
        <v>95209.272403196461</v>
      </c>
      <c r="M957" s="30">
        <f>EDATE(Loans[[#This Row],[LoanStartDate]],Loans[[#This Row],[LoanTenureMonths]])</f>
        <v>45005</v>
      </c>
      <c r="N957" s="33">
        <f>IF(Loans[[#This Row],[LoanAmount]]=0,0,Loans[[#This Row],[CollateralValue]]/Loans[[#This Row],[LoanAmount]])</f>
        <v>0</v>
      </c>
      <c r="O957" t="str">
        <f>IF(Loans[[#This Row],[CollateralCoverageRatio]]&lt;1,"Undersecured","Secured")</f>
        <v>Undersecured</v>
      </c>
      <c r="P957" t="str">
        <f>_xlfn.XLOOKUP(Loans[[#This Row],[BranchCode]],BranchesTbl[BranchCode],BranchesTbl[BranchName])</f>
        <v>Kisumu</v>
      </c>
      <c r="Q957">
        <f>_xlfn.XLOOKUP(Loans[[#This Row],[CustomerID]],CustomerTbl[CustomerID],CustomerTbl[RiskScore])</f>
        <v>376</v>
      </c>
      <c r="R957" t="str">
        <f>IFERROR(INDEX(RiskTbl[Risk_Category],MATCH(Loans[[#This Row],[RiskScore]],RiskTbl[Score_Min],1)),"Unknown")</f>
        <v>High Risk</v>
      </c>
      <c r="S957" t="str">
        <f>IF(OR(Loans[[#This Row],[LoanStatus]]="Default",Loans[[#This Row],[LoanStatus]]="Watchlist",Loans[[#This Row],[CollateralRisk]]="Undersecured",Loans[[#This Row],[RiskCategory]]="High Risk"),"High Risk Exposure","Normal")</f>
        <v>High Risk Exposure</v>
      </c>
      <c r="T957" t="str" cm="1">
        <f t="array" ref="T957">_xlfn.IFS(
Loans[[#This Row],[LoanStatus]]="Default","Critical",
OR(Loans[[#This Row],[LoanStatus]]="Watchlist",Loans[[#This Row],[CollateralRisk]]="Undersecured",Loans[[#This Row],[RiskCategory]]="High Risk"),"High",
TRUE,"Normal"
)</f>
        <v>High</v>
      </c>
    </row>
    <row r="958" spans="1:20" x14ac:dyDescent="0.35">
      <c r="A958" t="s">
        <v>1672</v>
      </c>
      <c r="B958" t="s">
        <v>1272</v>
      </c>
      <c r="C958" t="s">
        <v>174</v>
      </c>
      <c r="D958" t="s">
        <v>157</v>
      </c>
      <c r="E958" s="34">
        <v>80000000</v>
      </c>
      <c r="F958" s="29">
        <v>0.12809999999999999</v>
      </c>
      <c r="G958" s="30">
        <v>44968</v>
      </c>
      <c r="H958">
        <v>36</v>
      </c>
      <c r="I958">
        <v>20</v>
      </c>
      <c r="J958" s="34">
        <v>112800000</v>
      </c>
      <c r="K958" t="s">
        <v>171</v>
      </c>
      <c r="L958" s="34">
        <f>PMT(Loans[[#This Row],[InterestRate]]/12,Loans[[#This Row],[LoanTenureMonths]],-Loans[[#This Row],[LoanAmount]])</f>
        <v>2688200.721303998</v>
      </c>
      <c r="M958" s="30">
        <f>EDATE(Loans[[#This Row],[LoanStartDate]],Loans[[#This Row],[LoanTenureMonths]])</f>
        <v>46064</v>
      </c>
      <c r="N958" s="33">
        <f>IF(Loans[[#This Row],[LoanAmount]]=0,0,Loans[[#This Row],[CollateralValue]]/Loans[[#This Row],[LoanAmount]])</f>
        <v>1.41</v>
      </c>
      <c r="O958" t="str">
        <f>IF(Loans[[#This Row],[CollateralCoverageRatio]]&lt;1,"Undersecured","Secured")</f>
        <v>Secured</v>
      </c>
      <c r="P958" t="str">
        <f>_xlfn.XLOOKUP(Loans[[#This Row],[BranchCode]],BranchesTbl[BranchCode],BranchesTbl[BranchName])</f>
        <v>Westlands</v>
      </c>
      <c r="Q958">
        <f>_xlfn.XLOOKUP(Loans[[#This Row],[CustomerID]],CustomerTbl[CustomerID],CustomerTbl[RiskScore])</f>
        <v>667</v>
      </c>
      <c r="R958" t="str">
        <f>IFERROR(INDEX(RiskTbl[Risk_Category],MATCH(Loans[[#This Row],[RiskScore]],RiskTbl[Score_Min],1)),"Unknown")</f>
        <v>Medium Risk</v>
      </c>
      <c r="S958" t="str">
        <f>IF(OR(Loans[[#This Row],[LoanStatus]]="Default",Loans[[#This Row],[LoanStatus]]="Watchlist",Loans[[#This Row],[CollateralRisk]]="Undersecured",Loans[[#This Row],[RiskCategory]]="High Risk"),"High Risk Exposure","Normal")</f>
        <v>Normal</v>
      </c>
      <c r="T958" t="str" cm="1">
        <f t="array" ref="T958">_xlfn.IFS(
Loans[[#This Row],[LoanStatus]]="Default","Critical",
OR(Loans[[#This Row],[LoanStatus]]="Watchlist",Loans[[#This Row],[CollateralRisk]]="Undersecured",Loans[[#This Row],[RiskCategory]]="High Risk"),"High",
TRUE,"Normal"
)</f>
        <v>Normal</v>
      </c>
    </row>
    <row r="959" spans="1:20" x14ac:dyDescent="0.35">
      <c r="A959" t="s">
        <v>1673</v>
      </c>
      <c r="B959" t="s">
        <v>1442</v>
      </c>
      <c r="C959" t="s">
        <v>181</v>
      </c>
      <c r="D959" t="s">
        <v>155</v>
      </c>
      <c r="E959" s="34">
        <v>1000000</v>
      </c>
      <c r="F959" s="29">
        <v>0.1817</v>
      </c>
      <c r="G959" s="30">
        <v>44721</v>
      </c>
      <c r="H959">
        <v>24</v>
      </c>
      <c r="I959">
        <v>0</v>
      </c>
      <c r="J959" s="34">
        <v>0</v>
      </c>
      <c r="K959" t="s">
        <v>171</v>
      </c>
      <c r="L959" s="34">
        <f>PMT(Loans[[#This Row],[InterestRate]]/12,Loans[[#This Row],[LoanTenureMonths]],-Loans[[#This Row],[LoanAmount]])</f>
        <v>50006.280866712252</v>
      </c>
      <c r="M959" s="30">
        <f>EDATE(Loans[[#This Row],[LoanStartDate]],Loans[[#This Row],[LoanTenureMonths]])</f>
        <v>45452</v>
      </c>
      <c r="N959" s="33">
        <f>IF(Loans[[#This Row],[LoanAmount]]=0,0,Loans[[#This Row],[CollateralValue]]/Loans[[#This Row],[LoanAmount]])</f>
        <v>0</v>
      </c>
      <c r="O959" t="str">
        <f>IF(Loans[[#This Row],[CollateralCoverageRatio]]&lt;1,"Undersecured","Secured")</f>
        <v>Undersecured</v>
      </c>
      <c r="P959" t="str">
        <f>_xlfn.XLOOKUP(Loans[[#This Row],[BranchCode]],BranchesTbl[BranchCode],BranchesTbl[BranchName])</f>
        <v>Kitale</v>
      </c>
      <c r="Q959">
        <f>_xlfn.XLOOKUP(Loans[[#This Row],[CustomerID]],CustomerTbl[CustomerID],CustomerTbl[RiskScore])</f>
        <v>532</v>
      </c>
      <c r="R959" t="str">
        <f>IFERROR(INDEX(RiskTbl[Risk_Category],MATCH(Loans[[#This Row],[RiskScore]],RiskTbl[Score_Min],1)),"Unknown")</f>
        <v>High Risk</v>
      </c>
      <c r="S959" t="str">
        <f>IF(OR(Loans[[#This Row],[LoanStatus]]="Default",Loans[[#This Row],[LoanStatus]]="Watchlist",Loans[[#This Row],[CollateralRisk]]="Undersecured",Loans[[#This Row],[RiskCategory]]="High Risk"),"High Risk Exposure","Normal")</f>
        <v>High Risk Exposure</v>
      </c>
      <c r="T959" t="str" cm="1">
        <f t="array" ref="T959">_xlfn.IFS(
Loans[[#This Row],[LoanStatus]]="Default","Critical",
OR(Loans[[#This Row],[LoanStatus]]="Watchlist",Loans[[#This Row],[CollateralRisk]]="Undersecured",Loans[[#This Row],[RiskCategory]]="High Risk"),"High",
TRUE,"Normal"
)</f>
        <v>High</v>
      </c>
    </row>
    <row r="960" spans="1:20" x14ac:dyDescent="0.35">
      <c r="A960" t="s">
        <v>1674</v>
      </c>
      <c r="B960" t="s">
        <v>400</v>
      </c>
      <c r="C960" t="s">
        <v>193</v>
      </c>
      <c r="D960" t="s">
        <v>155</v>
      </c>
      <c r="E960" s="34">
        <v>1000000</v>
      </c>
      <c r="F960" s="29">
        <v>0.2135</v>
      </c>
      <c r="G960" s="30">
        <v>45543</v>
      </c>
      <c r="H960">
        <v>72</v>
      </c>
      <c r="I960">
        <v>45</v>
      </c>
      <c r="J960" s="34">
        <v>0</v>
      </c>
      <c r="K960" t="s">
        <v>199</v>
      </c>
      <c r="L960" s="34">
        <f>PMT(Loans[[#This Row],[InterestRate]]/12,Loans[[#This Row],[LoanTenureMonths]],-Loans[[#This Row],[LoanAmount]])</f>
        <v>24741.756059664269</v>
      </c>
      <c r="M960" s="30">
        <f>EDATE(Loans[[#This Row],[LoanStartDate]],Loans[[#This Row],[LoanTenureMonths]])</f>
        <v>47734</v>
      </c>
      <c r="N960" s="33">
        <f>IF(Loans[[#This Row],[LoanAmount]]=0,0,Loans[[#This Row],[CollateralValue]]/Loans[[#This Row],[LoanAmount]])</f>
        <v>0</v>
      </c>
      <c r="O960" t="str">
        <f>IF(Loans[[#This Row],[CollateralCoverageRatio]]&lt;1,"Undersecured","Secured")</f>
        <v>Undersecured</v>
      </c>
      <c r="P960" t="str">
        <f>_xlfn.XLOOKUP(Loans[[#This Row],[BranchCode]],BranchesTbl[BranchCode],BranchesTbl[BranchName])</f>
        <v>Mombasa</v>
      </c>
      <c r="Q960">
        <f>_xlfn.XLOOKUP(Loans[[#This Row],[CustomerID]],CustomerTbl[CustomerID],CustomerTbl[RiskScore])</f>
        <v>724</v>
      </c>
      <c r="R960" t="str">
        <f>IFERROR(INDEX(RiskTbl[Risk_Category],MATCH(Loans[[#This Row],[RiskScore]],RiskTbl[Score_Min],1)),"Unknown")</f>
        <v>Low Risk</v>
      </c>
      <c r="S960" t="str">
        <f>IF(OR(Loans[[#This Row],[LoanStatus]]="Default",Loans[[#This Row],[LoanStatus]]="Watchlist",Loans[[#This Row],[CollateralRisk]]="Undersecured",Loans[[#This Row],[RiskCategory]]="High Risk"),"High Risk Exposure","Normal")</f>
        <v>High Risk Exposure</v>
      </c>
      <c r="T960" t="str" cm="1">
        <f t="array" ref="T960">_xlfn.IFS(
Loans[[#This Row],[LoanStatus]]="Default","Critical",
OR(Loans[[#This Row],[LoanStatus]]="Watchlist",Loans[[#This Row],[CollateralRisk]]="Undersecured",Loans[[#This Row],[RiskCategory]]="High Risk"),"High",
TRUE,"Normal"
)</f>
        <v>High</v>
      </c>
    </row>
    <row r="961" spans="1:20" x14ac:dyDescent="0.35">
      <c r="A961" t="s">
        <v>1675</v>
      </c>
      <c r="B961" t="s">
        <v>1311</v>
      </c>
      <c r="C961" t="s">
        <v>206</v>
      </c>
      <c r="D961" t="s">
        <v>155</v>
      </c>
      <c r="E961" s="34">
        <v>250000</v>
      </c>
      <c r="F961" s="29">
        <v>0.24959999999999999</v>
      </c>
      <c r="G961" s="30">
        <v>44908</v>
      </c>
      <c r="H961">
        <v>48</v>
      </c>
      <c r="I961">
        <v>0</v>
      </c>
      <c r="J961" s="34">
        <v>0</v>
      </c>
      <c r="K961" t="s">
        <v>171</v>
      </c>
      <c r="L961" s="34">
        <f>PMT(Loans[[#This Row],[InterestRate]]/12,Loans[[#This Row],[LoanTenureMonths]],-Loans[[#This Row],[LoanAmount]])</f>
        <v>8283.705602989101</v>
      </c>
      <c r="M961" s="30">
        <f>EDATE(Loans[[#This Row],[LoanStartDate]],Loans[[#This Row],[LoanTenureMonths]])</f>
        <v>46369</v>
      </c>
      <c r="N961" s="33">
        <f>IF(Loans[[#This Row],[LoanAmount]]=0,0,Loans[[#This Row],[CollateralValue]]/Loans[[#This Row],[LoanAmount]])</f>
        <v>0</v>
      </c>
      <c r="O961" t="str">
        <f>IF(Loans[[#This Row],[CollateralCoverageRatio]]&lt;1,"Undersecured","Secured")</f>
        <v>Undersecured</v>
      </c>
      <c r="P961" t="str">
        <f>_xlfn.XLOOKUP(Loans[[#This Row],[BranchCode]],BranchesTbl[BranchCode],BranchesTbl[BranchName])</f>
        <v>Nyahururu</v>
      </c>
      <c r="Q961">
        <f>_xlfn.XLOOKUP(Loans[[#This Row],[CustomerID]],CustomerTbl[CustomerID],CustomerTbl[RiskScore])</f>
        <v>501</v>
      </c>
      <c r="R961" t="str">
        <f>IFERROR(INDEX(RiskTbl[Risk_Category],MATCH(Loans[[#This Row],[RiskScore]],RiskTbl[Score_Min],1)),"Unknown")</f>
        <v>High Risk</v>
      </c>
      <c r="S961" t="str">
        <f>IF(OR(Loans[[#This Row],[LoanStatus]]="Default",Loans[[#This Row],[LoanStatus]]="Watchlist",Loans[[#This Row],[CollateralRisk]]="Undersecured",Loans[[#This Row],[RiskCategory]]="High Risk"),"High Risk Exposure","Normal")</f>
        <v>High Risk Exposure</v>
      </c>
      <c r="T961" t="str" cm="1">
        <f t="array" ref="T961">_xlfn.IFS(
Loans[[#This Row],[LoanStatus]]="Default","Critical",
OR(Loans[[#This Row],[LoanStatus]]="Watchlist",Loans[[#This Row],[CollateralRisk]]="Undersecured",Loans[[#This Row],[RiskCategory]]="High Risk"),"High",
TRUE,"Normal"
)</f>
        <v>High</v>
      </c>
    </row>
    <row r="962" spans="1:20" x14ac:dyDescent="0.35">
      <c r="A962" t="s">
        <v>1676</v>
      </c>
      <c r="B962" t="s">
        <v>1388</v>
      </c>
      <c r="C962" t="s">
        <v>206</v>
      </c>
      <c r="D962" t="s">
        <v>156</v>
      </c>
      <c r="E962" s="34">
        <v>3000000</v>
      </c>
      <c r="F962" s="29">
        <v>0.16309999999999999</v>
      </c>
      <c r="G962" s="30">
        <v>45811</v>
      </c>
      <c r="H962">
        <v>48</v>
      </c>
      <c r="I962">
        <v>10</v>
      </c>
      <c r="J962" s="34">
        <v>3870000</v>
      </c>
      <c r="K962" t="s">
        <v>171</v>
      </c>
      <c r="L962" s="34">
        <f>PMT(Loans[[#This Row],[InterestRate]]/12,Loans[[#This Row],[LoanTenureMonths]],-Loans[[#This Row],[LoanAmount]])</f>
        <v>85497.897465616072</v>
      </c>
      <c r="M962" s="30">
        <f>EDATE(Loans[[#This Row],[LoanStartDate]],Loans[[#This Row],[LoanTenureMonths]])</f>
        <v>47272</v>
      </c>
      <c r="N962" s="33">
        <f>IF(Loans[[#This Row],[LoanAmount]]=0,0,Loans[[#This Row],[CollateralValue]]/Loans[[#This Row],[LoanAmount]])</f>
        <v>1.29</v>
      </c>
      <c r="O962" t="str">
        <f>IF(Loans[[#This Row],[CollateralCoverageRatio]]&lt;1,"Undersecured","Secured")</f>
        <v>Secured</v>
      </c>
      <c r="P962" t="str">
        <f>_xlfn.XLOOKUP(Loans[[#This Row],[BranchCode]],BranchesTbl[BranchCode],BranchesTbl[BranchName])</f>
        <v>Nyahururu</v>
      </c>
      <c r="Q962">
        <f>_xlfn.XLOOKUP(Loans[[#This Row],[CustomerID]],CustomerTbl[CustomerID],CustomerTbl[RiskScore])</f>
        <v>603</v>
      </c>
      <c r="R962" t="str">
        <f>IFERROR(INDEX(RiskTbl[Risk_Category],MATCH(Loans[[#This Row],[RiskScore]],RiskTbl[Score_Min],1)),"Unknown")</f>
        <v>Medium Risk</v>
      </c>
      <c r="S962" t="str">
        <f>IF(OR(Loans[[#This Row],[LoanStatus]]="Default",Loans[[#This Row],[LoanStatus]]="Watchlist",Loans[[#This Row],[CollateralRisk]]="Undersecured",Loans[[#This Row],[RiskCategory]]="High Risk"),"High Risk Exposure","Normal")</f>
        <v>Normal</v>
      </c>
      <c r="T962" t="str" cm="1">
        <f t="array" ref="T962">_xlfn.IFS(
Loans[[#This Row],[LoanStatus]]="Default","Critical",
OR(Loans[[#This Row],[LoanStatus]]="Watchlist",Loans[[#This Row],[CollateralRisk]]="Undersecured",Loans[[#This Row],[RiskCategory]]="High Risk"),"High",
TRUE,"Normal"
)</f>
        <v>Normal</v>
      </c>
    </row>
    <row r="963" spans="1:20" x14ac:dyDescent="0.35">
      <c r="A963" t="s">
        <v>1677</v>
      </c>
      <c r="B963" t="s">
        <v>958</v>
      </c>
      <c r="C963" t="s">
        <v>239</v>
      </c>
      <c r="D963" t="s">
        <v>158</v>
      </c>
      <c r="E963" s="34">
        <v>3000000</v>
      </c>
      <c r="F963" s="29">
        <v>0.18229999999999999</v>
      </c>
      <c r="G963" s="30">
        <v>44059</v>
      </c>
      <c r="H963">
        <v>48</v>
      </c>
      <c r="I963">
        <v>45</v>
      </c>
      <c r="J963" s="34">
        <v>3210000</v>
      </c>
      <c r="K963" t="s">
        <v>199</v>
      </c>
      <c r="L963" s="34">
        <f>PMT(Loans[[#This Row],[InterestRate]]/12,Loans[[#This Row],[LoanTenureMonths]],-Loans[[#This Row],[LoanAmount]])</f>
        <v>88485.963397840198</v>
      </c>
      <c r="M963" s="30">
        <f>EDATE(Loans[[#This Row],[LoanStartDate]],Loans[[#This Row],[LoanTenureMonths]])</f>
        <v>45520</v>
      </c>
      <c r="N963" s="33">
        <f>IF(Loans[[#This Row],[LoanAmount]]=0,0,Loans[[#This Row],[CollateralValue]]/Loans[[#This Row],[LoanAmount]])</f>
        <v>1.07</v>
      </c>
      <c r="O963" t="str">
        <f>IF(Loans[[#This Row],[CollateralCoverageRatio]]&lt;1,"Undersecured","Secured")</f>
        <v>Secured</v>
      </c>
      <c r="P963" t="str">
        <f>_xlfn.XLOOKUP(Loans[[#This Row],[BranchCode]],BranchesTbl[BranchCode],BranchesTbl[BranchName])</f>
        <v>Machakos</v>
      </c>
      <c r="Q963">
        <f>_xlfn.XLOOKUP(Loans[[#This Row],[CustomerID]],CustomerTbl[CustomerID],CustomerTbl[RiskScore])</f>
        <v>734</v>
      </c>
      <c r="R963" t="str">
        <f>IFERROR(INDEX(RiskTbl[Risk_Category],MATCH(Loans[[#This Row],[RiskScore]],RiskTbl[Score_Min],1)),"Unknown")</f>
        <v>Low Risk</v>
      </c>
      <c r="S963" t="str">
        <f>IF(OR(Loans[[#This Row],[LoanStatus]]="Default",Loans[[#This Row],[LoanStatus]]="Watchlist",Loans[[#This Row],[CollateralRisk]]="Undersecured",Loans[[#This Row],[RiskCategory]]="High Risk"),"High Risk Exposure","Normal")</f>
        <v>High Risk Exposure</v>
      </c>
      <c r="T963" t="str" cm="1">
        <f t="array" ref="T963">_xlfn.IFS(
Loans[[#This Row],[LoanStatus]]="Default","Critical",
OR(Loans[[#This Row],[LoanStatus]]="Watchlist",Loans[[#This Row],[CollateralRisk]]="Undersecured",Loans[[#This Row],[RiskCategory]]="High Risk"),"High",
TRUE,"Normal"
)</f>
        <v>High</v>
      </c>
    </row>
    <row r="964" spans="1:20" x14ac:dyDescent="0.35">
      <c r="A964" t="s">
        <v>1678</v>
      </c>
      <c r="B964" t="s">
        <v>1679</v>
      </c>
      <c r="C964" t="s">
        <v>187</v>
      </c>
      <c r="D964" t="s">
        <v>156</v>
      </c>
      <c r="E964" s="34">
        <v>1000000</v>
      </c>
      <c r="F964" s="29">
        <v>0.22789999999999999</v>
      </c>
      <c r="G964" s="30">
        <v>44988</v>
      </c>
      <c r="H964">
        <v>60</v>
      </c>
      <c r="I964">
        <v>20</v>
      </c>
      <c r="J964" s="34">
        <v>1410000</v>
      </c>
      <c r="K964" t="s">
        <v>171</v>
      </c>
      <c r="L964" s="34">
        <f>PMT(Loans[[#This Row],[InterestRate]]/12,Loans[[#This Row],[LoanTenureMonths]],-Loans[[#This Row],[LoanAmount]])</f>
        <v>28069.948916954978</v>
      </c>
      <c r="M964" s="30">
        <f>EDATE(Loans[[#This Row],[LoanStartDate]],Loans[[#This Row],[LoanTenureMonths]])</f>
        <v>46815</v>
      </c>
      <c r="N964" s="33">
        <f>IF(Loans[[#This Row],[LoanAmount]]=0,0,Loans[[#This Row],[CollateralValue]]/Loans[[#This Row],[LoanAmount]])</f>
        <v>1.41</v>
      </c>
      <c r="O964" t="str">
        <f>IF(Loans[[#This Row],[CollateralCoverageRatio]]&lt;1,"Undersecured","Secured")</f>
        <v>Secured</v>
      </c>
      <c r="P964" t="str">
        <f>_xlfn.XLOOKUP(Loans[[#This Row],[BranchCode]],BranchesTbl[BranchCode],BranchesTbl[BranchName])</f>
        <v>Eldoret</v>
      </c>
      <c r="Q964">
        <f>_xlfn.XLOOKUP(Loans[[#This Row],[CustomerID]],CustomerTbl[CustomerID],CustomerTbl[RiskScore])</f>
        <v>639</v>
      </c>
      <c r="R964" t="str">
        <f>IFERROR(INDEX(RiskTbl[Risk_Category],MATCH(Loans[[#This Row],[RiskScore]],RiskTbl[Score_Min],1)),"Unknown")</f>
        <v>Medium Risk</v>
      </c>
      <c r="S964" t="str">
        <f>IF(OR(Loans[[#This Row],[LoanStatus]]="Default",Loans[[#This Row],[LoanStatus]]="Watchlist",Loans[[#This Row],[CollateralRisk]]="Undersecured",Loans[[#This Row],[RiskCategory]]="High Risk"),"High Risk Exposure","Normal")</f>
        <v>Normal</v>
      </c>
      <c r="T964" t="str" cm="1">
        <f t="array" ref="T964">_xlfn.IFS(
Loans[[#This Row],[LoanStatus]]="Default","Critical",
OR(Loans[[#This Row],[LoanStatus]]="Watchlist",Loans[[#This Row],[CollateralRisk]]="Undersecured",Loans[[#This Row],[RiskCategory]]="High Risk"),"High",
TRUE,"Normal"
)</f>
        <v>Normal</v>
      </c>
    </row>
    <row r="965" spans="1:20" x14ac:dyDescent="0.35">
      <c r="A965" t="s">
        <v>1680</v>
      </c>
      <c r="B965" t="s">
        <v>1055</v>
      </c>
      <c r="C965" t="s">
        <v>174</v>
      </c>
      <c r="D965" t="s">
        <v>156</v>
      </c>
      <c r="E965" s="34">
        <v>6000000</v>
      </c>
      <c r="F965" s="29">
        <v>0.1966</v>
      </c>
      <c r="G965" s="30">
        <v>44939</v>
      </c>
      <c r="H965">
        <v>60</v>
      </c>
      <c r="I965">
        <v>20</v>
      </c>
      <c r="J965" s="34">
        <v>3720000</v>
      </c>
      <c r="K965" t="s">
        <v>171</v>
      </c>
      <c r="L965" s="34">
        <f>PMT(Loans[[#This Row],[InterestRate]]/12,Loans[[#This Row],[LoanTenureMonths]],-Loans[[#This Row],[LoanAmount]])</f>
        <v>157830.34811725348</v>
      </c>
      <c r="M965" s="30">
        <f>EDATE(Loans[[#This Row],[LoanStartDate]],Loans[[#This Row],[LoanTenureMonths]])</f>
        <v>46765</v>
      </c>
      <c r="N965" s="33">
        <f>IF(Loans[[#This Row],[LoanAmount]]=0,0,Loans[[#This Row],[CollateralValue]]/Loans[[#This Row],[LoanAmount]])</f>
        <v>0.62</v>
      </c>
      <c r="O965" t="str">
        <f>IF(Loans[[#This Row],[CollateralCoverageRatio]]&lt;1,"Undersecured","Secured")</f>
        <v>Undersecured</v>
      </c>
      <c r="P965" t="str">
        <f>_xlfn.XLOOKUP(Loans[[#This Row],[BranchCode]],BranchesTbl[BranchCode],BranchesTbl[BranchName])</f>
        <v>Westlands</v>
      </c>
      <c r="Q965">
        <f>_xlfn.XLOOKUP(Loans[[#This Row],[CustomerID]],CustomerTbl[CustomerID],CustomerTbl[RiskScore])</f>
        <v>805</v>
      </c>
      <c r="R965" t="str">
        <f>IFERROR(INDEX(RiskTbl[Risk_Category],MATCH(Loans[[#This Row],[RiskScore]],RiskTbl[Score_Min],1)),"Unknown")</f>
        <v>Prime</v>
      </c>
      <c r="S965" t="str">
        <f>IF(OR(Loans[[#This Row],[LoanStatus]]="Default",Loans[[#This Row],[LoanStatus]]="Watchlist",Loans[[#This Row],[CollateralRisk]]="Undersecured",Loans[[#This Row],[RiskCategory]]="High Risk"),"High Risk Exposure","Normal")</f>
        <v>High Risk Exposure</v>
      </c>
      <c r="T965" t="str" cm="1">
        <f t="array" ref="T965">_xlfn.IFS(
Loans[[#This Row],[LoanStatus]]="Default","Critical",
OR(Loans[[#This Row],[LoanStatus]]="Watchlist",Loans[[#This Row],[CollateralRisk]]="Undersecured",Loans[[#This Row],[RiskCategory]]="High Risk"),"High",
TRUE,"Normal"
)</f>
        <v>High</v>
      </c>
    </row>
    <row r="966" spans="1:20" x14ac:dyDescent="0.35">
      <c r="A966" t="s">
        <v>1681</v>
      </c>
      <c r="B966" t="s">
        <v>1432</v>
      </c>
      <c r="C966" t="s">
        <v>170</v>
      </c>
      <c r="D966" t="s">
        <v>156</v>
      </c>
      <c r="E966" s="34">
        <v>6000000</v>
      </c>
      <c r="F966" s="29">
        <v>0.16650000000000001</v>
      </c>
      <c r="G966" s="30">
        <v>45532</v>
      </c>
      <c r="H966">
        <v>24</v>
      </c>
      <c r="I966">
        <v>20</v>
      </c>
      <c r="J966" s="34">
        <v>3540000</v>
      </c>
      <c r="K966" t="s">
        <v>171</v>
      </c>
      <c r="L966" s="34">
        <f>PMT(Loans[[#This Row],[InterestRate]]/12,Loans[[#This Row],[LoanTenureMonths]],-Loans[[#This Row],[LoanAmount]])</f>
        <v>295645.52786856552</v>
      </c>
      <c r="M966" s="30">
        <f>EDATE(Loans[[#This Row],[LoanStartDate]],Loans[[#This Row],[LoanTenureMonths]])</f>
        <v>46262</v>
      </c>
      <c r="N966" s="33">
        <f>IF(Loans[[#This Row],[LoanAmount]]=0,0,Loans[[#This Row],[CollateralValue]]/Loans[[#This Row],[LoanAmount]])</f>
        <v>0.59</v>
      </c>
      <c r="O966" t="str">
        <f>IF(Loans[[#This Row],[CollateralCoverageRatio]]&lt;1,"Undersecured","Secured")</f>
        <v>Undersecured</v>
      </c>
      <c r="P966" t="str">
        <f>_xlfn.XLOOKUP(Loans[[#This Row],[BranchCode]],BranchesTbl[BranchCode],BranchesTbl[BranchName])</f>
        <v>Thika</v>
      </c>
      <c r="Q966">
        <f>_xlfn.XLOOKUP(Loans[[#This Row],[CustomerID]],CustomerTbl[CustomerID],CustomerTbl[RiskScore])</f>
        <v>807</v>
      </c>
      <c r="R966" t="str">
        <f>IFERROR(INDEX(RiskTbl[Risk_Category],MATCH(Loans[[#This Row],[RiskScore]],RiskTbl[Score_Min],1)),"Unknown")</f>
        <v>Prime</v>
      </c>
      <c r="S966" t="str">
        <f>IF(OR(Loans[[#This Row],[LoanStatus]]="Default",Loans[[#This Row],[LoanStatus]]="Watchlist",Loans[[#This Row],[CollateralRisk]]="Undersecured",Loans[[#This Row],[RiskCategory]]="High Risk"),"High Risk Exposure","Normal")</f>
        <v>High Risk Exposure</v>
      </c>
      <c r="T966" t="str" cm="1">
        <f t="array" ref="T966">_xlfn.IFS(
Loans[[#This Row],[LoanStatus]]="Default","Critical",
OR(Loans[[#This Row],[LoanStatus]]="Watchlist",Loans[[#This Row],[CollateralRisk]]="Undersecured",Loans[[#This Row],[RiskCategory]]="High Risk"),"High",
TRUE,"Normal"
)</f>
        <v>High</v>
      </c>
    </row>
    <row r="967" spans="1:20" x14ac:dyDescent="0.35">
      <c r="A967" t="s">
        <v>1682</v>
      </c>
      <c r="B967" t="s">
        <v>1683</v>
      </c>
      <c r="C967" t="s">
        <v>184</v>
      </c>
      <c r="D967" t="s">
        <v>155</v>
      </c>
      <c r="E967" s="34">
        <v>1000000</v>
      </c>
      <c r="F967" s="29">
        <v>0.19689999999999999</v>
      </c>
      <c r="G967" s="30">
        <v>44490</v>
      </c>
      <c r="H967">
        <v>36</v>
      </c>
      <c r="I967">
        <v>10</v>
      </c>
      <c r="J967" s="34">
        <v>0</v>
      </c>
      <c r="K967" t="s">
        <v>171</v>
      </c>
      <c r="L967" s="34">
        <f>PMT(Loans[[#This Row],[InterestRate]]/12,Loans[[#This Row],[LoanTenureMonths]],-Loans[[#This Row],[LoanAmount]])</f>
        <v>37005.818551411532</v>
      </c>
      <c r="M967" s="30">
        <f>EDATE(Loans[[#This Row],[LoanStartDate]],Loans[[#This Row],[LoanTenureMonths]])</f>
        <v>45586</v>
      </c>
      <c r="N967" s="33">
        <f>IF(Loans[[#This Row],[LoanAmount]]=0,0,Loans[[#This Row],[CollateralValue]]/Loans[[#This Row],[LoanAmount]])</f>
        <v>0</v>
      </c>
      <c r="O967" t="str">
        <f>IF(Loans[[#This Row],[CollateralCoverageRatio]]&lt;1,"Undersecured","Secured")</f>
        <v>Undersecured</v>
      </c>
      <c r="P967" t="str">
        <f>_xlfn.XLOOKUP(Loans[[#This Row],[BranchCode]],BranchesTbl[BranchCode],BranchesTbl[BranchName])</f>
        <v>Kisumu</v>
      </c>
      <c r="Q967">
        <f>_xlfn.XLOOKUP(Loans[[#This Row],[CustomerID]],CustomerTbl[CustomerID],CustomerTbl[RiskScore])</f>
        <v>322</v>
      </c>
      <c r="R967" t="str">
        <f>IFERROR(INDEX(RiskTbl[Risk_Category],MATCH(Loans[[#This Row],[RiskScore]],RiskTbl[Score_Min],1)),"Unknown")</f>
        <v>High Risk</v>
      </c>
      <c r="S967" t="str">
        <f>IF(OR(Loans[[#This Row],[LoanStatus]]="Default",Loans[[#This Row],[LoanStatus]]="Watchlist",Loans[[#This Row],[CollateralRisk]]="Undersecured",Loans[[#This Row],[RiskCategory]]="High Risk"),"High Risk Exposure","Normal")</f>
        <v>High Risk Exposure</v>
      </c>
      <c r="T967" t="str" cm="1">
        <f t="array" ref="T967">_xlfn.IFS(
Loans[[#This Row],[LoanStatus]]="Default","Critical",
OR(Loans[[#This Row],[LoanStatus]]="Watchlist",Loans[[#This Row],[CollateralRisk]]="Undersecured",Loans[[#This Row],[RiskCategory]]="High Risk"),"High",
TRUE,"Normal"
)</f>
        <v>High</v>
      </c>
    </row>
    <row r="968" spans="1:20" x14ac:dyDescent="0.35">
      <c r="A968" t="s">
        <v>1684</v>
      </c>
      <c r="B968" t="s">
        <v>1272</v>
      </c>
      <c r="C968" t="s">
        <v>219</v>
      </c>
      <c r="D968" t="s">
        <v>155</v>
      </c>
      <c r="E968" s="34">
        <v>250000</v>
      </c>
      <c r="F968" s="29">
        <v>0.25679999999999997</v>
      </c>
      <c r="G968" s="30">
        <v>44009</v>
      </c>
      <c r="H968">
        <v>72</v>
      </c>
      <c r="I968">
        <v>0</v>
      </c>
      <c r="J968" s="34">
        <v>0</v>
      </c>
      <c r="K968" t="s">
        <v>171</v>
      </c>
      <c r="L968" s="34">
        <f>PMT(Loans[[#This Row],[InterestRate]]/12,Loans[[#This Row],[LoanTenureMonths]],-Loans[[#This Row],[LoanAmount]])</f>
        <v>6838.984452533492</v>
      </c>
      <c r="M968" s="30">
        <f>EDATE(Loans[[#This Row],[LoanStartDate]],Loans[[#This Row],[LoanTenureMonths]])</f>
        <v>46200</v>
      </c>
      <c r="N968" s="33">
        <f>IF(Loans[[#This Row],[LoanAmount]]=0,0,Loans[[#This Row],[CollateralValue]]/Loans[[#This Row],[LoanAmount]])</f>
        <v>0</v>
      </c>
      <c r="O968" t="str">
        <f>IF(Loans[[#This Row],[CollateralCoverageRatio]]&lt;1,"Undersecured","Secured")</f>
        <v>Undersecured</v>
      </c>
      <c r="P968" t="str">
        <f>_xlfn.XLOOKUP(Loans[[#This Row],[BranchCode]],BranchesTbl[BranchCode],BranchesTbl[BranchName])</f>
        <v>Meru</v>
      </c>
      <c r="Q968">
        <f>_xlfn.XLOOKUP(Loans[[#This Row],[CustomerID]],CustomerTbl[CustomerID],CustomerTbl[RiskScore])</f>
        <v>667</v>
      </c>
      <c r="R968" t="str">
        <f>IFERROR(INDEX(RiskTbl[Risk_Category],MATCH(Loans[[#This Row],[RiskScore]],RiskTbl[Score_Min],1)),"Unknown")</f>
        <v>Medium Risk</v>
      </c>
      <c r="S968" t="str">
        <f>IF(OR(Loans[[#This Row],[LoanStatus]]="Default",Loans[[#This Row],[LoanStatus]]="Watchlist",Loans[[#This Row],[CollateralRisk]]="Undersecured",Loans[[#This Row],[RiskCategory]]="High Risk"),"High Risk Exposure","Normal")</f>
        <v>High Risk Exposure</v>
      </c>
      <c r="T968" t="str" cm="1">
        <f t="array" ref="T968">_xlfn.IFS(
Loans[[#This Row],[LoanStatus]]="Default","Critical",
OR(Loans[[#This Row],[LoanStatus]]="Watchlist",Loans[[#This Row],[CollateralRisk]]="Undersecured",Loans[[#This Row],[RiskCategory]]="High Risk"),"High",
TRUE,"Normal"
)</f>
        <v>High</v>
      </c>
    </row>
    <row r="969" spans="1:20" x14ac:dyDescent="0.35">
      <c r="A969" t="s">
        <v>1685</v>
      </c>
      <c r="B969" t="s">
        <v>594</v>
      </c>
      <c r="C969" t="s">
        <v>190</v>
      </c>
      <c r="D969" t="s">
        <v>155</v>
      </c>
      <c r="E969" s="34">
        <v>500000</v>
      </c>
      <c r="F969" s="29">
        <v>0.17180000000000001</v>
      </c>
      <c r="G969" s="30">
        <v>45268</v>
      </c>
      <c r="H969">
        <v>72</v>
      </c>
      <c r="I969">
        <v>0</v>
      </c>
      <c r="J969" s="34">
        <v>0</v>
      </c>
      <c r="K969" t="s">
        <v>171</v>
      </c>
      <c r="L969" s="34">
        <f>PMT(Loans[[#This Row],[InterestRate]]/12,Loans[[#This Row],[LoanTenureMonths]],-Loans[[#This Row],[LoanAmount]])</f>
        <v>11173.344429319084</v>
      </c>
      <c r="M969" s="30">
        <f>EDATE(Loans[[#This Row],[LoanStartDate]],Loans[[#This Row],[LoanTenureMonths]])</f>
        <v>47460</v>
      </c>
      <c r="N969" s="33">
        <f>IF(Loans[[#This Row],[LoanAmount]]=0,0,Loans[[#This Row],[CollateralValue]]/Loans[[#This Row],[LoanAmount]])</f>
        <v>0</v>
      </c>
      <c r="O969" t="str">
        <f>IF(Loans[[#This Row],[CollateralCoverageRatio]]&lt;1,"Undersecured","Secured")</f>
        <v>Undersecured</v>
      </c>
      <c r="P969" t="str">
        <f>_xlfn.XLOOKUP(Loans[[#This Row],[BranchCode]],BranchesTbl[BranchCode],BranchesTbl[BranchName])</f>
        <v>Nyeri</v>
      </c>
      <c r="Q969">
        <f>_xlfn.XLOOKUP(Loans[[#This Row],[CustomerID]],CustomerTbl[CustomerID],CustomerTbl[RiskScore])</f>
        <v>789</v>
      </c>
      <c r="R969" t="str">
        <f>IFERROR(INDEX(RiskTbl[Risk_Category],MATCH(Loans[[#This Row],[RiskScore]],RiskTbl[Score_Min],1)),"Unknown")</f>
        <v>Very Low Risk</v>
      </c>
      <c r="S969" t="str">
        <f>IF(OR(Loans[[#This Row],[LoanStatus]]="Default",Loans[[#This Row],[LoanStatus]]="Watchlist",Loans[[#This Row],[CollateralRisk]]="Undersecured",Loans[[#This Row],[RiskCategory]]="High Risk"),"High Risk Exposure","Normal")</f>
        <v>High Risk Exposure</v>
      </c>
      <c r="T969" t="str" cm="1">
        <f t="array" ref="T969">_xlfn.IFS(
Loans[[#This Row],[LoanStatus]]="Default","Critical",
OR(Loans[[#This Row],[LoanStatus]]="Watchlist",Loans[[#This Row],[CollateralRisk]]="Undersecured",Loans[[#This Row],[RiskCategory]]="High Risk"),"High",
TRUE,"Normal"
)</f>
        <v>High</v>
      </c>
    </row>
    <row r="970" spans="1:20" x14ac:dyDescent="0.35">
      <c r="A970" t="s">
        <v>1686</v>
      </c>
      <c r="B970" t="s">
        <v>551</v>
      </c>
      <c r="C970" t="s">
        <v>239</v>
      </c>
      <c r="D970" t="s">
        <v>158</v>
      </c>
      <c r="E970" s="34">
        <v>1000000</v>
      </c>
      <c r="F970" s="29">
        <v>0.193</v>
      </c>
      <c r="G970" s="30">
        <v>44281</v>
      </c>
      <c r="H970">
        <v>24</v>
      </c>
      <c r="I970">
        <v>90</v>
      </c>
      <c r="J970" s="34">
        <v>1430000</v>
      </c>
      <c r="K970" t="s">
        <v>199</v>
      </c>
      <c r="L970" s="34">
        <f>PMT(Loans[[#This Row],[InterestRate]]/12,Loans[[#This Row],[LoanTenureMonths]],-Loans[[#This Row],[LoanAmount]])</f>
        <v>50554.492794601596</v>
      </c>
      <c r="M970" s="30">
        <f>EDATE(Loans[[#This Row],[LoanStartDate]],Loans[[#This Row],[LoanTenureMonths]])</f>
        <v>45011</v>
      </c>
      <c r="N970" s="33">
        <f>IF(Loans[[#This Row],[LoanAmount]]=0,0,Loans[[#This Row],[CollateralValue]]/Loans[[#This Row],[LoanAmount]])</f>
        <v>1.43</v>
      </c>
      <c r="O970" t="str">
        <f>IF(Loans[[#This Row],[CollateralCoverageRatio]]&lt;1,"Undersecured","Secured")</f>
        <v>Secured</v>
      </c>
      <c r="P970" t="str">
        <f>_xlfn.XLOOKUP(Loans[[#This Row],[BranchCode]],BranchesTbl[BranchCode],BranchesTbl[BranchName])</f>
        <v>Machakos</v>
      </c>
      <c r="Q970">
        <f>_xlfn.XLOOKUP(Loans[[#This Row],[CustomerID]],CustomerTbl[CustomerID],CustomerTbl[RiskScore])</f>
        <v>724</v>
      </c>
      <c r="R970" t="str">
        <f>IFERROR(INDEX(RiskTbl[Risk_Category],MATCH(Loans[[#This Row],[RiskScore]],RiskTbl[Score_Min],1)),"Unknown")</f>
        <v>Low Risk</v>
      </c>
      <c r="S970" t="str">
        <f>IF(OR(Loans[[#This Row],[LoanStatus]]="Default",Loans[[#This Row],[LoanStatus]]="Watchlist",Loans[[#This Row],[CollateralRisk]]="Undersecured",Loans[[#This Row],[RiskCategory]]="High Risk"),"High Risk Exposure","Normal")</f>
        <v>High Risk Exposure</v>
      </c>
      <c r="T970" t="str" cm="1">
        <f t="array" ref="T970">_xlfn.IFS(
Loans[[#This Row],[LoanStatus]]="Default","Critical",
OR(Loans[[#This Row],[LoanStatus]]="Watchlist",Loans[[#This Row],[CollateralRisk]]="Undersecured",Loans[[#This Row],[RiskCategory]]="High Risk"),"High",
TRUE,"Normal"
)</f>
        <v>High</v>
      </c>
    </row>
    <row r="971" spans="1:20" x14ac:dyDescent="0.35">
      <c r="A971" t="s">
        <v>1687</v>
      </c>
      <c r="B971" t="s">
        <v>180</v>
      </c>
      <c r="C971" t="s">
        <v>187</v>
      </c>
      <c r="D971" t="s">
        <v>156</v>
      </c>
      <c r="E971" s="34">
        <v>1000000</v>
      </c>
      <c r="F971" s="29">
        <v>0.23899999999999999</v>
      </c>
      <c r="G971" s="30">
        <v>44078</v>
      </c>
      <c r="H971">
        <v>36</v>
      </c>
      <c r="I971">
        <v>0</v>
      </c>
      <c r="J971" s="34">
        <v>1420000</v>
      </c>
      <c r="K971" t="s">
        <v>171</v>
      </c>
      <c r="L971" s="34">
        <f>PMT(Loans[[#This Row],[InterestRate]]/12,Loans[[#This Row],[LoanTenureMonths]],-Loans[[#This Row],[LoanAmount]])</f>
        <v>39180.366251107189</v>
      </c>
      <c r="M971" s="30">
        <f>EDATE(Loans[[#This Row],[LoanStartDate]],Loans[[#This Row],[LoanTenureMonths]])</f>
        <v>45173</v>
      </c>
      <c r="N971" s="33">
        <f>IF(Loans[[#This Row],[LoanAmount]]=0,0,Loans[[#This Row],[CollateralValue]]/Loans[[#This Row],[LoanAmount]])</f>
        <v>1.42</v>
      </c>
      <c r="O971" t="str">
        <f>IF(Loans[[#This Row],[CollateralCoverageRatio]]&lt;1,"Undersecured","Secured")</f>
        <v>Secured</v>
      </c>
      <c r="P971" t="str">
        <f>_xlfn.XLOOKUP(Loans[[#This Row],[BranchCode]],BranchesTbl[BranchCode],BranchesTbl[BranchName])</f>
        <v>Eldoret</v>
      </c>
      <c r="Q971">
        <f>_xlfn.XLOOKUP(Loans[[#This Row],[CustomerID]],CustomerTbl[CustomerID],CustomerTbl[RiskScore])</f>
        <v>632</v>
      </c>
      <c r="R971" t="str">
        <f>IFERROR(INDEX(RiskTbl[Risk_Category],MATCH(Loans[[#This Row],[RiskScore]],RiskTbl[Score_Min],1)),"Unknown")</f>
        <v>Medium Risk</v>
      </c>
      <c r="S971" t="str">
        <f>IF(OR(Loans[[#This Row],[LoanStatus]]="Default",Loans[[#This Row],[LoanStatus]]="Watchlist",Loans[[#This Row],[CollateralRisk]]="Undersecured",Loans[[#This Row],[RiskCategory]]="High Risk"),"High Risk Exposure","Normal")</f>
        <v>Normal</v>
      </c>
      <c r="T971" t="str" cm="1">
        <f t="array" ref="T971">_xlfn.IFS(
Loans[[#This Row],[LoanStatus]]="Default","Critical",
OR(Loans[[#This Row],[LoanStatus]]="Watchlist",Loans[[#This Row],[CollateralRisk]]="Undersecured",Loans[[#This Row],[RiskCategory]]="High Risk"),"High",
TRUE,"Normal"
)</f>
        <v>Normal</v>
      </c>
    </row>
    <row r="972" spans="1:20" x14ac:dyDescent="0.35">
      <c r="A972" t="s">
        <v>1688</v>
      </c>
      <c r="B972" t="s">
        <v>1045</v>
      </c>
      <c r="C972" t="s">
        <v>187</v>
      </c>
      <c r="D972" t="s">
        <v>157</v>
      </c>
      <c r="E972" s="34">
        <v>80000000</v>
      </c>
      <c r="F972" s="29">
        <v>0.1179</v>
      </c>
      <c r="G972" s="30">
        <v>45872</v>
      </c>
      <c r="H972">
        <v>48</v>
      </c>
      <c r="I972">
        <v>120</v>
      </c>
      <c r="J972" s="34">
        <v>94400000</v>
      </c>
      <c r="K972" t="s">
        <v>178</v>
      </c>
      <c r="L972" s="34">
        <f>PMT(Loans[[#This Row],[InterestRate]]/12,Loans[[#This Row],[LoanTenureMonths]],-Loans[[#This Row],[LoanAmount]])</f>
        <v>2098467.6208135397</v>
      </c>
      <c r="M972" s="30">
        <f>EDATE(Loans[[#This Row],[LoanStartDate]],Loans[[#This Row],[LoanTenureMonths]])</f>
        <v>47333</v>
      </c>
      <c r="N972" s="33">
        <f>IF(Loans[[#This Row],[LoanAmount]]=0,0,Loans[[#This Row],[CollateralValue]]/Loans[[#This Row],[LoanAmount]])</f>
        <v>1.18</v>
      </c>
      <c r="O972" t="str">
        <f>IF(Loans[[#This Row],[CollateralCoverageRatio]]&lt;1,"Undersecured","Secured")</f>
        <v>Secured</v>
      </c>
      <c r="P972" t="str">
        <f>_xlfn.XLOOKUP(Loans[[#This Row],[BranchCode]],BranchesTbl[BranchCode],BranchesTbl[BranchName])</f>
        <v>Eldoret</v>
      </c>
      <c r="Q972">
        <f>_xlfn.XLOOKUP(Loans[[#This Row],[CustomerID]],CustomerTbl[CustomerID],CustomerTbl[RiskScore])</f>
        <v>308</v>
      </c>
      <c r="R972" t="str">
        <f>IFERROR(INDEX(RiskTbl[Risk_Category],MATCH(Loans[[#This Row],[RiskScore]],RiskTbl[Score_Min],1)),"Unknown")</f>
        <v>High Risk</v>
      </c>
      <c r="S972" t="str">
        <f>IF(OR(Loans[[#This Row],[LoanStatus]]="Default",Loans[[#This Row],[LoanStatus]]="Watchlist",Loans[[#This Row],[CollateralRisk]]="Undersecured",Loans[[#This Row],[RiskCategory]]="High Risk"),"High Risk Exposure","Normal")</f>
        <v>High Risk Exposure</v>
      </c>
      <c r="T972" t="str" cm="1">
        <f t="array" ref="T972">_xlfn.IFS(
Loans[[#This Row],[LoanStatus]]="Default","Critical",
OR(Loans[[#This Row],[LoanStatus]]="Watchlist",Loans[[#This Row],[CollateralRisk]]="Undersecured",Loans[[#This Row],[RiskCategory]]="High Risk"),"High",
TRUE,"Normal"
)</f>
        <v>Critical</v>
      </c>
    </row>
    <row r="973" spans="1:20" x14ac:dyDescent="0.35">
      <c r="A973" t="s">
        <v>1689</v>
      </c>
      <c r="B973" t="s">
        <v>1075</v>
      </c>
      <c r="C973" t="s">
        <v>190</v>
      </c>
      <c r="D973" t="s">
        <v>156</v>
      </c>
      <c r="E973" s="34">
        <v>1000000</v>
      </c>
      <c r="F973" s="29">
        <v>0.1537</v>
      </c>
      <c r="G973" s="30">
        <v>45265</v>
      </c>
      <c r="H973">
        <v>48</v>
      </c>
      <c r="I973">
        <v>45</v>
      </c>
      <c r="J973" s="34">
        <v>1030000</v>
      </c>
      <c r="K973" t="s">
        <v>199</v>
      </c>
      <c r="L973" s="34">
        <f>PMT(Loans[[#This Row],[InterestRate]]/12,Loans[[#This Row],[LoanTenureMonths]],-Loans[[#This Row],[LoanAmount]])</f>
        <v>28018.66382596222</v>
      </c>
      <c r="M973" s="30">
        <f>EDATE(Loans[[#This Row],[LoanStartDate]],Loans[[#This Row],[LoanTenureMonths]])</f>
        <v>46726</v>
      </c>
      <c r="N973" s="33">
        <f>IF(Loans[[#This Row],[LoanAmount]]=0,0,Loans[[#This Row],[CollateralValue]]/Loans[[#This Row],[LoanAmount]])</f>
        <v>1.03</v>
      </c>
      <c r="O973" t="str">
        <f>IF(Loans[[#This Row],[CollateralCoverageRatio]]&lt;1,"Undersecured","Secured")</f>
        <v>Secured</v>
      </c>
      <c r="P973" t="str">
        <f>_xlfn.XLOOKUP(Loans[[#This Row],[BranchCode]],BranchesTbl[BranchCode],BranchesTbl[BranchName])</f>
        <v>Nyeri</v>
      </c>
      <c r="Q973">
        <f>_xlfn.XLOOKUP(Loans[[#This Row],[CustomerID]],CustomerTbl[CustomerID],CustomerTbl[RiskScore])</f>
        <v>813</v>
      </c>
      <c r="R973" t="str">
        <f>IFERROR(INDEX(RiskTbl[Risk_Category],MATCH(Loans[[#This Row],[RiskScore]],RiskTbl[Score_Min],1)),"Unknown")</f>
        <v>Prime</v>
      </c>
      <c r="S973" t="str">
        <f>IF(OR(Loans[[#This Row],[LoanStatus]]="Default",Loans[[#This Row],[LoanStatus]]="Watchlist",Loans[[#This Row],[CollateralRisk]]="Undersecured",Loans[[#This Row],[RiskCategory]]="High Risk"),"High Risk Exposure","Normal")</f>
        <v>High Risk Exposure</v>
      </c>
      <c r="T973" t="str" cm="1">
        <f t="array" ref="T973">_xlfn.IFS(
Loans[[#This Row],[LoanStatus]]="Default","Critical",
OR(Loans[[#This Row],[LoanStatus]]="Watchlist",Loans[[#This Row],[CollateralRisk]]="Undersecured",Loans[[#This Row],[RiskCategory]]="High Risk"),"High",
TRUE,"Normal"
)</f>
        <v>High</v>
      </c>
    </row>
    <row r="974" spans="1:20" x14ac:dyDescent="0.35">
      <c r="A974" t="s">
        <v>1690</v>
      </c>
      <c r="B974" t="s">
        <v>754</v>
      </c>
      <c r="C974" t="s">
        <v>219</v>
      </c>
      <c r="D974" t="s">
        <v>157</v>
      </c>
      <c r="E974" s="34">
        <v>25000000</v>
      </c>
      <c r="F974" s="29">
        <v>0.1244</v>
      </c>
      <c r="G974" s="30">
        <v>46003</v>
      </c>
      <c r="H974">
        <v>12</v>
      </c>
      <c r="I974">
        <v>20</v>
      </c>
      <c r="J974" s="34">
        <v>19000000</v>
      </c>
      <c r="K974" t="s">
        <v>171</v>
      </c>
      <c r="L974" s="34">
        <f>PMT(Loans[[#This Row],[InterestRate]]/12,Loans[[#This Row],[LoanTenureMonths]],-Loans[[#This Row],[LoanAmount]])</f>
        <v>2226368.8981054733</v>
      </c>
      <c r="M974" s="30">
        <f>EDATE(Loans[[#This Row],[LoanStartDate]],Loans[[#This Row],[LoanTenureMonths]])</f>
        <v>46368</v>
      </c>
      <c r="N974" s="33">
        <f>IF(Loans[[#This Row],[LoanAmount]]=0,0,Loans[[#This Row],[CollateralValue]]/Loans[[#This Row],[LoanAmount]])</f>
        <v>0.76</v>
      </c>
      <c r="O974" t="str">
        <f>IF(Loans[[#This Row],[CollateralCoverageRatio]]&lt;1,"Undersecured","Secured")</f>
        <v>Undersecured</v>
      </c>
      <c r="P974" t="str">
        <f>_xlfn.XLOOKUP(Loans[[#This Row],[BranchCode]],BranchesTbl[BranchCode],BranchesTbl[BranchName])</f>
        <v>Meru</v>
      </c>
      <c r="Q974">
        <f>_xlfn.XLOOKUP(Loans[[#This Row],[CustomerID]],CustomerTbl[CustomerID],CustomerTbl[RiskScore])</f>
        <v>663</v>
      </c>
      <c r="R974" t="str">
        <f>IFERROR(INDEX(RiskTbl[Risk_Category],MATCH(Loans[[#This Row],[RiskScore]],RiskTbl[Score_Min],1)),"Unknown")</f>
        <v>Medium Risk</v>
      </c>
      <c r="S974" t="str">
        <f>IF(OR(Loans[[#This Row],[LoanStatus]]="Default",Loans[[#This Row],[LoanStatus]]="Watchlist",Loans[[#This Row],[CollateralRisk]]="Undersecured",Loans[[#This Row],[RiskCategory]]="High Risk"),"High Risk Exposure","Normal")</f>
        <v>High Risk Exposure</v>
      </c>
      <c r="T974" t="str" cm="1">
        <f t="array" ref="T974">_xlfn.IFS(
Loans[[#This Row],[LoanStatus]]="Default","Critical",
OR(Loans[[#This Row],[LoanStatus]]="Watchlist",Loans[[#This Row],[CollateralRisk]]="Undersecured",Loans[[#This Row],[RiskCategory]]="High Risk"),"High",
TRUE,"Normal"
)</f>
        <v>High</v>
      </c>
    </row>
    <row r="975" spans="1:20" x14ac:dyDescent="0.35">
      <c r="A975" t="s">
        <v>1691</v>
      </c>
      <c r="B975" t="s">
        <v>1692</v>
      </c>
      <c r="C975" t="s">
        <v>239</v>
      </c>
      <c r="D975" t="s">
        <v>155</v>
      </c>
      <c r="E975" s="34">
        <v>100000</v>
      </c>
      <c r="F975" s="29">
        <v>0.19769999999999999</v>
      </c>
      <c r="G975" s="30">
        <v>45268</v>
      </c>
      <c r="H975">
        <v>60</v>
      </c>
      <c r="I975">
        <v>90</v>
      </c>
      <c r="J975" s="34">
        <v>0</v>
      </c>
      <c r="K975" t="s">
        <v>199</v>
      </c>
      <c r="L975" s="34">
        <f>PMT(Loans[[#This Row],[InterestRate]]/12,Loans[[#This Row],[LoanTenureMonths]],-Loans[[#This Row],[LoanAmount]])</f>
        <v>2636.6070809038538</v>
      </c>
      <c r="M975" s="30">
        <f>EDATE(Loans[[#This Row],[LoanStartDate]],Loans[[#This Row],[LoanTenureMonths]])</f>
        <v>47095</v>
      </c>
      <c r="N975" s="33">
        <f>IF(Loans[[#This Row],[LoanAmount]]=0,0,Loans[[#This Row],[CollateralValue]]/Loans[[#This Row],[LoanAmount]])</f>
        <v>0</v>
      </c>
      <c r="O975" t="str">
        <f>IF(Loans[[#This Row],[CollateralCoverageRatio]]&lt;1,"Undersecured","Secured")</f>
        <v>Undersecured</v>
      </c>
      <c r="P975" t="str">
        <f>_xlfn.XLOOKUP(Loans[[#This Row],[BranchCode]],BranchesTbl[BranchCode],BranchesTbl[BranchName])</f>
        <v>Machakos</v>
      </c>
      <c r="Q975">
        <f>_xlfn.XLOOKUP(Loans[[#This Row],[CustomerID]],CustomerTbl[CustomerID],CustomerTbl[RiskScore])</f>
        <v>428</v>
      </c>
      <c r="R975" t="str">
        <f>IFERROR(INDEX(RiskTbl[Risk_Category],MATCH(Loans[[#This Row],[RiskScore]],RiskTbl[Score_Min],1)),"Unknown")</f>
        <v>High Risk</v>
      </c>
      <c r="S975" t="str">
        <f>IF(OR(Loans[[#This Row],[LoanStatus]]="Default",Loans[[#This Row],[LoanStatus]]="Watchlist",Loans[[#This Row],[CollateralRisk]]="Undersecured",Loans[[#This Row],[RiskCategory]]="High Risk"),"High Risk Exposure","Normal")</f>
        <v>High Risk Exposure</v>
      </c>
      <c r="T975" t="str" cm="1">
        <f t="array" ref="T975">_xlfn.IFS(
Loans[[#This Row],[LoanStatus]]="Default","Critical",
OR(Loans[[#This Row],[LoanStatus]]="Watchlist",Loans[[#This Row],[CollateralRisk]]="Undersecured",Loans[[#This Row],[RiskCategory]]="High Risk"),"High",
TRUE,"Normal"
)</f>
        <v>High</v>
      </c>
    </row>
    <row r="976" spans="1:20" x14ac:dyDescent="0.35">
      <c r="A976" t="s">
        <v>1693</v>
      </c>
      <c r="B976" t="s">
        <v>1263</v>
      </c>
      <c r="C976" t="s">
        <v>206</v>
      </c>
      <c r="D976" t="s">
        <v>156</v>
      </c>
      <c r="E976" s="34">
        <v>6000000</v>
      </c>
      <c r="F976" s="29">
        <v>0.1633</v>
      </c>
      <c r="G976" s="30">
        <v>45143</v>
      </c>
      <c r="H976">
        <v>72</v>
      </c>
      <c r="I976">
        <v>5</v>
      </c>
      <c r="J976" s="34">
        <v>5700000</v>
      </c>
      <c r="K976" t="s">
        <v>171</v>
      </c>
      <c r="L976" s="34">
        <f>PMT(Loans[[#This Row],[InterestRate]]/12,Loans[[#This Row],[LoanTenureMonths]],-Loans[[#This Row],[LoanAmount]])</f>
        <v>131243.61565566011</v>
      </c>
      <c r="M976" s="30">
        <f>EDATE(Loans[[#This Row],[LoanStartDate]],Loans[[#This Row],[LoanTenureMonths]])</f>
        <v>47335</v>
      </c>
      <c r="N976" s="33">
        <f>IF(Loans[[#This Row],[LoanAmount]]=0,0,Loans[[#This Row],[CollateralValue]]/Loans[[#This Row],[LoanAmount]])</f>
        <v>0.95</v>
      </c>
      <c r="O976" t="str">
        <f>IF(Loans[[#This Row],[CollateralCoverageRatio]]&lt;1,"Undersecured","Secured")</f>
        <v>Undersecured</v>
      </c>
      <c r="P976" t="str">
        <f>_xlfn.XLOOKUP(Loans[[#This Row],[BranchCode]],BranchesTbl[BranchCode],BranchesTbl[BranchName])</f>
        <v>Nyahururu</v>
      </c>
      <c r="Q976">
        <f>_xlfn.XLOOKUP(Loans[[#This Row],[CustomerID]],CustomerTbl[CustomerID],CustomerTbl[RiskScore])</f>
        <v>486</v>
      </c>
      <c r="R976" t="str">
        <f>IFERROR(INDEX(RiskTbl[Risk_Category],MATCH(Loans[[#This Row],[RiskScore]],RiskTbl[Score_Min],1)),"Unknown")</f>
        <v>High Risk</v>
      </c>
      <c r="S976" t="str">
        <f>IF(OR(Loans[[#This Row],[LoanStatus]]="Default",Loans[[#This Row],[LoanStatus]]="Watchlist",Loans[[#This Row],[CollateralRisk]]="Undersecured",Loans[[#This Row],[RiskCategory]]="High Risk"),"High Risk Exposure","Normal")</f>
        <v>High Risk Exposure</v>
      </c>
      <c r="T976" t="str" cm="1">
        <f t="array" ref="T976">_xlfn.IFS(
Loans[[#This Row],[LoanStatus]]="Default","Critical",
OR(Loans[[#This Row],[LoanStatus]]="Watchlist",Loans[[#This Row],[CollateralRisk]]="Undersecured",Loans[[#This Row],[RiskCategory]]="High Risk"),"High",
TRUE,"Normal"
)</f>
        <v>High</v>
      </c>
    </row>
    <row r="977" spans="1:20" x14ac:dyDescent="0.35">
      <c r="A977" t="s">
        <v>1694</v>
      </c>
      <c r="B977" t="s">
        <v>1003</v>
      </c>
      <c r="C977" t="s">
        <v>193</v>
      </c>
      <c r="D977" t="s">
        <v>155</v>
      </c>
      <c r="E977" s="34">
        <v>250000</v>
      </c>
      <c r="F977" s="29">
        <v>0.27450000000000002</v>
      </c>
      <c r="G977" s="30">
        <v>44946</v>
      </c>
      <c r="H977">
        <v>36</v>
      </c>
      <c r="I977">
        <v>5</v>
      </c>
      <c r="J977" s="34">
        <v>0</v>
      </c>
      <c r="K977" t="s">
        <v>171</v>
      </c>
      <c r="L977" s="34">
        <f>PMT(Loans[[#This Row],[InterestRate]]/12,Loans[[#This Row],[LoanTenureMonths]],-Loans[[#This Row],[LoanAmount]])</f>
        <v>10266.75414058923</v>
      </c>
      <c r="M977" s="30">
        <f>EDATE(Loans[[#This Row],[LoanStartDate]],Loans[[#This Row],[LoanTenureMonths]])</f>
        <v>46042</v>
      </c>
      <c r="N977" s="33">
        <f>IF(Loans[[#This Row],[LoanAmount]]=0,0,Loans[[#This Row],[CollateralValue]]/Loans[[#This Row],[LoanAmount]])</f>
        <v>0</v>
      </c>
      <c r="O977" t="str">
        <f>IF(Loans[[#This Row],[CollateralCoverageRatio]]&lt;1,"Undersecured","Secured")</f>
        <v>Undersecured</v>
      </c>
      <c r="P977" t="str">
        <f>_xlfn.XLOOKUP(Loans[[#This Row],[BranchCode]],BranchesTbl[BranchCode],BranchesTbl[BranchName])</f>
        <v>Mombasa</v>
      </c>
      <c r="Q977">
        <f>_xlfn.XLOOKUP(Loans[[#This Row],[CustomerID]],CustomerTbl[CustomerID],CustomerTbl[RiskScore])</f>
        <v>844</v>
      </c>
      <c r="R977" t="str">
        <f>IFERROR(INDEX(RiskTbl[Risk_Category],MATCH(Loans[[#This Row],[RiskScore]],RiskTbl[Score_Min],1)),"Unknown")</f>
        <v>Prime</v>
      </c>
      <c r="S977" t="str">
        <f>IF(OR(Loans[[#This Row],[LoanStatus]]="Default",Loans[[#This Row],[LoanStatus]]="Watchlist",Loans[[#This Row],[CollateralRisk]]="Undersecured",Loans[[#This Row],[RiskCategory]]="High Risk"),"High Risk Exposure","Normal")</f>
        <v>High Risk Exposure</v>
      </c>
      <c r="T977" t="str" cm="1">
        <f t="array" ref="T977">_xlfn.IFS(
Loans[[#This Row],[LoanStatus]]="Default","Critical",
OR(Loans[[#This Row],[LoanStatus]]="Watchlist",Loans[[#This Row],[CollateralRisk]]="Undersecured",Loans[[#This Row],[RiskCategory]]="High Risk"),"High",
TRUE,"Normal"
)</f>
        <v>High</v>
      </c>
    </row>
    <row r="978" spans="1:20" x14ac:dyDescent="0.35">
      <c r="A978" t="s">
        <v>1695</v>
      </c>
      <c r="B978" t="s">
        <v>1164</v>
      </c>
      <c r="C978" t="s">
        <v>181</v>
      </c>
      <c r="D978" t="s">
        <v>157</v>
      </c>
      <c r="E978" s="34">
        <v>80000000</v>
      </c>
      <c r="F978" s="29">
        <v>0.1103</v>
      </c>
      <c r="G978" s="30">
        <v>45975</v>
      </c>
      <c r="H978">
        <v>60</v>
      </c>
      <c r="I978">
        <v>0</v>
      </c>
      <c r="J978" s="34">
        <v>100800000</v>
      </c>
      <c r="K978" t="s">
        <v>171</v>
      </c>
      <c r="L978" s="34">
        <f>PMT(Loans[[#This Row],[InterestRate]]/12,Loans[[#This Row],[LoanTenureMonths]],-Loans[[#This Row],[LoanAmount]])</f>
        <v>1740590.9862698049</v>
      </c>
      <c r="M978" s="30">
        <f>EDATE(Loans[[#This Row],[LoanStartDate]],Loans[[#This Row],[LoanTenureMonths]])</f>
        <v>47801</v>
      </c>
      <c r="N978" s="33">
        <f>IF(Loans[[#This Row],[LoanAmount]]=0,0,Loans[[#This Row],[CollateralValue]]/Loans[[#This Row],[LoanAmount]])</f>
        <v>1.26</v>
      </c>
      <c r="O978" t="str">
        <f>IF(Loans[[#This Row],[CollateralCoverageRatio]]&lt;1,"Undersecured","Secured")</f>
        <v>Secured</v>
      </c>
      <c r="P978" t="str">
        <f>_xlfn.XLOOKUP(Loans[[#This Row],[BranchCode]],BranchesTbl[BranchCode],BranchesTbl[BranchName])</f>
        <v>Kitale</v>
      </c>
      <c r="Q978">
        <f>_xlfn.XLOOKUP(Loans[[#This Row],[CustomerID]],CustomerTbl[CustomerID],CustomerTbl[RiskScore])</f>
        <v>332</v>
      </c>
      <c r="R978" t="str">
        <f>IFERROR(INDEX(RiskTbl[Risk_Category],MATCH(Loans[[#This Row],[RiskScore]],RiskTbl[Score_Min],1)),"Unknown")</f>
        <v>High Risk</v>
      </c>
      <c r="S978" t="str">
        <f>IF(OR(Loans[[#This Row],[LoanStatus]]="Default",Loans[[#This Row],[LoanStatus]]="Watchlist",Loans[[#This Row],[CollateralRisk]]="Undersecured",Loans[[#This Row],[RiskCategory]]="High Risk"),"High Risk Exposure","Normal")</f>
        <v>High Risk Exposure</v>
      </c>
      <c r="T978" t="str" cm="1">
        <f t="array" ref="T978">_xlfn.IFS(
Loans[[#This Row],[LoanStatus]]="Default","Critical",
OR(Loans[[#This Row],[LoanStatus]]="Watchlist",Loans[[#This Row],[CollateralRisk]]="Undersecured",Loans[[#This Row],[RiskCategory]]="High Risk"),"High",
TRUE,"Normal"
)</f>
        <v>High</v>
      </c>
    </row>
    <row r="979" spans="1:20" x14ac:dyDescent="0.35">
      <c r="A979" t="s">
        <v>1696</v>
      </c>
      <c r="B979" t="s">
        <v>302</v>
      </c>
      <c r="C979" t="s">
        <v>184</v>
      </c>
      <c r="D979" t="s">
        <v>156</v>
      </c>
      <c r="E979" s="34">
        <v>6000000</v>
      </c>
      <c r="F979" s="29">
        <v>0.23139999999999999</v>
      </c>
      <c r="G979" s="30">
        <v>44414</v>
      </c>
      <c r="H979">
        <v>72</v>
      </c>
      <c r="I979">
        <v>0</v>
      </c>
      <c r="J979" s="34">
        <v>7980000</v>
      </c>
      <c r="K979" t="s">
        <v>171</v>
      </c>
      <c r="L979" s="34">
        <f>PMT(Loans[[#This Row],[InterestRate]]/12,Loans[[#This Row],[LoanTenureMonths]],-Loans[[#This Row],[LoanAmount]])</f>
        <v>154843.36375276925</v>
      </c>
      <c r="M979" s="30">
        <f>EDATE(Loans[[#This Row],[LoanStartDate]],Loans[[#This Row],[LoanTenureMonths]])</f>
        <v>46605</v>
      </c>
      <c r="N979" s="33">
        <f>IF(Loans[[#This Row],[LoanAmount]]=0,0,Loans[[#This Row],[CollateralValue]]/Loans[[#This Row],[LoanAmount]])</f>
        <v>1.33</v>
      </c>
      <c r="O979" t="str">
        <f>IF(Loans[[#This Row],[CollateralCoverageRatio]]&lt;1,"Undersecured","Secured")</f>
        <v>Secured</v>
      </c>
      <c r="P979" t="str">
        <f>_xlfn.XLOOKUP(Loans[[#This Row],[BranchCode]],BranchesTbl[BranchCode],BranchesTbl[BranchName])</f>
        <v>Kisumu</v>
      </c>
      <c r="Q979">
        <f>_xlfn.XLOOKUP(Loans[[#This Row],[CustomerID]],CustomerTbl[CustomerID],CustomerTbl[RiskScore])</f>
        <v>555</v>
      </c>
      <c r="R979" t="str">
        <f>IFERROR(INDEX(RiskTbl[Risk_Category],MATCH(Loans[[#This Row],[RiskScore]],RiskTbl[Score_Min],1)),"Unknown")</f>
        <v>High Risk</v>
      </c>
      <c r="S979" t="str">
        <f>IF(OR(Loans[[#This Row],[LoanStatus]]="Default",Loans[[#This Row],[LoanStatus]]="Watchlist",Loans[[#This Row],[CollateralRisk]]="Undersecured",Loans[[#This Row],[RiskCategory]]="High Risk"),"High Risk Exposure","Normal")</f>
        <v>High Risk Exposure</v>
      </c>
      <c r="T979" t="str" cm="1">
        <f t="array" ref="T979">_xlfn.IFS(
Loans[[#This Row],[LoanStatus]]="Default","Critical",
OR(Loans[[#This Row],[LoanStatus]]="Watchlist",Loans[[#This Row],[CollateralRisk]]="Undersecured",Loans[[#This Row],[RiskCategory]]="High Risk"),"High",
TRUE,"Normal"
)</f>
        <v>High</v>
      </c>
    </row>
    <row r="980" spans="1:20" x14ac:dyDescent="0.35">
      <c r="A980" t="s">
        <v>1697</v>
      </c>
      <c r="B980" t="s">
        <v>1698</v>
      </c>
      <c r="C980" t="s">
        <v>239</v>
      </c>
      <c r="D980" t="s">
        <v>158</v>
      </c>
      <c r="E980" s="34">
        <v>500000</v>
      </c>
      <c r="F980" s="29">
        <v>0.17330000000000001</v>
      </c>
      <c r="G980" s="30">
        <v>44873</v>
      </c>
      <c r="H980">
        <v>36</v>
      </c>
      <c r="I980">
        <v>90</v>
      </c>
      <c r="J980" s="34">
        <v>445000</v>
      </c>
      <c r="K980" t="s">
        <v>199</v>
      </c>
      <c r="L980" s="34">
        <f>PMT(Loans[[#This Row],[InterestRate]]/12,Loans[[#This Row],[LoanTenureMonths]],-Loans[[#This Row],[LoanAmount]])</f>
        <v>17908.589760117502</v>
      </c>
      <c r="M980" s="30">
        <f>EDATE(Loans[[#This Row],[LoanStartDate]],Loans[[#This Row],[LoanTenureMonths]])</f>
        <v>45969</v>
      </c>
      <c r="N980" s="33">
        <f>IF(Loans[[#This Row],[LoanAmount]]=0,0,Loans[[#This Row],[CollateralValue]]/Loans[[#This Row],[LoanAmount]])</f>
        <v>0.89</v>
      </c>
      <c r="O980" t="str">
        <f>IF(Loans[[#This Row],[CollateralCoverageRatio]]&lt;1,"Undersecured","Secured")</f>
        <v>Undersecured</v>
      </c>
      <c r="P980" t="str">
        <f>_xlfn.XLOOKUP(Loans[[#This Row],[BranchCode]],BranchesTbl[BranchCode],BranchesTbl[BranchName])</f>
        <v>Machakos</v>
      </c>
      <c r="Q980">
        <f>_xlfn.XLOOKUP(Loans[[#This Row],[CustomerID]],CustomerTbl[CustomerID],CustomerTbl[RiskScore])</f>
        <v>463</v>
      </c>
      <c r="R980" t="str">
        <f>IFERROR(INDEX(RiskTbl[Risk_Category],MATCH(Loans[[#This Row],[RiskScore]],RiskTbl[Score_Min],1)),"Unknown")</f>
        <v>High Risk</v>
      </c>
      <c r="S980" t="str">
        <f>IF(OR(Loans[[#This Row],[LoanStatus]]="Default",Loans[[#This Row],[LoanStatus]]="Watchlist",Loans[[#This Row],[CollateralRisk]]="Undersecured",Loans[[#This Row],[RiskCategory]]="High Risk"),"High Risk Exposure","Normal")</f>
        <v>High Risk Exposure</v>
      </c>
      <c r="T980" t="str" cm="1">
        <f t="array" ref="T980">_xlfn.IFS(
Loans[[#This Row],[LoanStatus]]="Default","Critical",
OR(Loans[[#This Row],[LoanStatus]]="Watchlist",Loans[[#This Row],[CollateralRisk]]="Undersecured",Loans[[#This Row],[RiskCategory]]="High Risk"),"High",
TRUE,"Normal"
)</f>
        <v>High</v>
      </c>
    </row>
    <row r="981" spans="1:20" x14ac:dyDescent="0.35">
      <c r="A981" t="s">
        <v>1699</v>
      </c>
      <c r="B981" t="s">
        <v>647</v>
      </c>
      <c r="C981" t="s">
        <v>187</v>
      </c>
      <c r="D981" t="s">
        <v>158</v>
      </c>
      <c r="E981" s="34">
        <v>500000</v>
      </c>
      <c r="F981" s="29">
        <v>0.1973</v>
      </c>
      <c r="G981" s="30">
        <v>45529</v>
      </c>
      <c r="H981">
        <v>24</v>
      </c>
      <c r="I981">
        <v>0</v>
      </c>
      <c r="J981" s="34">
        <v>570000</v>
      </c>
      <c r="K981" t="s">
        <v>171</v>
      </c>
      <c r="L981" s="34">
        <f>PMT(Loans[[#This Row],[InterestRate]]/12,Loans[[#This Row],[LoanTenureMonths]],-Loans[[#This Row],[LoanAmount]])</f>
        <v>25381.999919672013</v>
      </c>
      <c r="M981" s="30">
        <f>EDATE(Loans[[#This Row],[LoanStartDate]],Loans[[#This Row],[LoanTenureMonths]])</f>
        <v>46259</v>
      </c>
      <c r="N981" s="33">
        <f>IF(Loans[[#This Row],[LoanAmount]]=0,0,Loans[[#This Row],[CollateralValue]]/Loans[[#This Row],[LoanAmount]])</f>
        <v>1.1399999999999999</v>
      </c>
      <c r="O981" t="str">
        <f>IF(Loans[[#This Row],[CollateralCoverageRatio]]&lt;1,"Undersecured","Secured")</f>
        <v>Secured</v>
      </c>
      <c r="P981" t="str">
        <f>_xlfn.XLOOKUP(Loans[[#This Row],[BranchCode]],BranchesTbl[BranchCode],BranchesTbl[BranchName])</f>
        <v>Eldoret</v>
      </c>
      <c r="Q981">
        <f>_xlfn.XLOOKUP(Loans[[#This Row],[CustomerID]],CustomerTbl[CustomerID],CustomerTbl[RiskScore])</f>
        <v>599</v>
      </c>
      <c r="R981" t="str">
        <f>IFERROR(INDEX(RiskTbl[Risk_Category],MATCH(Loans[[#This Row],[RiskScore]],RiskTbl[Score_Min],1)),"Unknown")</f>
        <v>Medium Risk</v>
      </c>
      <c r="S981" t="str">
        <f>IF(OR(Loans[[#This Row],[LoanStatus]]="Default",Loans[[#This Row],[LoanStatus]]="Watchlist",Loans[[#This Row],[CollateralRisk]]="Undersecured",Loans[[#This Row],[RiskCategory]]="High Risk"),"High Risk Exposure","Normal")</f>
        <v>Normal</v>
      </c>
      <c r="T981" t="str" cm="1">
        <f t="array" ref="T981">_xlfn.IFS(
Loans[[#This Row],[LoanStatus]]="Default","Critical",
OR(Loans[[#This Row],[LoanStatus]]="Watchlist",Loans[[#This Row],[CollateralRisk]]="Undersecured",Loans[[#This Row],[RiskCategory]]="High Risk"),"High",
TRUE,"Normal"
)</f>
        <v>Normal</v>
      </c>
    </row>
    <row r="982" spans="1:20" x14ac:dyDescent="0.35">
      <c r="A982" t="s">
        <v>1700</v>
      </c>
      <c r="B982" t="s">
        <v>861</v>
      </c>
      <c r="C982" t="s">
        <v>219</v>
      </c>
      <c r="D982" t="s">
        <v>155</v>
      </c>
      <c r="E982" s="34">
        <v>500000</v>
      </c>
      <c r="F982" s="29">
        <v>0.17299999999999999</v>
      </c>
      <c r="G982" s="30">
        <v>44575</v>
      </c>
      <c r="H982">
        <v>36</v>
      </c>
      <c r="I982">
        <v>0</v>
      </c>
      <c r="J982" s="34">
        <v>0</v>
      </c>
      <c r="K982" t="s">
        <v>171</v>
      </c>
      <c r="L982" s="34">
        <f>PMT(Loans[[#This Row],[InterestRate]]/12,Loans[[#This Row],[LoanTenureMonths]],-Loans[[#This Row],[LoanAmount]])</f>
        <v>17901.105736918802</v>
      </c>
      <c r="M982" s="30">
        <f>EDATE(Loans[[#This Row],[LoanStartDate]],Loans[[#This Row],[LoanTenureMonths]])</f>
        <v>45671</v>
      </c>
      <c r="N982" s="33">
        <f>IF(Loans[[#This Row],[LoanAmount]]=0,0,Loans[[#This Row],[CollateralValue]]/Loans[[#This Row],[LoanAmount]])</f>
        <v>0</v>
      </c>
      <c r="O982" t="str">
        <f>IF(Loans[[#This Row],[CollateralCoverageRatio]]&lt;1,"Undersecured","Secured")</f>
        <v>Undersecured</v>
      </c>
      <c r="P982" t="str">
        <f>_xlfn.XLOOKUP(Loans[[#This Row],[BranchCode]],BranchesTbl[BranchCode],BranchesTbl[BranchName])</f>
        <v>Meru</v>
      </c>
      <c r="Q982">
        <f>_xlfn.XLOOKUP(Loans[[#This Row],[CustomerID]],CustomerTbl[CustomerID],CustomerTbl[RiskScore])</f>
        <v>687</v>
      </c>
      <c r="R982" t="str">
        <f>IFERROR(INDEX(RiskTbl[Risk_Category],MATCH(Loans[[#This Row],[RiskScore]],RiskTbl[Score_Min],1)),"Unknown")</f>
        <v>Low Risk</v>
      </c>
      <c r="S982" t="str">
        <f>IF(OR(Loans[[#This Row],[LoanStatus]]="Default",Loans[[#This Row],[LoanStatus]]="Watchlist",Loans[[#This Row],[CollateralRisk]]="Undersecured",Loans[[#This Row],[RiskCategory]]="High Risk"),"High Risk Exposure","Normal")</f>
        <v>High Risk Exposure</v>
      </c>
      <c r="T982" t="str" cm="1">
        <f t="array" ref="T982">_xlfn.IFS(
Loans[[#This Row],[LoanStatus]]="Default","Critical",
OR(Loans[[#This Row],[LoanStatus]]="Watchlist",Loans[[#This Row],[CollateralRisk]]="Undersecured",Loans[[#This Row],[RiskCategory]]="High Risk"),"High",
TRUE,"Normal"
)</f>
        <v>High</v>
      </c>
    </row>
    <row r="983" spans="1:20" x14ac:dyDescent="0.35">
      <c r="A983" t="s">
        <v>1701</v>
      </c>
      <c r="B983" t="s">
        <v>476</v>
      </c>
      <c r="C983" t="s">
        <v>219</v>
      </c>
      <c r="D983" t="s">
        <v>158</v>
      </c>
      <c r="E983" s="34">
        <v>6000000</v>
      </c>
      <c r="F983" s="29">
        <v>0.18379999999999999</v>
      </c>
      <c r="G983" s="30">
        <v>43924</v>
      </c>
      <c r="H983">
        <v>12</v>
      </c>
      <c r="I983">
        <v>90</v>
      </c>
      <c r="J983" s="34">
        <v>5460000</v>
      </c>
      <c r="K983" t="s">
        <v>199</v>
      </c>
      <c r="L983" s="34">
        <f>PMT(Loans[[#This Row],[InterestRate]]/12,Loans[[#This Row],[LoanTenureMonths]],-Loans[[#This Row],[LoanAmount]])</f>
        <v>551165.62237091456</v>
      </c>
      <c r="M983" s="30">
        <f>EDATE(Loans[[#This Row],[LoanStartDate]],Loans[[#This Row],[LoanTenureMonths]])</f>
        <v>44289</v>
      </c>
      <c r="N983" s="33">
        <f>IF(Loans[[#This Row],[LoanAmount]]=0,0,Loans[[#This Row],[CollateralValue]]/Loans[[#This Row],[LoanAmount]])</f>
        <v>0.91</v>
      </c>
      <c r="O983" t="str">
        <f>IF(Loans[[#This Row],[CollateralCoverageRatio]]&lt;1,"Undersecured","Secured")</f>
        <v>Undersecured</v>
      </c>
      <c r="P983" t="str">
        <f>_xlfn.XLOOKUP(Loans[[#This Row],[BranchCode]],BranchesTbl[BranchCode],BranchesTbl[BranchName])</f>
        <v>Meru</v>
      </c>
      <c r="Q983">
        <f>_xlfn.XLOOKUP(Loans[[#This Row],[CustomerID]],CustomerTbl[CustomerID],CustomerTbl[RiskScore])</f>
        <v>641</v>
      </c>
      <c r="R983" t="str">
        <f>IFERROR(INDEX(RiskTbl[Risk_Category],MATCH(Loans[[#This Row],[RiskScore]],RiskTbl[Score_Min],1)),"Unknown")</f>
        <v>Medium Risk</v>
      </c>
      <c r="S983" t="str">
        <f>IF(OR(Loans[[#This Row],[LoanStatus]]="Default",Loans[[#This Row],[LoanStatus]]="Watchlist",Loans[[#This Row],[CollateralRisk]]="Undersecured",Loans[[#This Row],[RiskCategory]]="High Risk"),"High Risk Exposure","Normal")</f>
        <v>High Risk Exposure</v>
      </c>
      <c r="T983" t="str" cm="1">
        <f t="array" ref="T983">_xlfn.IFS(
Loans[[#This Row],[LoanStatus]]="Default","Critical",
OR(Loans[[#This Row],[LoanStatus]]="Watchlist",Loans[[#This Row],[CollateralRisk]]="Undersecured",Loans[[#This Row],[RiskCategory]]="High Risk"),"High",
TRUE,"Normal"
)</f>
        <v>High</v>
      </c>
    </row>
    <row r="984" spans="1:20" x14ac:dyDescent="0.35">
      <c r="A984" t="s">
        <v>1702</v>
      </c>
      <c r="B984" t="s">
        <v>1604</v>
      </c>
      <c r="C984" t="s">
        <v>170</v>
      </c>
      <c r="D984" t="s">
        <v>155</v>
      </c>
      <c r="E984" s="34">
        <v>100000</v>
      </c>
      <c r="F984" s="29">
        <v>0.17519999999999999</v>
      </c>
      <c r="G984" s="30">
        <v>44950</v>
      </c>
      <c r="H984">
        <v>12</v>
      </c>
      <c r="I984">
        <v>0</v>
      </c>
      <c r="J984" s="34">
        <v>0</v>
      </c>
      <c r="K984" t="s">
        <v>171</v>
      </c>
      <c r="L984" s="34">
        <f>PMT(Loans[[#This Row],[InterestRate]]/12,Loans[[#This Row],[LoanTenureMonths]],-Loans[[#This Row],[LoanAmount]])</f>
        <v>9145.1709385499253</v>
      </c>
      <c r="M984" s="30">
        <f>EDATE(Loans[[#This Row],[LoanStartDate]],Loans[[#This Row],[LoanTenureMonths]])</f>
        <v>45315</v>
      </c>
      <c r="N984" s="33">
        <f>IF(Loans[[#This Row],[LoanAmount]]=0,0,Loans[[#This Row],[CollateralValue]]/Loans[[#This Row],[LoanAmount]])</f>
        <v>0</v>
      </c>
      <c r="O984" t="str">
        <f>IF(Loans[[#This Row],[CollateralCoverageRatio]]&lt;1,"Undersecured","Secured")</f>
        <v>Undersecured</v>
      </c>
      <c r="P984" t="str">
        <f>_xlfn.XLOOKUP(Loans[[#This Row],[BranchCode]],BranchesTbl[BranchCode],BranchesTbl[BranchName])</f>
        <v>Thika</v>
      </c>
      <c r="Q984">
        <f>_xlfn.XLOOKUP(Loans[[#This Row],[CustomerID]],CustomerTbl[CustomerID],CustomerTbl[RiskScore])</f>
        <v>350</v>
      </c>
      <c r="R984" t="str">
        <f>IFERROR(INDEX(RiskTbl[Risk_Category],MATCH(Loans[[#This Row],[RiskScore]],RiskTbl[Score_Min],1)),"Unknown")</f>
        <v>High Risk</v>
      </c>
      <c r="S984" t="str">
        <f>IF(OR(Loans[[#This Row],[LoanStatus]]="Default",Loans[[#This Row],[LoanStatus]]="Watchlist",Loans[[#This Row],[CollateralRisk]]="Undersecured",Loans[[#This Row],[RiskCategory]]="High Risk"),"High Risk Exposure","Normal")</f>
        <v>High Risk Exposure</v>
      </c>
      <c r="T984" t="str" cm="1">
        <f t="array" ref="T984">_xlfn.IFS(
Loans[[#This Row],[LoanStatus]]="Default","Critical",
OR(Loans[[#This Row],[LoanStatus]]="Watchlist",Loans[[#This Row],[CollateralRisk]]="Undersecured",Loans[[#This Row],[RiskCategory]]="High Risk"),"High",
TRUE,"Normal"
)</f>
        <v>High</v>
      </c>
    </row>
    <row r="985" spans="1:20" x14ac:dyDescent="0.35">
      <c r="A985" t="s">
        <v>1703</v>
      </c>
      <c r="B985" t="s">
        <v>1131</v>
      </c>
      <c r="C985" t="s">
        <v>270</v>
      </c>
      <c r="D985" t="s">
        <v>157</v>
      </c>
      <c r="E985" s="34">
        <v>6000000</v>
      </c>
      <c r="F985" s="29">
        <v>0.1137</v>
      </c>
      <c r="G985" s="30">
        <v>45668</v>
      </c>
      <c r="H985">
        <v>72</v>
      </c>
      <c r="I985">
        <v>0</v>
      </c>
      <c r="J985" s="34">
        <v>8460000</v>
      </c>
      <c r="K985" t="s">
        <v>171</v>
      </c>
      <c r="L985" s="34">
        <f>PMT(Loans[[#This Row],[InterestRate]]/12,Loans[[#This Row],[LoanTenureMonths]],-Loans[[#This Row],[LoanAmount]])</f>
        <v>115344.76362643079</v>
      </c>
      <c r="M985" s="30">
        <f>EDATE(Loans[[#This Row],[LoanStartDate]],Loans[[#This Row],[LoanTenureMonths]])</f>
        <v>47859</v>
      </c>
      <c r="N985" s="33">
        <f>IF(Loans[[#This Row],[LoanAmount]]=0,0,Loans[[#This Row],[CollateralValue]]/Loans[[#This Row],[LoanAmount]])</f>
        <v>1.41</v>
      </c>
      <c r="O985" t="str">
        <f>IF(Loans[[#This Row],[CollateralCoverageRatio]]&lt;1,"Undersecured","Secured")</f>
        <v>Secured</v>
      </c>
      <c r="P985" t="str">
        <f>_xlfn.XLOOKUP(Loans[[#This Row],[BranchCode]],BranchesTbl[BranchCode],BranchesTbl[BranchName])</f>
        <v>Nakuru</v>
      </c>
      <c r="Q985">
        <f>_xlfn.XLOOKUP(Loans[[#This Row],[CustomerID]],CustomerTbl[CustomerID],CustomerTbl[RiskScore])</f>
        <v>797</v>
      </c>
      <c r="R985" t="str">
        <f>IFERROR(INDEX(RiskTbl[Risk_Category],MATCH(Loans[[#This Row],[RiskScore]],RiskTbl[Score_Min],1)),"Unknown")</f>
        <v>Very Low Risk</v>
      </c>
      <c r="S985" t="str">
        <f>IF(OR(Loans[[#This Row],[LoanStatus]]="Default",Loans[[#This Row],[LoanStatus]]="Watchlist",Loans[[#This Row],[CollateralRisk]]="Undersecured",Loans[[#This Row],[RiskCategory]]="High Risk"),"High Risk Exposure","Normal")</f>
        <v>Normal</v>
      </c>
      <c r="T985" t="str" cm="1">
        <f t="array" ref="T985">_xlfn.IFS(
Loans[[#This Row],[LoanStatus]]="Default","Critical",
OR(Loans[[#This Row],[LoanStatus]]="Watchlist",Loans[[#This Row],[CollateralRisk]]="Undersecured",Loans[[#This Row],[RiskCategory]]="High Risk"),"High",
TRUE,"Normal"
)</f>
        <v>Normal</v>
      </c>
    </row>
    <row r="986" spans="1:20" x14ac:dyDescent="0.35">
      <c r="A986" t="s">
        <v>1704</v>
      </c>
      <c r="B986" t="s">
        <v>310</v>
      </c>
      <c r="C986" t="s">
        <v>193</v>
      </c>
      <c r="D986" t="s">
        <v>155</v>
      </c>
      <c r="E986" s="34">
        <v>500000</v>
      </c>
      <c r="F986" s="29">
        <v>0.19789999999999999</v>
      </c>
      <c r="G986" s="30">
        <v>44057</v>
      </c>
      <c r="H986">
        <v>48</v>
      </c>
      <c r="I986">
        <v>10</v>
      </c>
      <c r="J986" s="34">
        <v>0</v>
      </c>
      <c r="K986" t="s">
        <v>171</v>
      </c>
      <c r="L986" s="34">
        <f>PMT(Loans[[#This Row],[InterestRate]]/12,Loans[[#This Row],[LoanTenureMonths]],-Loans[[#This Row],[LoanAmount]])</f>
        <v>15159.29386444971</v>
      </c>
      <c r="M986" s="30">
        <f>EDATE(Loans[[#This Row],[LoanStartDate]],Loans[[#This Row],[LoanTenureMonths]])</f>
        <v>45518</v>
      </c>
      <c r="N986" s="33">
        <f>IF(Loans[[#This Row],[LoanAmount]]=0,0,Loans[[#This Row],[CollateralValue]]/Loans[[#This Row],[LoanAmount]])</f>
        <v>0</v>
      </c>
      <c r="O986" t="str">
        <f>IF(Loans[[#This Row],[CollateralCoverageRatio]]&lt;1,"Undersecured","Secured")</f>
        <v>Undersecured</v>
      </c>
      <c r="P986" t="str">
        <f>_xlfn.XLOOKUP(Loans[[#This Row],[BranchCode]],BranchesTbl[BranchCode],BranchesTbl[BranchName])</f>
        <v>Mombasa</v>
      </c>
      <c r="Q986">
        <f>_xlfn.XLOOKUP(Loans[[#This Row],[CustomerID]],CustomerTbl[CustomerID],CustomerTbl[RiskScore])</f>
        <v>681</v>
      </c>
      <c r="R986" t="str">
        <f>IFERROR(INDEX(RiskTbl[Risk_Category],MATCH(Loans[[#This Row],[RiskScore]],RiskTbl[Score_Min],1)),"Unknown")</f>
        <v>Low Risk</v>
      </c>
      <c r="S986" t="str">
        <f>IF(OR(Loans[[#This Row],[LoanStatus]]="Default",Loans[[#This Row],[LoanStatus]]="Watchlist",Loans[[#This Row],[CollateralRisk]]="Undersecured",Loans[[#This Row],[RiskCategory]]="High Risk"),"High Risk Exposure","Normal")</f>
        <v>High Risk Exposure</v>
      </c>
      <c r="T986" t="str" cm="1">
        <f t="array" ref="T986">_xlfn.IFS(
Loans[[#This Row],[LoanStatus]]="Default","Critical",
OR(Loans[[#This Row],[LoanStatus]]="Watchlist",Loans[[#This Row],[CollateralRisk]]="Undersecured",Loans[[#This Row],[RiskCategory]]="High Risk"),"High",
TRUE,"Normal"
)</f>
        <v>High</v>
      </c>
    </row>
    <row r="987" spans="1:20" x14ac:dyDescent="0.35">
      <c r="A987" t="s">
        <v>1705</v>
      </c>
      <c r="B987" t="s">
        <v>462</v>
      </c>
      <c r="C987" t="s">
        <v>219</v>
      </c>
      <c r="D987" t="s">
        <v>155</v>
      </c>
      <c r="E987" s="34">
        <v>500000</v>
      </c>
      <c r="F987" s="29">
        <v>0.27289999999999998</v>
      </c>
      <c r="G987" s="30">
        <v>45786</v>
      </c>
      <c r="H987">
        <v>24</v>
      </c>
      <c r="I987">
        <v>0</v>
      </c>
      <c r="J987" s="34">
        <v>0</v>
      </c>
      <c r="K987" t="s">
        <v>171</v>
      </c>
      <c r="L987" s="34">
        <f>PMT(Loans[[#This Row],[InterestRate]]/12,Loans[[#This Row],[LoanTenureMonths]],-Loans[[#This Row],[LoanAmount]])</f>
        <v>27263.679421694389</v>
      </c>
      <c r="M987" s="30">
        <f>EDATE(Loans[[#This Row],[LoanStartDate]],Loans[[#This Row],[LoanTenureMonths]])</f>
        <v>46516</v>
      </c>
      <c r="N987" s="33">
        <f>IF(Loans[[#This Row],[LoanAmount]]=0,0,Loans[[#This Row],[CollateralValue]]/Loans[[#This Row],[LoanAmount]])</f>
        <v>0</v>
      </c>
      <c r="O987" t="str">
        <f>IF(Loans[[#This Row],[CollateralCoverageRatio]]&lt;1,"Undersecured","Secured")</f>
        <v>Undersecured</v>
      </c>
      <c r="P987" t="str">
        <f>_xlfn.XLOOKUP(Loans[[#This Row],[BranchCode]],BranchesTbl[BranchCode],BranchesTbl[BranchName])</f>
        <v>Meru</v>
      </c>
      <c r="Q987">
        <f>_xlfn.XLOOKUP(Loans[[#This Row],[CustomerID]],CustomerTbl[CustomerID],CustomerTbl[RiskScore])</f>
        <v>809</v>
      </c>
      <c r="R987" t="str">
        <f>IFERROR(INDEX(RiskTbl[Risk_Category],MATCH(Loans[[#This Row],[RiskScore]],RiskTbl[Score_Min],1)),"Unknown")</f>
        <v>Prime</v>
      </c>
      <c r="S987" t="str">
        <f>IF(OR(Loans[[#This Row],[LoanStatus]]="Default",Loans[[#This Row],[LoanStatus]]="Watchlist",Loans[[#This Row],[CollateralRisk]]="Undersecured",Loans[[#This Row],[RiskCategory]]="High Risk"),"High Risk Exposure","Normal")</f>
        <v>High Risk Exposure</v>
      </c>
      <c r="T987" t="str" cm="1">
        <f t="array" ref="T987">_xlfn.IFS(
Loans[[#This Row],[LoanStatus]]="Default","Critical",
OR(Loans[[#This Row],[LoanStatus]]="Watchlist",Loans[[#This Row],[CollateralRisk]]="Undersecured",Loans[[#This Row],[RiskCategory]]="High Risk"),"High",
TRUE,"Normal"
)</f>
        <v>High</v>
      </c>
    </row>
    <row r="988" spans="1:20" x14ac:dyDescent="0.35">
      <c r="A988" t="s">
        <v>1706</v>
      </c>
      <c r="B988" t="s">
        <v>1462</v>
      </c>
      <c r="C988" t="s">
        <v>206</v>
      </c>
      <c r="D988" t="s">
        <v>156</v>
      </c>
      <c r="E988" s="34">
        <v>1000000</v>
      </c>
      <c r="F988" s="29">
        <v>0.22650000000000001</v>
      </c>
      <c r="G988" s="30">
        <v>45314</v>
      </c>
      <c r="H988">
        <v>60</v>
      </c>
      <c r="I988">
        <v>20</v>
      </c>
      <c r="J988" s="34">
        <v>800000</v>
      </c>
      <c r="K988" t="s">
        <v>171</v>
      </c>
      <c r="L988" s="34">
        <f>PMT(Loans[[#This Row],[InterestRate]]/12,Loans[[#This Row],[LoanTenureMonths]],-Loans[[#This Row],[LoanAmount]])</f>
        <v>27989.7465579503</v>
      </c>
      <c r="M988" s="30">
        <f>EDATE(Loans[[#This Row],[LoanStartDate]],Loans[[#This Row],[LoanTenureMonths]])</f>
        <v>47141</v>
      </c>
      <c r="N988" s="33">
        <f>IF(Loans[[#This Row],[LoanAmount]]=0,0,Loans[[#This Row],[CollateralValue]]/Loans[[#This Row],[LoanAmount]])</f>
        <v>0.8</v>
      </c>
      <c r="O988" t="str">
        <f>IF(Loans[[#This Row],[CollateralCoverageRatio]]&lt;1,"Undersecured","Secured")</f>
        <v>Undersecured</v>
      </c>
      <c r="P988" t="str">
        <f>_xlfn.XLOOKUP(Loans[[#This Row],[BranchCode]],BranchesTbl[BranchCode],BranchesTbl[BranchName])</f>
        <v>Nyahururu</v>
      </c>
      <c r="Q988">
        <f>_xlfn.XLOOKUP(Loans[[#This Row],[CustomerID]],CustomerTbl[CustomerID],CustomerTbl[RiskScore])</f>
        <v>456</v>
      </c>
      <c r="R988" t="str">
        <f>IFERROR(INDEX(RiskTbl[Risk_Category],MATCH(Loans[[#This Row],[RiskScore]],RiskTbl[Score_Min],1)),"Unknown")</f>
        <v>High Risk</v>
      </c>
      <c r="S988" t="str">
        <f>IF(OR(Loans[[#This Row],[LoanStatus]]="Default",Loans[[#This Row],[LoanStatus]]="Watchlist",Loans[[#This Row],[CollateralRisk]]="Undersecured",Loans[[#This Row],[RiskCategory]]="High Risk"),"High Risk Exposure","Normal")</f>
        <v>High Risk Exposure</v>
      </c>
      <c r="T988" t="str" cm="1">
        <f t="array" ref="T988">_xlfn.IFS(
Loans[[#This Row],[LoanStatus]]="Default","Critical",
OR(Loans[[#This Row],[LoanStatus]]="Watchlist",Loans[[#This Row],[CollateralRisk]]="Undersecured",Loans[[#This Row],[RiskCategory]]="High Risk"),"High",
TRUE,"Normal"
)</f>
        <v>High</v>
      </c>
    </row>
    <row r="989" spans="1:20" x14ac:dyDescent="0.35">
      <c r="A989" t="s">
        <v>1707</v>
      </c>
      <c r="B989" t="s">
        <v>1041</v>
      </c>
      <c r="C989" t="s">
        <v>170</v>
      </c>
      <c r="D989" t="s">
        <v>157</v>
      </c>
      <c r="E989" s="34">
        <v>6000000</v>
      </c>
      <c r="F989" s="29">
        <v>0.1226</v>
      </c>
      <c r="G989" s="30">
        <v>45213</v>
      </c>
      <c r="H989">
        <v>72</v>
      </c>
      <c r="I989">
        <v>45</v>
      </c>
      <c r="J989" s="34">
        <v>9000000</v>
      </c>
      <c r="K989" t="s">
        <v>199</v>
      </c>
      <c r="L989" s="34">
        <f>PMT(Loans[[#This Row],[InterestRate]]/12,Loans[[#This Row],[LoanTenureMonths]],-Loans[[#This Row],[LoanAmount]])</f>
        <v>118113.97548261966</v>
      </c>
      <c r="M989" s="30">
        <f>EDATE(Loans[[#This Row],[LoanStartDate]],Loans[[#This Row],[LoanTenureMonths]])</f>
        <v>47405</v>
      </c>
      <c r="N989" s="33">
        <f>IF(Loans[[#This Row],[LoanAmount]]=0,0,Loans[[#This Row],[CollateralValue]]/Loans[[#This Row],[LoanAmount]])</f>
        <v>1.5</v>
      </c>
      <c r="O989" t="str">
        <f>IF(Loans[[#This Row],[CollateralCoverageRatio]]&lt;1,"Undersecured","Secured")</f>
        <v>Secured</v>
      </c>
      <c r="P989" t="str">
        <f>_xlfn.XLOOKUP(Loans[[#This Row],[BranchCode]],BranchesTbl[BranchCode],BranchesTbl[BranchName])</f>
        <v>Thika</v>
      </c>
      <c r="Q989">
        <f>_xlfn.XLOOKUP(Loans[[#This Row],[CustomerID]],CustomerTbl[CustomerID],CustomerTbl[RiskScore])</f>
        <v>424</v>
      </c>
      <c r="R989" t="str">
        <f>IFERROR(INDEX(RiskTbl[Risk_Category],MATCH(Loans[[#This Row],[RiskScore]],RiskTbl[Score_Min],1)),"Unknown")</f>
        <v>High Risk</v>
      </c>
      <c r="S989" t="str">
        <f>IF(OR(Loans[[#This Row],[LoanStatus]]="Default",Loans[[#This Row],[LoanStatus]]="Watchlist",Loans[[#This Row],[CollateralRisk]]="Undersecured",Loans[[#This Row],[RiskCategory]]="High Risk"),"High Risk Exposure","Normal")</f>
        <v>High Risk Exposure</v>
      </c>
      <c r="T989" t="str" cm="1">
        <f t="array" ref="T989">_xlfn.IFS(
Loans[[#This Row],[LoanStatus]]="Default","Critical",
OR(Loans[[#This Row],[LoanStatus]]="Watchlist",Loans[[#This Row],[CollateralRisk]]="Undersecured",Loans[[#This Row],[RiskCategory]]="High Risk"),"High",
TRUE,"Normal"
)</f>
        <v>High</v>
      </c>
    </row>
    <row r="990" spans="1:20" x14ac:dyDescent="0.35">
      <c r="A990" t="s">
        <v>1708</v>
      </c>
      <c r="B990" t="s">
        <v>1709</v>
      </c>
      <c r="C990" t="s">
        <v>190</v>
      </c>
      <c r="D990" t="s">
        <v>158</v>
      </c>
      <c r="E990" s="34">
        <v>6000000</v>
      </c>
      <c r="F990" s="29">
        <v>0.1973</v>
      </c>
      <c r="G990" s="30">
        <v>44117</v>
      </c>
      <c r="H990">
        <v>60</v>
      </c>
      <c r="I990">
        <v>20</v>
      </c>
      <c r="J990" s="34">
        <v>8400000</v>
      </c>
      <c r="K990" t="s">
        <v>171</v>
      </c>
      <c r="L990" s="34">
        <f>PMT(Loans[[#This Row],[InterestRate]]/12,Loans[[#This Row],[LoanTenureMonths]],-Loans[[#This Row],[LoanAmount]])</f>
        <v>158063.25427834733</v>
      </c>
      <c r="M990" s="30">
        <f>EDATE(Loans[[#This Row],[LoanStartDate]],Loans[[#This Row],[LoanTenureMonths]])</f>
        <v>45943</v>
      </c>
      <c r="N990" s="33">
        <f>IF(Loans[[#This Row],[LoanAmount]]=0,0,Loans[[#This Row],[CollateralValue]]/Loans[[#This Row],[LoanAmount]])</f>
        <v>1.4</v>
      </c>
      <c r="O990" t="str">
        <f>IF(Loans[[#This Row],[CollateralCoverageRatio]]&lt;1,"Undersecured","Secured")</f>
        <v>Secured</v>
      </c>
      <c r="P990" t="str">
        <f>_xlfn.XLOOKUP(Loans[[#This Row],[BranchCode]],BranchesTbl[BranchCode],BranchesTbl[BranchName])</f>
        <v>Nyeri</v>
      </c>
      <c r="Q990">
        <f>_xlfn.XLOOKUP(Loans[[#This Row],[CustomerID]],CustomerTbl[CustomerID],CustomerTbl[RiskScore])</f>
        <v>525</v>
      </c>
      <c r="R990" t="str">
        <f>IFERROR(INDEX(RiskTbl[Risk_Category],MATCH(Loans[[#This Row],[RiskScore]],RiskTbl[Score_Min],1)),"Unknown")</f>
        <v>High Risk</v>
      </c>
      <c r="S990" t="str">
        <f>IF(OR(Loans[[#This Row],[LoanStatus]]="Default",Loans[[#This Row],[LoanStatus]]="Watchlist",Loans[[#This Row],[CollateralRisk]]="Undersecured",Loans[[#This Row],[RiskCategory]]="High Risk"),"High Risk Exposure","Normal")</f>
        <v>High Risk Exposure</v>
      </c>
      <c r="T990" t="str" cm="1">
        <f t="array" ref="T990">_xlfn.IFS(
Loans[[#This Row],[LoanStatus]]="Default","Critical",
OR(Loans[[#This Row],[LoanStatus]]="Watchlist",Loans[[#This Row],[CollateralRisk]]="Undersecured",Loans[[#This Row],[RiskCategory]]="High Risk"),"High",
TRUE,"Normal"
)</f>
        <v>High</v>
      </c>
    </row>
    <row r="991" spans="1:20" x14ac:dyDescent="0.35">
      <c r="A991" t="s">
        <v>1710</v>
      </c>
      <c r="B991" t="s">
        <v>1230</v>
      </c>
      <c r="C991" t="s">
        <v>181</v>
      </c>
      <c r="D991" t="s">
        <v>158</v>
      </c>
      <c r="E991" s="34">
        <v>1000000</v>
      </c>
      <c r="F991" s="29">
        <v>0.18820000000000001</v>
      </c>
      <c r="G991" s="30">
        <v>45799</v>
      </c>
      <c r="H991">
        <v>48</v>
      </c>
      <c r="I991">
        <v>0</v>
      </c>
      <c r="J991" s="34">
        <v>920000</v>
      </c>
      <c r="K991" t="s">
        <v>171</v>
      </c>
      <c r="L991" s="34">
        <f>PMT(Loans[[#This Row],[InterestRate]]/12,Loans[[#This Row],[LoanTenureMonths]],-Loans[[#This Row],[LoanAmount]])</f>
        <v>29805.217546080792</v>
      </c>
      <c r="M991" s="30">
        <f>EDATE(Loans[[#This Row],[LoanStartDate]],Loans[[#This Row],[LoanTenureMonths]])</f>
        <v>47260</v>
      </c>
      <c r="N991" s="33">
        <f>IF(Loans[[#This Row],[LoanAmount]]=0,0,Loans[[#This Row],[CollateralValue]]/Loans[[#This Row],[LoanAmount]])</f>
        <v>0.92</v>
      </c>
      <c r="O991" t="str">
        <f>IF(Loans[[#This Row],[CollateralCoverageRatio]]&lt;1,"Undersecured","Secured")</f>
        <v>Undersecured</v>
      </c>
      <c r="P991" t="str">
        <f>_xlfn.XLOOKUP(Loans[[#This Row],[BranchCode]],BranchesTbl[BranchCode],BranchesTbl[BranchName])</f>
        <v>Kitale</v>
      </c>
      <c r="Q991">
        <f>_xlfn.XLOOKUP(Loans[[#This Row],[CustomerID]],CustomerTbl[CustomerID],CustomerTbl[RiskScore])</f>
        <v>654</v>
      </c>
      <c r="R991" t="str">
        <f>IFERROR(INDEX(RiskTbl[Risk_Category],MATCH(Loans[[#This Row],[RiskScore]],RiskTbl[Score_Min],1)),"Unknown")</f>
        <v>Medium Risk</v>
      </c>
      <c r="S991" t="str">
        <f>IF(OR(Loans[[#This Row],[LoanStatus]]="Default",Loans[[#This Row],[LoanStatus]]="Watchlist",Loans[[#This Row],[CollateralRisk]]="Undersecured",Loans[[#This Row],[RiskCategory]]="High Risk"),"High Risk Exposure","Normal")</f>
        <v>High Risk Exposure</v>
      </c>
      <c r="T991" t="str" cm="1">
        <f t="array" ref="T991">_xlfn.IFS(
Loans[[#This Row],[LoanStatus]]="Default","Critical",
OR(Loans[[#This Row],[LoanStatus]]="Watchlist",Loans[[#This Row],[CollateralRisk]]="Undersecured",Loans[[#This Row],[RiskCategory]]="High Risk"),"High",
TRUE,"Normal"
)</f>
        <v>High</v>
      </c>
    </row>
    <row r="992" spans="1:20" x14ac:dyDescent="0.35">
      <c r="A992" t="s">
        <v>1711</v>
      </c>
      <c r="B992" t="s">
        <v>1712</v>
      </c>
      <c r="C992" t="s">
        <v>190</v>
      </c>
      <c r="D992" t="s">
        <v>156</v>
      </c>
      <c r="E992" s="34">
        <v>25000000</v>
      </c>
      <c r="F992" s="29">
        <v>0.22720000000000001</v>
      </c>
      <c r="G992" s="30">
        <v>45763</v>
      </c>
      <c r="H992">
        <v>36</v>
      </c>
      <c r="I992">
        <v>0</v>
      </c>
      <c r="J992" s="34">
        <v>18250000</v>
      </c>
      <c r="K992" t="s">
        <v>171</v>
      </c>
      <c r="L992" s="34">
        <f>PMT(Loans[[#This Row],[InterestRate]]/12,Loans[[#This Row],[LoanTenureMonths]],-Loans[[#This Row],[LoanAmount]])</f>
        <v>964098.40472742054</v>
      </c>
      <c r="M992" s="30">
        <f>EDATE(Loans[[#This Row],[LoanStartDate]],Loans[[#This Row],[LoanTenureMonths]])</f>
        <v>46859</v>
      </c>
      <c r="N992" s="33">
        <f>IF(Loans[[#This Row],[LoanAmount]]=0,0,Loans[[#This Row],[CollateralValue]]/Loans[[#This Row],[LoanAmount]])</f>
        <v>0.73</v>
      </c>
      <c r="O992" t="str">
        <f>IF(Loans[[#This Row],[CollateralCoverageRatio]]&lt;1,"Undersecured","Secured")</f>
        <v>Undersecured</v>
      </c>
      <c r="P992" t="str">
        <f>_xlfn.XLOOKUP(Loans[[#This Row],[BranchCode]],BranchesTbl[BranchCode],BranchesTbl[BranchName])</f>
        <v>Nyeri</v>
      </c>
      <c r="Q992">
        <f>_xlfn.XLOOKUP(Loans[[#This Row],[CustomerID]],CustomerTbl[CustomerID],CustomerTbl[RiskScore])</f>
        <v>686</v>
      </c>
      <c r="R992" t="str">
        <f>IFERROR(INDEX(RiskTbl[Risk_Category],MATCH(Loans[[#This Row],[RiskScore]],RiskTbl[Score_Min],1)),"Unknown")</f>
        <v>Low Risk</v>
      </c>
      <c r="S992" t="str">
        <f>IF(OR(Loans[[#This Row],[LoanStatus]]="Default",Loans[[#This Row],[LoanStatus]]="Watchlist",Loans[[#This Row],[CollateralRisk]]="Undersecured",Loans[[#This Row],[RiskCategory]]="High Risk"),"High Risk Exposure","Normal")</f>
        <v>High Risk Exposure</v>
      </c>
      <c r="T992" t="str" cm="1">
        <f t="array" ref="T992">_xlfn.IFS(
Loans[[#This Row],[LoanStatus]]="Default","Critical",
OR(Loans[[#This Row],[LoanStatus]]="Watchlist",Loans[[#This Row],[CollateralRisk]]="Undersecured",Loans[[#This Row],[RiskCategory]]="High Risk"),"High",
TRUE,"Normal"
)</f>
        <v>High</v>
      </c>
    </row>
    <row r="993" spans="1:20" x14ac:dyDescent="0.35">
      <c r="A993" t="s">
        <v>1713</v>
      </c>
      <c r="B993" t="s">
        <v>995</v>
      </c>
      <c r="C993" t="s">
        <v>270</v>
      </c>
      <c r="D993" t="s">
        <v>156</v>
      </c>
      <c r="E993" s="34">
        <v>6000000</v>
      </c>
      <c r="F993" s="29">
        <v>0.1532</v>
      </c>
      <c r="G993" s="30">
        <v>44765</v>
      </c>
      <c r="H993">
        <v>48</v>
      </c>
      <c r="I993">
        <v>0</v>
      </c>
      <c r="J993" s="34">
        <v>3360000</v>
      </c>
      <c r="K993" t="s">
        <v>171</v>
      </c>
      <c r="L993" s="34">
        <f>PMT(Loans[[#This Row],[InterestRate]]/12,Loans[[#This Row],[LoanTenureMonths]],-Loans[[#This Row],[LoanAmount]])</f>
        <v>167959.36681168535</v>
      </c>
      <c r="M993" s="30">
        <f>EDATE(Loans[[#This Row],[LoanStartDate]],Loans[[#This Row],[LoanTenureMonths]])</f>
        <v>46226</v>
      </c>
      <c r="N993" s="33">
        <f>IF(Loans[[#This Row],[LoanAmount]]=0,0,Loans[[#This Row],[CollateralValue]]/Loans[[#This Row],[LoanAmount]])</f>
        <v>0.56000000000000005</v>
      </c>
      <c r="O993" t="str">
        <f>IF(Loans[[#This Row],[CollateralCoverageRatio]]&lt;1,"Undersecured","Secured")</f>
        <v>Undersecured</v>
      </c>
      <c r="P993" t="str">
        <f>_xlfn.XLOOKUP(Loans[[#This Row],[BranchCode]],BranchesTbl[BranchCode],BranchesTbl[BranchName])</f>
        <v>Nakuru</v>
      </c>
      <c r="Q993">
        <f>_xlfn.XLOOKUP(Loans[[#This Row],[CustomerID]],CustomerTbl[CustomerID],CustomerTbl[RiskScore])</f>
        <v>500</v>
      </c>
      <c r="R993" t="str">
        <f>IFERROR(INDEX(RiskTbl[Risk_Category],MATCH(Loans[[#This Row],[RiskScore]],RiskTbl[Score_Min],1)),"Unknown")</f>
        <v>High Risk</v>
      </c>
      <c r="S993" t="str">
        <f>IF(OR(Loans[[#This Row],[LoanStatus]]="Default",Loans[[#This Row],[LoanStatus]]="Watchlist",Loans[[#This Row],[CollateralRisk]]="Undersecured",Loans[[#This Row],[RiskCategory]]="High Risk"),"High Risk Exposure","Normal")</f>
        <v>High Risk Exposure</v>
      </c>
      <c r="T993" t="str" cm="1">
        <f t="array" ref="T993">_xlfn.IFS(
Loans[[#This Row],[LoanStatus]]="Default","Critical",
OR(Loans[[#This Row],[LoanStatus]]="Watchlist",Loans[[#This Row],[CollateralRisk]]="Undersecured",Loans[[#This Row],[RiskCategory]]="High Risk"),"High",
TRUE,"Normal"
)</f>
        <v>High</v>
      </c>
    </row>
    <row r="994" spans="1:20" x14ac:dyDescent="0.35">
      <c r="A994" t="s">
        <v>1714</v>
      </c>
      <c r="B994" t="s">
        <v>446</v>
      </c>
      <c r="C994" t="s">
        <v>181</v>
      </c>
      <c r="D994" t="s">
        <v>156</v>
      </c>
      <c r="E994" s="34">
        <v>25000000</v>
      </c>
      <c r="F994" s="29">
        <v>0.15190000000000001</v>
      </c>
      <c r="G994" s="30">
        <v>44975</v>
      </c>
      <c r="H994">
        <v>12</v>
      </c>
      <c r="I994">
        <v>90</v>
      </c>
      <c r="J994" s="34">
        <v>35250000</v>
      </c>
      <c r="K994" t="s">
        <v>199</v>
      </c>
      <c r="L994" s="34">
        <f>PMT(Loans[[#This Row],[InterestRate]]/12,Loans[[#This Row],[LoanTenureMonths]],-Loans[[#This Row],[LoanAmount]])</f>
        <v>2258699.8028332316</v>
      </c>
      <c r="M994" s="30">
        <f>EDATE(Loans[[#This Row],[LoanStartDate]],Loans[[#This Row],[LoanTenureMonths]])</f>
        <v>45340</v>
      </c>
      <c r="N994" s="33">
        <f>IF(Loans[[#This Row],[LoanAmount]]=0,0,Loans[[#This Row],[CollateralValue]]/Loans[[#This Row],[LoanAmount]])</f>
        <v>1.41</v>
      </c>
      <c r="O994" t="str">
        <f>IF(Loans[[#This Row],[CollateralCoverageRatio]]&lt;1,"Undersecured","Secured")</f>
        <v>Secured</v>
      </c>
      <c r="P994" t="str">
        <f>_xlfn.XLOOKUP(Loans[[#This Row],[BranchCode]],BranchesTbl[BranchCode],BranchesTbl[BranchName])</f>
        <v>Kitale</v>
      </c>
      <c r="Q994">
        <f>_xlfn.XLOOKUP(Loans[[#This Row],[CustomerID]],CustomerTbl[CustomerID],CustomerTbl[RiskScore])</f>
        <v>345</v>
      </c>
      <c r="R994" t="str">
        <f>IFERROR(INDEX(RiskTbl[Risk_Category],MATCH(Loans[[#This Row],[RiskScore]],RiskTbl[Score_Min],1)),"Unknown")</f>
        <v>High Risk</v>
      </c>
      <c r="S994" t="str">
        <f>IF(OR(Loans[[#This Row],[LoanStatus]]="Default",Loans[[#This Row],[LoanStatus]]="Watchlist",Loans[[#This Row],[CollateralRisk]]="Undersecured",Loans[[#This Row],[RiskCategory]]="High Risk"),"High Risk Exposure","Normal")</f>
        <v>High Risk Exposure</v>
      </c>
      <c r="T994" t="str" cm="1">
        <f t="array" ref="T994">_xlfn.IFS(
Loans[[#This Row],[LoanStatus]]="Default","Critical",
OR(Loans[[#This Row],[LoanStatus]]="Watchlist",Loans[[#This Row],[CollateralRisk]]="Undersecured",Loans[[#This Row],[RiskCategory]]="High Risk"),"High",
TRUE,"Normal"
)</f>
        <v>High</v>
      </c>
    </row>
    <row r="995" spans="1:20" x14ac:dyDescent="0.35">
      <c r="A995" t="s">
        <v>1715</v>
      </c>
      <c r="B995" t="s">
        <v>1716</v>
      </c>
      <c r="C995" t="s">
        <v>270</v>
      </c>
      <c r="D995" t="s">
        <v>155</v>
      </c>
      <c r="E995" s="34">
        <v>250000</v>
      </c>
      <c r="F995" s="29">
        <v>0.2271</v>
      </c>
      <c r="G995" s="30">
        <v>45088</v>
      </c>
      <c r="H995">
        <v>48</v>
      </c>
      <c r="I995">
        <v>45</v>
      </c>
      <c r="J995" s="34">
        <v>0</v>
      </c>
      <c r="K995" t="s">
        <v>199</v>
      </c>
      <c r="L995" s="34">
        <f>PMT(Loans[[#This Row],[InterestRate]]/12,Loans[[#This Row],[LoanTenureMonths]],-Loans[[#This Row],[LoanAmount]])</f>
        <v>7973.1984652729216</v>
      </c>
      <c r="M995" s="30">
        <f>EDATE(Loans[[#This Row],[LoanStartDate]],Loans[[#This Row],[LoanTenureMonths]])</f>
        <v>46549</v>
      </c>
      <c r="N995" s="33">
        <f>IF(Loans[[#This Row],[LoanAmount]]=0,0,Loans[[#This Row],[CollateralValue]]/Loans[[#This Row],[LoanAmount]])</f>
        <v>0</v>
      </c>
      <c r="O995" t="str">
        <f>IF(Loans[[#This Row],[CollateralCoverageRatio]]&lt;1,"Undersecured","Secured")</f>
        <v>Undersecured</v>
      </c>
      <c r="P995" t="str">
        <f>_xlfn.XLOOKUP(Loans[[#This Row],[BranchCode]],BranchesTbl[BranchCode],BranchesTbl[BranchName])</f>
        <v>Nakuru</v>
      </c>
      <c r="Q995">
        <f>_xlfn.XLOOKUP(Loans[[#This Row],[CustomerID]],CustomerTbl[CustomerID],CustomerTbl[RiskScore])</f>
        <v>780</v>
      </c>
      <c r="R995" t="str">
        <f>IFERROR(INDEX(RiskTbl[Risk_Category],MATCH(Loans[[#This Row],[RiskScore]],RiskTbl[Score_Min],1)),"Unknown")</f>
        <v>Very Low Risk</v>
      </c>
      <c r="S995" t="str">
        <f>IF(OR(Loans[[#This Row],[LoanStatus]]="Default",Loans[[#This Row],[LoanStatus]]="Watchlist",Loans[[#This Row],[CollateralRisk]]="Undersecured",Loans[[#This Row],[RiskCategory]]="High Risk"),"High Risk Exposure","Normal")</f>
        <v>High Risk Exposure</v>
      </c>
      <c r="T995" t="str" cm="1">
        <f t="array" ref="T995">_xlfn.IFS(
Loans[[#This Row],[LoanStatus]]="Default","Critical",
OR(Loans[[#This Row],[LoanStatus]]="Watchlist",Loans[[#This Row],[CollateralRisk]]="Undersecured",Loans[[#This Row],[RiskCategory]]="High Risk"),"High",
TRUE,"Normal"
)</f>
        <v>High</v>
      </c>
    </row>
    <row r="996" spans="1:20" x14ac:dyDescent="0.35">
      <c r="A996" t="s">
        <v>1717</v>
      </c>
      <c r="B996" t="s">
        <v>897</v>
      </c>
      <c r="C996" t="s">
        <v>239</v>
      </c>
      <c r="D996" t="s">
        <v>156</v>
      </c>
      <c r="E996" s="34">
        <v>3000000</v>
      </c>
      <c r="F996" s="29">
        <v>0.1993</v>
      </c>
      <c r="G996" s="30">
        <v>45889</v>
      </c>
      <c r="H996">
        <v>36</v>
      </c>
      <c r="I996">
        <v>10</v>
      </c>
      <c r="J996" s="34">
        <v>4350000</v>
      </c>
      <c r="K996" t="s">
        <v>171</v>
      </c>
      <c r="L996" s="34">
        <f>PMT(Loans[[#This Row],[InterestRate]]/12,Loans[[#This Row],[LoanTenureMonths]],-Loans[[#This Row],[LoanAmount]])</f>
        <v>111383.77828433372</v>
      </c>
      <c r="M996" s="30">
        <f>EDATE(Loans[[#This Row],[LoanStartDate]],Loans[[#This Row],[LoanTenureMonths]])</f>
        <v>46985</v>
      </c>
      <c r="N996" s="33">
        <f>IF(Loans[[#This Row],[LoanAmount]]=0,0,Loans[[#This Row],[CollateralValue]]/Loans[[#This Row],[LoanAmount]])</f>
        <v>1.45</v>
      </c>
      <c r="O996" t="str">
        <f>IF(Loans[[#This Row],[CollateralCoverageRatio]]&lt;1,"Undersecured","Secured")</f>
        <v>Secured</v>
      </c>
      <c r="P996" t="str">
        <f>_xlfn.XLOOKUP(Loans[[#This Row],[BranchCode]],BranchesTbl[BranchCode],BranchesTbl[BranchName])</f>
        <v>Machakos</v>
      </c>
      <c r="Q996">
        <f>_xlfn.XLOOKUP(Loans[[#This Row],[CustomerID]],CustomerTbl[CustomerID],CustomerTbl[RiskScore])</f>
        <v>635</v>
      </c>
      <c r="R996" t="str">
        <f>IFERROR(INDEX(RiskTbl[Risk_Category],MATCH(Loans[[#This Row],[RiskScore]],RiskTbl[Score_Min],1)),"Unknown")</f>
        <v>Medium Risk</v>
      </c>
      <c r="S996" t="str">
        <f>IF(OR(Loans[[#This Row],[LoanStatus]]="Default",Loans[[#This Row],[LoanStatus]]="Watchlist",Loans[[#This Row],[CollateralRisk]]="Undersecured",Loans[[#This Row],[RiskCategory]]="High Risk"),"High Risk Exposure","Normal")</f>
        <v>Normal</v>
      </c>
      <c r="T996" t="str" cm="1">
        <f t="array" ref="T996">_xlfn.IFS(
Loans[[#This Row],[LoanStatus]]="Default","Critical",
OR(Loans[[#This Row],[LoanStatus]]="Watchlist",Loans[[#This Row],[CollateralRisk]]="Undersecured",Loans[[#This Row],[RiskCategory]]="High Risk"),"High",
TRUE,"Normal"
)</f>
        <v>Normal</v>
      </c>
    </row>
    <row r="997" spans="1:20" x14ac:dyDescent="0.35">
      <c r="A997" t="s">
        <v>1718</v>
      </c>
      <c r="B997" t="s">
        <v>713</v>
      </c>
      <c r="C997" t="s">
        <v>193</v>
      </c>
      <c r="D997" t="s">
        <v>156</v>
      </c>
      <c r="E997" s="34">
        <v>6000000</v>
      </c>
      <c r="F997" s="29">
        <v>0.18609999999999999</v>
      </c>
      <c r="G997" s="30">
        <v>44260</v>
      </c>
      <c r="H997">
        <v>12</v>
      </c>
      <c r="I997">
        <v>20</v>
      </c>
      <c r="J997" s="34">
        <v>5520000</v>
      </c>
      <c r="K997" t="s">
        <v>171</v>
      </c>
      <c r="L997" s="34">
        <f>PMT(Loans[[#This Row],[InterestRate]]/12,Loans[[#This Row],[LoanTenureMonths]],-Loans[[#This Row],[LoanAmount]])</f>
        <v>551823.30095795623</v>
      </c>
      <c r="M997" s="30">
        <f>EDATE(Loans[[#This Row],[LoanStartDate]],Loans[[#This Row],[LoanTenureMonths]])</f>
        <v>44625</v>
      </c>
      <c r="N997" s="33">
        <f>IF(Loans[[#This Row],[LoanAmount]]=0,0,Loans[[#This Row],[CollateralValue]]/Loans[[#This Row],[LoanAmount]])</f>
        <v>0.92</v>
      </c>
      <c r="O997" t="str">
        <f>IF(Loans[[#This Row],[CollateralCoverageRatio]]&lt;1,"Undersecured","Secured")</f>
        <v>Undersecured</v>
      </c>
      <c r="P997" t="str">
        <f>_xlfn.XLOOKUP(Loans[[#This Row],[BranchCode]],BranchesTbl[BranchCode],BranchesTbl[BranchName])</f>
        <v>Mombasa</v>
      </c>
      <c r="Q997">
        <f>_xlfn.XLOOKUP(Loans[[#This Row],[CustomerID]],CustomerTbl[CustomerID],CustomerTbl[RiskScore])</f>
        <v>374</v>
      </c>
      <c r="R997" t="str">
        <f>IFERROR(INDEX(RiskTbl[Risk_Category],MATCH(Loans[[#This Row],[RiskScore]],RiskTbl[Score_Min],1)),"Unknown")</f>
        <v>High Risk</v>
      </c>
      <c r="S997" t="str">
        <f>IF(OR(Loans[[#This Row],[LoanStatus]]="Default",Loans[[#This Row],[LoanStatus]]="Watchlist",Loans[[#This Row],[CollateralRisk]]="Undersecured",Loans[[#This Row],[RiskCategory]]="High Risk"),"High Risk Exposure","Normal")</f>
        <v>High Risk Exposure</v>
      </c>
      <c r="T997" t="str" cm="1">
        <f t="array" ref="T997">_xlfn.IFS(
Loans[[#This Row],[LoanStatus]]="Default","Critical",
OR(Loans[[#This Row],[LoanStatus]]="Watchlist",Loans[[#This Row],[CollateralRisk]]="Undersecured",Loans[[#This Row],[RiskCategory]]="High Risk"),"High",
TRUE,"Normal"
)</f>
        <v>High</v>
      </c>
    </row>
    <row r="998" spans="1:20" x14ac:dyDescent="0.35">
      <c r="A998" t="s">
        <v>1719</v>
      </c>
      <c r="B998" t="s">
        <v>375</v>
      </c>
      <c r="C998" t="s">
        <v>206</v>
      </c>
      <c r="D998" t="s">
        <v>158</v>
      </c>
      <c r="E998" s="34">
        <v>1000000</v>
      </c>
      <c r="F998" s="29">
        <v>0.18260000000000001</v>
      </c>
      <c r="G998" s="30">
        <v>43838</v>
      </c>
      <c r="H998">
        <v>12</v>
      </c>
      <c r="I998">
        <v>0</v>
      </c>
      <c r="J998" s="34">
        <v>750000</v>
      </c>
      <c r="K998" t="s">
        <v>171</v>
      </c>
      <c r="L998" s="34">
        <f>PMT(Loans[[#This Row],[InterestRate]]/12,Loans[[#This Row],[LoanTenureMonths]],-Loans[[#This Row],[LoanAmount]])</f>
        <v>91803.775835159875</v>
      </c>
      <c r="M998" s="30">
        <f>EDATE(Loans[[#This Row],[LoanStartDate]],Loans[[#This Row],[LoanTenureMonths]])</f>
        <v>44204</v>
      </c>
      <c r="N998" s="33">
        <f>IF(Loans[[#This Row],[LoanAmount]]=0,0,Loans[[#This Row],[CollateralValue]]/Loans[[#This Row],[LoanAmount]])</f>
        <v>0.75</v>
      </c>
      <c r="O998" t="str">
        <f>IF(Loans[[#This Row],[CollateralCoverageRatio]]&lt;1,"Undersecured","Secured")</f>
        <v>Undersecured</v>
      </c>
      <c r="P998" t="str">
        <f>_xlfn.XLOOKUP(Loans[[#This Row],[BranchCode]],BranchesTbl[BranchCode],BranchesTbl[BranchName])</f>
        <v>Nyahururu</v>
      </c>
      <c r="Q998">
        <f>_xlfn.XLOOKUP(Loans[[#This Row],[CustomerID]],CustomerTbl[CustomerID],CustomerTbl[RiskScore])</f>
        <v>358</v>
      </c>
      <c r="R998" t="str">
        <f>IFERROR(INDEX(RiskTbl[Risk_Category],MATCH(Loans[[#This Row],[RiskScore]],RiskTbl[Score_Min],1)),"Unknown")</f>
        <v>High Risk</v>
      </c>
      <c r="S998" t="str">
        <f>IF(OR(Loans[[#This Row],[LoanStatus]]="Default",Loans[[#This Row],[LoanStatus]]="Watchlist",Loans[[#This Row],[CollateralRisk]]="Undersecured",Loans[[#This Row],[RiskCategory]]="High Risk"),"High Risk Exposure","Normal")</f>
        <v>High Risk Exposure</v>
      </c>
      <c r="T998" t="str" cm="1">
        <f t="array" ref="T998">_xlfn.IFS(
Loans[[#This Row],[LoanStatus]]="Default","Critical",
OR(Loans[[#This Row],[LoanStatus]]="Watchlist",Loans[[#This Row],[CollateralRisk]]="Undersecured",Loans[[#This Row],[RiskCategory]]="High Risk"),"High",
TRUE,"Normal"
)</f>
        <v>High</v>
      </c>
    </row>
    <row r="999" spans="1:20" x14ac:dyDescent="0.35">
      <c r="A999" t="s">
        <v>1720</v>
      </c>
      <c r="B999" t="s">
        <v>423</v>
      </c>
      <c r="C999" t="s">
        <v>187</v>
      </c>
      <c r="D999" t="s">
        <v>155</v>
      </c>
      <c r="E999" s="34">
        <v>1000000</v>
      </c>
      <c r="F999" s="29">
        <v>0.26619999999999999</v>
      </c>
      <c r="G999" s="30">
        <v>45822</v>
      </c>
      <c r="H999">
        <v>36</v>
      </c>
      <c r="I999">
        <v>45</v>
      </c>
      <c r="J999" s="34">
        <v>0</v>
      </c>
      <c r="K999" t="s">
        <v>199</v>
      </c>
      <c r="L999" s="34">
        <f>PMT(Loans[[#This Row],[InterestRate]]/12,Loans[[#This Row],[LoanTenureMonths]],-Loans[[#This Row],[LoanAmount]])</f>
        <v>40621.622928188583</v>
      </c>
      <c r="M999" s="30">
        <f>EDATE(Loans[[#This Row],[LoanStartDate]],Loans[[#This Row],[LoanTenureMonths]])</f>
        <v>46918</v>
      </c>
      <c r="N999" s="33">
        <f>IF(Loans[[#This Row],[LoanAmount]]=0,0,Loans[[#This Row],[CollateralValue]]/Loans[[#This Row],[LoanAmount]])</f>
        <v>0</v>
      </c>
      <c r="O999" t="str">
        <f>IF(Loans[[#This Row],[CollateralCoverageRatio]]&lt;1,"Undersecured","Secured")</f>
        <v>Undersecured</v>
      </c>
      <c r="P999" t="str">
        <f>_xlfn.XLOOKUP(Loans[[#This Row],[BranchCode]],BranchesTbl[BranchCode],BranchesTbl[BranchName])</f>
        <v>Eldoret</v>
      </c>
      <c r="Q999">
        <f>_xlfn.XLOOKUP(Loans[[#This Row],[CustomerID]],CustomerTbl[CustomerID],CustomerTbl[RiskScore])</f>
        <v>353</v>
      </c>
      <c r="R999" t="str">
        <f>IFERROR(INDEX(RiskTbl[Risk_Category],MATCH(Loans[[#This Row],[RiskScore]],RiskTbl[Score_Min],1)),"Unknown")</f>
        <v>High Risk</v>
      </c>
      <c r="S999" t="str">
        <f>IF(OR(Loans[[#This Row],[LoanStatus]]="Default",Loans[[#This Row],[LoanStatus]]="Watchlist",Loans[[#This Row],[CollateralRisk]]="Undersecured",Loans[[#This Row],[RiskCategory]]="High Risk"),"High Risk Exposure","Normal")</f>
        <v>High Risk Exposure</v>
      </c>
      <c r="T999" t="str" cm="1">
        <f t="array" ref="T999">_xlfn.IFS(
Loans[[#This Row],[LoanStatus]]="Default","Critical",
OR(Loans[[#This Row],[LoanStatus]]="Watchlist",Loans[[#This Row],[CollateralRisk]]="Undersecured",Loans[[#This Row],[RiskCategory]]="High Risk"),"High",
TRUE,"Normal"
)</f>
        <v>High</v>
      </c>
    </row>
    <row r="1000" spans="1:20" x14ac:dyDescent="0.35">
      <c r="A1000" t="s">
        <v>1721</v>
      </c>
      <c r="B1000" t="s">
        <v>997</v>
      </c>
      <c r="C1000" t="s">
        <v>184</v>
      </c>
      <c r="D1000" t="s">
        <v>157</v>
      </c>
      <c r="E1000" s="34">
        <v>25000000</v>
      </c>
      <c r="F1000" s="29">
        <v>0.13780000000000001</v>
      </c>
      <c r="G1000" s="30">
        <v>45317</v>
      </c>
      <c r="H1000">
        <v>48</v>
      </c>
      <c r="I1000">
        <v>120</v>
      </c>
      <c r="J1000" s="34">
        <v>34000000</v>
      </c>
      <c r="K1000" t="s">
        <v>178</v>
      </c>
      <c r="L1000" s="34">
        <f>PMT(Loans[[#This Row],[InterestRate]]/12,Loans[[#This Row],[LoanTenureMonths]],-Loans[[#This Row],[LoanAmount]])</f>
        <v>680406.14367675164</v>
      </c>
      <c r="M1000" s="30">
        <f>EDATE(Loans[[#This Row],[LoanStartDate]],Loans[[#This Row],[LoanTenureMonths]])</f>
        <v>46778</v>
      </c>
      <c r="N1000" s="33">
        <f>IF(Loans[[#This Row],[LoanAmount]]=0,0,Loans[[#This Row],[CollateralValue]]/Loans[[#This Row],[LoanAmount]])</f>
        <v>1.36</v>
      </c>
      <c r="O1000" t="str">
        <f>IF(Loans[[#This Row],[CollateralCoverageRatio]]&lt;1,"Undersecured","Secured")</f>
        <v>Secured</v>
      </c>
      <c r="P1000" t="str">
        <f>_xlfn.XLOOKUP(Loans[[#This Row],[BranchCode]],BranchesTbl[BranchCode],BranchesTbl[BranchName])</f>
        <v>Kisumu</v>
      </c>
      <c r="Q1000">
        <f>_xlfn.XLOOKUP(Loans[[#This Row],[CustomerID]],CustomerTbl[CustomerID],CustomerTbl[RiskScore])</f>
        <v>473</v>
      </c>
      <c r="R1000" t="str">
        <f>IFERROR(INDEX(RiskTbl[Risk_Category],MATCH(Loans[[#This Row],[RiskScore]],RiskTbl[Score_Min],1)),"Unknown")</f>
        <v>High Risk</v>
      </c>
      <c r="S1000" t="str">
        <f>IF(OR(Loans[[#This Row],[LoanStatus]]="Default",Loans[[#This Row],[LoanStatus]]="Watchlist",Loans[[#This Row],[CollateralRisk]]="Undersecured",Loans[[#This Row],[RiskCategory]]="High Risk"),"High Risk Exposure","Normal")</f>
        <v>High Risk Exposure</v>
      </c>
      <c r="T1000" t="str" cm="1">
        <f t="array" ref="T1000">_xlfn.IFS(
Loans[[#This Row],[LoanStatus]]="Default","Critical",
OR(Loans[[#This Row],[LoanStatus]]="Watchlist",Loans[[#This Row],[CollateralRisk]]="Undersecured",Loans[[#This Row],[RiskCategory]]="High Risk"),"High",
TRUE,"Normal"
)</f>
        <v>Critical</v>
      </c>
    </row>
    <row r="1001" spans="1:20" x14ac:dyDescent="0.35">
      <c r="A1001" t="s">
        <v>1722</v>
      </c>
      <c r="B1001" t="s">
        <v>1320</v>
      </c>
      <c r="C1001" t="s">
        <v>267</v>
      </c>
      <c r="D1001" t="s">
        <v>157</v>
      </c>
      <c r="E1001" s="34">
        <v>25000000</v>
      </c>
      <c r="F1001" s="29">
        <v>0.1009</v>
      </c>
      <c r="G1001" s="30">
        <v>45487</v>
      </c>
      <c r="H1001">
        <v>24</v>
      </c>
      <c r="I1001">
        <v>0</v>
      </c>
      <c r="J1001" s="34">
        <v>30000000</v>
      </c>
      <c r="K1001" t="s">
        <v>171</v>
      </c>
      <c r="L1001" s="34">
        <f>PMT(Loans[[#This Row],[InterestRate]]/12,Loans[[#This Row],[LoanTenureMonths]],-Loans[[#This Row],[LoanAmount]])</f>
        <v>1154661.9195949195</v>
      </c>
      <c r="M1001" s="30">
        <f>EDATE(Loans[[#This Row],[LoanStartDate]],Loans[[#This Row],[LoanTenureMonths]])</f>
        <v>46217</v>
      </c>
      <c r="N1001" s="33">
        <f>IF(Loans[[#This Row],[LoanAmount]]=0,0,Loans[[#This Row],[CollateralValue]]/Loans[[#This Row],[LoanAmount]])</f>
        <v>1.2</v>
      </c>
      <c r="O1001" t="str">
        <f>IF(Loans[[#This Row],[CollateralCoverageRatio]]&lt;1,"Undersecured","Secured")</f>
        <v>Secured</v>
      </c>
      <c r="P1001" t="str">
        <f>_xlfn.XLOOKUP(Loans[[#This Row],[BranchCode]],BranchesTbl[BranchCode],BranchesTbl[BranchName])</f>
        <v>Malindi</v>
      </c>
      <c r="Q1001">
        <f>_xlfn.XLOOKUP(Loans[[#This Row],[CustomerID]],CustomerTbl[CustomerID],CustomerTbl[RiskScore])</f>
        <v>627</v>
      </c>
      <c r="R1001" t="str">
        <f>IFERROR(INDEX(RiskTbl[Risk_Category],MATCH(Loans[[#This Row],[RiskScore]],RiskTbl[Score_Min],1)),"Unknown")</f>
        <v>Medium Risk</v>
      </c>
      <c r="S1001" t="str">
        <f>IF(OR(Loans[[#This Row],[LoanStatus]]="Default",Loans[[#This Row],[LoanStatus]]="Watchlist",Loans[[#This Row],[CollateralRisk]]="Undersecured",Loans[[#This Row],[RiskCategory]]="High Risk"),"High Risk Exposure","Normal")</f>
        <v>Normal</v>
      </c>
      <c r="T1001" t="str" cm="1">
        <f t="array" ref="T1001">_xlfn.IFS(
Loans[[#This Row],[LoanStatus]]="Default","Critical",
OR(Loans[[#This Row],[LoanStatus]]="Watchlist",Loans[[#This Row],[CollateralRisk]]="Undersecured",Loans[[#This Row],[RiskCategory]]="High Risk"),"High",
TRUE,"Normal"
)</f>
        <v>Normal</v>
      </c>
    </row>
    <row r="1002" spans="1:20" x14ac:dyDescent="0.35">
      <c r="A1002" t="s">
        <v>1723</v>
      </c>
      <c r="B1002" t="s">
        <v>904</v>
      </c>
      <c r="C1002" t="s">
        <v>219</v>
      </c>
      <c r="D1002" t="s">
        <v>156</v>
      </c>
      <c r="E1002" s="34">
        <v>3000000</v>
      </c>
      <c r="F1002" s="29">
        <v>0.2175</v>
      </c>
      <c r="G1002" s="30">
        <v>45909</v>
      </c>
      <c r="H1002">
        <v>24</v>
      </c>
      <c r="I1002">
        <v>0</v>
      </c>
      <c r="J1002" s="34">
        <v>1560000</v>
      </c>
      <c r="K1002" t="s">
        <v>171</v>
      </c>
      <c r="L1002" s="34">
        <f>PMT(Loans[[#This Row],[InterestRate]]/12,Loans[[#This Row],[LoanTenureMonths]],-Loans[[#This Row],[LoanAmount]])</f>
        <v>155264.3406040835</v>
      </c>
      <c r="M1002" s="30">
        <f>EDATE(Loans[[#This Row],[LoanStartDate]],Loans[[#This Row],[LoanTenureMonths]])</f>
        <v>46639</v>
      </c>
      <c r="N1002" s="33">
        <f>IF(Loans[[#This Row],[LoanAmount]]=0,0,Loans[[#This Row],[CollateralValue]]/Loans[[#This Row],[LoanAmount]])</f>
        <v>0.52</v>
      </c>
      <c r="O1002" t="str">
        <f>IF(Loans[[#This Row],[CollateralCoverageRatio]]&lt;1,"Undersecured","Secured")</f>
        <v>Undersecured</v>
      </c>
      <c r="P1002" t="str">
        <f>_xlfn.XLOOKUP(Loans[[#This Row],[BranchCode]],BranchesTbl[BranchCode],BranchesTbl[BranchName])</f>
        <v>Meru</v>
      </c>
      <c r="Q1002">
        <f>_xlfn.XLOOKUP(Loans[[#This Row],[CustomerID]],CustomerTbl[CustomerID],CustomerTbl[RiskScore])</f>
        <v>679</v>
      </c>
      <c r="R1002" t="str">
        <f>IFERROR(INDEX(RiskTbl[Risk_Category],MATCH(Loans[[#This Row],[RiskScore]],RiskTbl[Score_Min],1)),"Unknown")</f>
        <v>Low Risk</v>
      </c>
      <c r="S1002" t="str">
        <f>IF(OR(Loans[[#This Row],[LoanStatus]]="Default",Loans[[#This Row],[LoanStatus]]="Watchlist",Loans[[#This Row],[CollateralRisk]]="Undersecured",Loans[[#This Row],[RiskCategory]]="High Risk"),"High Risk Exposure","Normal")</f>
        <v>High Risk Exposure</v>
      </c>
      <c r="T1002" t="str" cm="1">
        <f t="array" ref="T1002">_xlfn.IFS(
Loans[[#This Row],[LoanStatus]]="Default","Critical",
OR(Loans[[#This Row],[LoanStatus]]="Watchlist",Loans[[#This Row],[CollateralRisk]]="Undersecured",Loans[[#This Row],[RiskCategory]]="High Risk"),"High",
TRUE,"Normal"
)</f>
        <v>High</v>
      </c>
    </row>
    <row r="1003" spans="1:20" x14ac:dyDescent="0.35">
      <c r="A1003" t="s">
        <v>1724</v>
      </c>
      <c r="B1003" t="s">
        <v>434</v>
      </c>
      <c r="C1003" t="s">
        <v>270</v>
      </c>
      <c r="D1003" t="s">
        <v>158</v>
      </c>
      <c r="E1003" s="34">
        <v>3000000</v>
      </c>
      <c r="F1003" s="29">
        <v>0.14169999999999999</v>
      </c>
      <c r="G1003" s="30">
        <v>44545</v>
      </c>
      <c r="H1003">
        <v>12</v>
      </c>
      <c r="I1003">
        <v>10</v>
      </c>
      <c r="J1003" s="34">
        <v>2760000</v>
      </c>
      <c r="K1003" t="s">
        <v>171</v>
      </c>
      <c r="L1003" s="34">
        <f>PMT(Loans[[#This Row],[InterestRate]]/12,Loans[[#This Row],[LoanTenureMonths]],-Loans[[#This Row],[LoanAmount]])</f>
        <v>269601.37598982977</v>
      </c>
      <c r="M1003" s="30">
        <f>EDATE(Loans[[#This Row],[LoanStartDate]],Loans[[#This Row],[LoanTenureMonths]])</f>
        <v>44910</v>
      </c>
      <c r="N1003" s="33">
        <f>IF(Loans[[#This Row],[LoanAmount]]=0,0,Loans[[#This Row],[CollateralValue]]/Loans[[#This Row],[LoanAmount]])</f>
        <v>0.92</v>
      </c>
      <c r="O1003" t="str">
        <f>IF(Loans[[#This Row],[CollateralCoverageRatio]]&lt;1,"Undersecured","Secured")</f>
        <v>Undersecured</v>
      </c>
      <c r="P1003" t="str">
        <f>_xlfn.XLOOKUP(Loans[[#This Row],[BranchCode]],BranchesTbl[BranchCode],BranchesTbl[BranchName])</f>
        <v>Nakuru</v>
      </c>
      <c r="Q1003">
        <f>_xlfn.XLOOKUP(Loans[[#This Row],[CustomerID]],CustomerTbl[CustomerID],CustomerTbl[RiskScore])</f>
        <v>642</v>
      </c>
      <c r="R1003" t="str">
        <f>IFERROR(INDEX(RiskTbl[Risk_Category],MATCH(Loans[[#This Row],[RiskScore]],RiskTbl[Score_Min],1)),"Unknown")</f>
        <v>Medium Risk</v>
      </c>
      <c r="S1003" t="str">
        <f>IF(OR(Loans[[#This Row],[LoanStatus]]="Default",Loans[[#This Row],[LoanStatus]]="Watchlist",Loans[[#This Row],[CollateralRisk]]="Undersecured",Loans[[#This Row],[RiskCategory]]="High Risk"),"High Risk Exposure","Normal")</f>
        <v>High Risk Exposure</v>
      </c>
      <c r="T1003" t="str" cm="1">
        <f t="array" ref="T1003">_xlfn.IFS(
Loans[[#This Row],[LoanStatus]]="Default","Critical",
OR(Loans[[#This Row],[LoanStatus]]="Watchlist",Loans[[#This Row],[CollateralRisk]]="Undersecured",Loans[[#This Row],[RiskCategory]]="High Risk"),"High",
TRUE,"Normal"
)</f>
        <v>High</v>
      </c>
    </row>
    <row r="1004" spans="1:20" x14ac:dyDescent="0.35">
      <c r="A1004" t="s">
        <v>1725</v>
      </c>
      <c r="B1004" t="s">
        <v>798</v>
      </c>
      <c r="C1004" t="s">
        <v>232</v>
      </c>
      <c r="D1004" t="s">
        <v>157</v>
      </c>
      <c r="E1004" s="34">
        <v>6000000</v>
      </c>
      <c r="F1004" s="29">
        <v>9.4299999999999995E-2</v>
      </c>
      <c r="G1004" s="30">
        <v>45965</v>
      </c>
      <c r="H1004">
        <v>60</v>
      </c>
      <c r="I1004">
        <v>0</v>
      </c>
      <c r="J1004" s="34">
        <v>6300000</v>
      </c>
      <c r="K1004" t="s">
        <v>171</v>
      </c>
      <c r="L1004" s="34">
        <f>PMT(Loans[[#This Row],[InterestRate]]/12,Loans[[#This Row],[LoanTenureMonths]],-Loans[[#This Row],[LoanAmount]])</f>
        <v>125806.01622107046</v>
      </c>
      <c r="M1004" s="30">
        <f>EDATE(Loans[[#This Row],[LoanStartDate]],Loans[[#This Row],[LoanTenureMonths]])</f>
        <v>47791</v>
      </c>
      <c r="N1004" s="33">
        <f>IF(Loans[[#This Row],[LoanAmount]]=0,0,Loans[[#This Row],[CollateralValue]]/Loans[[#This Row],[LoanAmount]])</f>
        <v>1.05</v>
      </c>
      <c r="O1004" t="str">
        <f>IF(Loans[[#This Row],[CollateralCoverageRatio]]&lt;1,"Undersecured","Secured")</f>
        <v>Secured</v>
      </c>
      <c r="P1004" t="str">
        <f>_xlfn.XLOOKUP(Loans[[#This Row],[BranchCode]],BranchesTbl[BranchCode],BranchesTbl[BranchName])</f>
        <v>Upper Hill</v>
      </c>
      <c r="Q1004">
        <f>_xlfn.XLOOKUP(Loans[[#This Row],[CustomerID]],CustomerTbl[CustomerID],CustomerTbl[RiskScore])</f>
        <v>642</v>
      </c>
      <c r="R1004" t="str">
        <f>IFERROR(INDEX(RiskTbl[Risk_Category],MATCH(Loans[[#This Row],[RiskScore]],RiskTbl[Score_Min],1)),"Unknown")</f>
        <v>Medium Risk</v>
      </c>
      <c r="S1004" t="str">
        <f>IF(OR(Loans[[#This Row],[LoanStatus]]="Default",Loans[[#This Row],[LoanStatus]]="Watchlist",Loans[[#This Row],[CollateralRisk]]="Undersecured",Loans[[#This Row],[RiskCategory]]="High Risk"),"High Risk Exposure","Normal")</f>
        <v>Normal</v>
      </c>
      <c r="T1004" t="str" cm="1">
        <f t="array" ref="T1004">_xlfn.IFS(
Loans[[#This Row],[LoanStatus]]="Default","Critical",
OR(Loans[[#This Row],[LoanStatus]]="Watchlist",Loans[[#This Row],[CollateralRisk]]="Undersecured",Loans[[#This Row],[RiskCategory]]="High Risk"),"High",
TRUE,"Normal"
)</f>
        <v>Normal</v>
      </c>
    </row>
    <row r="1005" spans="1:20" x14ac:dyDescent="0.35">
      <c r="A1005" t="s">
        <v>1726</v>
      </c>
      <c r="B1005" t="s">
        <v>492</v>
      </c>
      <c r="C1005" t="s">
        <v>184</v>
      </c>
      <c r="D1005" t="s">
        <v>158</v>
      </c>
      <c r="E1005" s="34">
        <v>6000000</v>
      </c>
      <c r="F1005" s="29">
        <v>0.15060000000000001</v>
      </c>
      <c r="G1005" s="30">
        <v>44404</v>
      </c>
      <c r="H1005">
        <v>24</v>
      </c>
      <c r="I1005">
        <v>0</v>
      </c>
      <c r="J1005" s="34">
        <v>8820000</v>
      </c>
      <c r="K1005" t="s">
        <v>171</v>
      </c>
      <c r="L1005" s="34">
        <f>PMT(Loans[[#This Row],[InterestRate]]/12,Loans[[#This Row],[LoanTenureMonths]],-Loans[[#This Row],[LoanAmount]])</f>
        <v>291090.95871047227</v>
      </c>
      <c r="M1005" s="30">
        <f>EDATE(Loans[[#This Row],[LoanStartDate]],Loans[[#This Row],[LoanTenureMonths]])</f>
        <v>45134</v>
      </c>
      <c r="N1005" s="33">
        <f>IF(Loans[[#This Row],[LoanAmount]]=0,0,Loans[[#This Row],[CollateralValue]]/Loans[[#This Row],[LoanAmount]])</f>
        <v>1.47</v>
      </c>
      <c r="O1005" t="str">
        <f>IF(Loans[[#This Row],[CollateralCoverageRatio]]&lt;1,"Undersecured","Secured")</f>
        <v>Secured</v>
      </c>
      <c r="P1005" t="str">
        <f>_xlfn.XLOOKUP(Loans[[#This Row],[BranchCode]],BranchesTbl[BranchCode],BranchesTbl[BranchName])</f>
        <v>Kisumu</v>
      </c>
      <c r="Q1005">
        <f>_xlfn.XLOOKUP(Loans[[#This Row],[CustomerID]],CustomerTbl[CustomerID],CustomerTbl[RiskScore])</f>
        <v>778</v>
      </c>
      <c r="R1005" t="str">
        <f>IFERROR(INDEX(RiskTbl[Risk_Category],MATCH(Loans[[#This Row],[RiskScore]],RiskTbl[Score_Min],1)),"Unknown")</f>
        <v>Very Low Risk</v>
      </c>
      <c r="S1005" t="str">
        <f>IF(OR(Loans[[#This Row],[LoanStatus]]="Default",Loans[[#This Row],[LoanStatus]]="Watchlist",Loans[[#This Row],[CollateralRisk]]="Undersecured",Loans[[#This Row],[RiskCategory]]="High Risk"),"High Risk Exposure","Normal")</f>
        <v>Normal</v>
      </c>
      <c r="T1005" t="str" cm="1">
        <f t="array" ref="T1005">_xlfn.IFS(
Loans[[#This Row],[LoanStatus]]="Default","Critical",
OR(Loans[[#This Row],[LoanStatus]]="Watchlist",Loans[[#This Row],[CollateralRisk]]="Undersecured",Loans[[#This Row],[RiskCategory]]="High Risk"),"High",
TRUE,"Normal"
)</f>
        <v>Normal</v>
      </c>
    </row>
    <row r="1006" spans="1:20" x14ac:dyDescent="0.35">
      <c r="A1006" t="s">
        <v>1727</v>
      </c>
      <c r="B1006" t="s">
        <v>1728</v>
      </c>
      <c r="C1006" t="s">
        <v>181</v>
      </c>
      <c r="D1006" t="s">
        <v>155</v>
      </c>
      <c r="E1006" s="34">
        <v>1000000</v>
      </c>
      <c r="F1006" s="29">
        <v>0.2419</v>
      </c>
      <c r="G1006" s="30">
        <v>45712</v>
      </c>
      <c r="H1006">
        <v>36</v>
      </c>
      <c r="I1006">
        <v>20</v>
      </c>
      <c r="J1006" s="34">
        <v>0</v>
      </c>
      <c r="K1006" t="s">
        <v>171</v>
      </c>
      <c r="L1006" s="34">
        <f>PMT(Loans[[#This Row],[InterestRate]]/12,Loans[[#This Row],[LoanTenureMonths]],-Loans[[#This Row],[LoanAmount]])</f>
        <v>39332.682494896893</v>
      </c>
      <c r="M1006" s="30">
        <f>EDATE(Loans[[#This Row],[LoanStartDate]],Loans[[#This Row],[LoanTenureMonths]])</f>
        <v>46807</v>
      </c>
      <c r="N1006" s="33">
        <f>IF(Loans[[#This Row],[LoanAmount]]=0,0,Loans[[#This Row],[CollateralValue]]/Loans[[#This Row],[LoanAmount]])</f>
        <v>0</v>
      </c>
      <c r="O1006" t="str">
        <f>IF(Loans[[#This Row],[CollateralCoverageRatio]]&lt;1,"Undersecured","Secured")</f>
        <v>Undersecured</v>
      </c>
      <c r="P1006" t="str">
        <f>_xlfn.XLOOKUP(Loans[[#This Row],[BranchCode]],BranchesTbl[BranchCode],BranchesTbl[BranchName])</f>
        <v>Kitale</v>
      </c>
      <c r="Q1006">
        <f>_xlfn.XLOOKUP(Loans[[#This Row],[CustomerID]],CustomerTbl[CustomerID],CustomerTbl[RiskScore])</f>
        <v>514</v>
      </c>
      <c r="R1006" t="str">
        <f>IFERROR(INDEX(RiskTbl[Risk_Category],MATCH(Loans[[#This Row],[RiskScore]],RiskTbl[Score_Min],1)),"Unknown")</f>
        <v>High Risk</v>
      </c>
      <c r="S1006" t="str">
        <f>IF(OR(Loans[[#This Row],[LoanStatus]]="Default",Loans[[#This Row],[LoanStatus]]="Watchlist",Loans[[#This Row],[CollateralRisk]]="Undersecured",Loans[[#This Row],[RiskCategory]]="High Risk"),"High Risk Exposure","Normal")</f>
        <v>High Risk Exposure</v>
      </c>
      <c r="T1006" t="str" cm="1">
        <f t="array" ref="T1006">_xlfn.IFS(
Loans[[#This Row],[LoanStatus]]="Default","Critical",
OR(Loans[[#This Row],[LoanStatus]]="Watchlist",Loans[[#This Row],[CollateralRisk]]="Undersecured",Loans[[#This Row],[RiskCategory]]="High Risk"),"High",
TRUE,"Normal"
)</f>
        <v>High</v>
      </c>
    </row>
    <row r="1007" spans="1:20" x14ac:dyDescent="0.35">
      <c r="A1007" t="s">
        <v>1729</v>
      </c>
      <c r="B1007" t="s">
        <v>1679</v>
      </c>
      <c r="C1007" t="s">
        <v>219</v>
      </c>
      <c r="D1007" t="s">
        <v>155</v>
      </c>
      <c r="E1007" s="34">
        <v>1000000</v>
      </c>
      <c r="F1007" s="29">
        <v>0.2455</v>
      </c>
      <c r="G1007" s="30">
        <v>44538</v>
      </c>
      <c r="H1007">
        <v>72</v>
      </c>
      <c r="I1007">
        <v>120</v>
      </c>
      <c r="J1007" s="34">
        <v>0</v>
      </c>
      <c r="K1007" t="s">
        <v>178</v>
      </c>
      <c r="L1007" s="34">
        <f>PMT(Loans[[#This Row],[InterestRate]]/12,Loans[[#This Row],[LoanTenureMonths]],-Loans[[#This Row],[LoanAmount]])</f>
        <v>26661.708758535169</v>
      </c>
      <c r="M1007" s="30">
        <f>EDATE(Loans[[#This Row],[LoanStartDate]],Loans[[#This Row],[LoanTenureMonths]])</f>
        <v>46729</v>
      </c>
      <c r="N1007" s="33">
        <f>IF(Loans[[#This Row],[LoanAmount]]=0,0,Loans[[#This Row],[CollateralValue]]/Loans[[#This Row],[LoanAmount]])</f>
        <v>0</v>
      </c>
      <c r="O1007" t="str">
        <f>IF(Loans[[#This Row],[CollateralCoverageRatio]]&lt;1,"Undersecured","Secured")</f>
        <v>Undersecured</v>
      </c>
      <c r="P1007" t="str">
        <f>_xlfn.XLOOKUP(Loans[[#This Row],[BranchCode]],BranchesTbl[BranchCode],BranchesTbl[BranchName])</f>
        <v>Meru</v>
      </c>
      <c r="Q1007">
        <f>_xlfn.XLOOKUP(Loans[[#This Row],[CustomerID]],CustomerTbl[CustomerID],CustomerTbl[RiskScore])</f>
        <v>639</v>
      </c>
      <c r="R1007" t="str">
        <f>IFERROR(INDEX(RiskTbl[Risk_Category],MATCH(Loans[[#This Row],[RiskScore]],RiskTbl[Score_Min],1)),"Unknown")</f>
        <v>Medium Risk</v>
      </c>
      <c r="S1007" t="str">
        <f>IF(OR(Loans[[#This Row],[LoanStatus]]="Default",Loans[[#This Row],[LoanStatus]]="Watchlist",Loans[[#This Row],[CollateralRisk]]="Undersecured",Loans[[#This Row],[RiskCategory]]="High Risk"),"High Risk Exposure","Normal")</f>
        <v>High Risk Exposure</v>
      </c>
      <c r="T1007" t="str" cm="1">
        <f t="array" ref="T1007">_xlfn.IFS(
Loans[[#This Row],[LoanStatus]]="Default","Critical",
OR(Loans[[#This Row],[LoanStatus]]="Watchlist",Loans[[#This Row],[CollateralRisk]]="Undersecured",Loans[[#This Row],[RiskCategory]]="High Risk"),"High",
TRUE,"Normal"
)</f>
        <v>Critical</v>
      </c>
    </row>
    <row r="1008" spans="1:20" x14ac:dyDescent="0.35">
      <c r="A1008" t="s">
        <v>1730</v>
      </c>
      <c r="B1008" t="s">
        <v>470</v>
      </c>
      <c r="C1008" t="s">
        <v>190</v>
      </c>
      <c r="D1008" t="s">
        <v>157</v>
      </c>
      <c r="E1008" s="34">
        <v>25000000</v>
      </c>
      <c r="F1008" s="29">
        <v>9.9299999999999999E-2</v>
      </c>
      <c r="G1008" s="30">
        <v>45378</v>
      </c>
      <c r="H1008">
        <v>48</v>
      </c>
      <c r="I1008">
        <v>0</v>
      </c>
      <c r="J1008" s="34">
        <v>23500000</v>
      </c>
      <c r="K1008" t="s">
        <v>171</v>
      </c>
      <c r="L1008" s="34">
        <f>PMT(Loans[[#This Row],[InterestRate]]/12,Loans[[#This Row],[LoanTenureMonths]],-Loans[[#This Row],[LoanAmount]])</f>
        <v>633224.48942531704</v>
      </c>
      <c r="M1008" s="30">
        <f>EDATE(Loans[[#This Row],[LoanStartDate]],Loans[[#This Row],[LoanTenureMonths]])</f>
        <v>46839</v>
      </c>
      <c r="N1008" s="33">
        <f>IF(Loans[[#This Row],[LoanAmount]]=0,0,Loans[[#This Row],[CollateralValue]]/Loans[[#This Row],[LoanAmount]])</f>
        <v>0.94</v>
      </c>
      <c r="O1008" t="str">
        <f>IF(Loans[[#This Row],[CollateralCoverageRatio]]&lt;1,"Undersecured","Secured")</f>
        <v>Undersecured</v>
      </c>
      <c r="P1008" t="str">
        <f>_xlfn.XLOOKUP(Loans[[#This Row],[BranchCode]],BranchesTbl[BranchCode],BranchesTbl[BranchName])</f>
        <v>Nyeri</v>
      </c>
      <c r="Q1008">
        <f>_xlfn.XLOOKUP(Loans[[#This Row],[CustomerID]],CustomerTbl[CustomerID],CustomerTbl[RiskScore])</f>
        <v>660</v>
      </c>
      <c r="R1008" t="str">
        <f>IFERROR(INDEX(RiskTbl[Risk_Category],MATCH(Loans[[#This Row],[RiskScore]],RiskTbl[Score_Min],1)),"Unknown")</f>
        <v>Medium Risk</v>
      </c>
      <c r="S1008" t="str">
        <f>IF(OR(Loans[[#This Row],[LoanStatus]]="Default",Loans[[#This Row],[LoanStatus]]="Watchlist",Loans[[#This Row],[CollateralRisk]]="Undersecured",Loans[[#This Row],[RiskCategory]]="High Risk"),"High Risk Exposure","Normal")</f>
        <v>High Risk Exposure</v>
      </c>
      <c r="T1008" t="str" cm="1">
        <f t="array" ref="T1008">_xlfn.IFS(
Loans[[#This Row],[LoanStatus]]="Default","Critical",
OR(Loans[[#This Row],[LoanStatus]]="Watchlist",Loans[[#This Row],[CollateralRisk]]="Undersecured",Loans[[#This Row],[RiskCategory]]="High Risk"),"High",
TRUE,"Normal"
)</f>
        <v>High</v>
      </c>
    </row>
    <row r="1009" spans="1:20" x14ac:dyDescent="0.35">
      <c r="A1009" t="s">
        <v>1731</v>
      </c>
      <c r="B1009" t="s">
        <v>1732</v>
      </c>
      <c r="C1009" t="s">
        <v>232</v>
      </c>
      <c r="D1009" t="s">
        <v>155</v>
      </c>
      <c r="E1009" s="34">
        <v>100000</v>
      </c>
      <c r="F1009" s="29">
        <v>0.21240000000000001</v>
      </c>
      <c r="G1009" s="30">
        <v>44269</v>
      </c>
      <c r="H1009">
        <v>24</v>
      </c>
      <c r="I1009">
        <v>0</v>
      </c>
      <c r="J1009" s="34">
        <v>0</v>
      </c>
      <c r="K1009" t="s">
        <v>171</v>
      </c>
      <c r="L1009" s="34">
        <f>PMT(Loans[[#This Row],[InterestRate]]/12,Loans[[#This Row],[LoanTenureMonths]],-Loans[[#This Row],[LoanAmount]])</f>
        <v>5150.3609960943395</v>
      </c>
      <c r="M1009" s="30">
        <f>EDATE(Loans[[#This Row],[LoanStartDate]],Loans[[#This Row],[LoanTenureMonths]])</f>
        <v>44999</v>
      </c>
      <c r="N1009" s="33">
        <f>IF(Loans[[#This Row],[LoanAmount]]=0,0,Loans[[#This Row],[CollateralValue]]/Loans[[#This Row],[LoanAmount]])</f>
        <v>0</v>
      </c>
      <c r="O1009" t="str">
        <f>IF(Loans[[#This Row],[CollateralCoverageRatio]]&lt;1,"Undersecured","Secured")</f>
        <v>Undersecured</v>
      </c>
      <c r="P1009" t="str">
        <f>_xlfn.XLOOKUP(Loans[[#This Row],[BranchCode]],BranchesTbl[BranchCode],BranchesTbl[BranchName])</f>
        <v>Upper Hill</v>
      </c>
      <c r="Q1009">
        <f>_xlfn.XLOOKUP(Loans[[#This Row],[CustomerID]],CustomerTbl[CustomerID],CustomerTbl[RiskScore])</f>
        <v>588</v>
      </c>
      <c r="R1009" t="str">
        <f>IFERROR(INDEX(RiskTbl[Risk_Category],MATCH(Loans[[#This Row],[RiskScore]],RiskTbl[Score_Min],1)),"Unknown")</f>
        <v>Medium Risk</v>
      </c>
      <c r="S1009" t="str">
        <f>IF(OR(Loans[[#This Row],[LoanStatus]]="Default",Loans[[#This Row],[LoanStatus]]="Watchlist",Loans[[#This Row],[CollateralRisk]]="Undersecured",Loans[[#This Row],[RiskCategory]]="High Risk"),"High Risk Exposure","Normal")</f>
        <v>High Risk Exposure</v>
      </c>
      <c r="T1009" t="str" cm="1">
        <f t="array" ref="T1009">_xlfn.IFS(
Loans[[#This Row],[LoanStatus]]="Default","Critical",
OR(Loans[[#This Row],[LoanStatus]]="Watchlist",Loans[[#This Row],[CollateralRisk]]="Undersecured",Loans[[#This Row],[RiskCategory]]="High Risk"),"High",
TRUE,"Normal"
)</f>
        <v>High</v>
      </c>
    </row>
    <row r="1010" spans="1:20" x14ac:dyDescent="0.35">
      <c r="A1010" t="s">
        <v>1733</v>
      </c>
      <c r="B1010" t="s">
        <v>266</v>
      </c>
      <c r="C1010" t="s">
        <v>174</v>
      </c>
      <c r="D1010" t="s">
        <v>158</v>
      </c>
      <c r="E1010" s="34">
        <v>6000000</v>
      </c>
      <c r="F1010" s="29">
        <v>0.15959999999999999</v>
      </c>
      <c r="G1010" s="30">
        <v>44353</v>
      </c>
      <c r="H1010">
        <v>48</v>
      </c>
      <c r="I1010">
        <v>5</v>
      </c>
      <c r="J1010" s="34">
        <v>4800000</v>
      </c>
      <c r="K1010" t="s">
        <v>171</v>
      </c>
      <c r="L1010" s="34">
        <f>PMT(Loans[[#This Row],[InterestRate]]/12,Loans[[#This Row],[LoanTenureMonths]],-Loans[[#This Row],[LoanAmount]])</f>
        <v>169918.79334582752</v>
      </c>
      <c r="M1010" s="30">
        <f>EDATE(Loans[[#This Row],[LoanStartDate]],Loans[[#This Row],[LoanTenureMonths]])</f>
        <v>45814</v>
      </c>
      <c r="N1010" s="33">
        <f>IF(Loans[[#This Row],[LoanAmount]]=0,0,Loans[[#This Row],[CollateralValue]]/Loans[[#This Row],[LoanAmount]])</f>
        <v>0.8</v>
      </c>
      <c r="O1010" t="str">
        <f>IF(Loans[[#This Row],[CollateralCoverageRatio]]&lt;1,"Undersecured","Secured")</f>
        <v>Undersecured</v>
      </c>
      <c r="P1010" t="str">
        <f>_xlfn.XLOOKUP(Loans[[#This Row],[BranchCode]],BranchesTbl[BranchCode],BranchesTbl[BranchName])</f>
        <v>Westlands</v>
      </c>
      <c r="Q1010">
        <f>_xlfn.XLOOKUP(Loans[[#This Row],[CustomerID]],CustomerTbl[CustomerID],CustomerTbl[RiskScore])</f>
        <v>511</v>
      </c>
      <c r="R1010" t="str">
        <f>IFERROR(INDEX(RiskTbl[Risk_Category],MATCH(Loans[[#This Row],[RiskScore]],RiskTbl[Score_Min],1)),"Unknown")</f>
        <v>High Risk</v>
      </c>
      <c r="S1010" t="str">
        <f>IF(OR(Loans[[#This Row],[LoanStatus]]="Default",Loans[[#This Row],[LoanStatus]]="Watchlist",Loans[[#This Row],[CollateralRisk]]="Undersecured",Loans[[#This Row],[RiskCategory]]="High Risk"),"High Risk Exposure","Normal")</f>
        <v>High Risk Exposure</v>
      </c>
      <c r="T1010" t="str" cm="1">
        <f t="array" ref="T1010">_xlfn.IFS(
Loans[[#This Row],[LoanStatus]]="Default","Critical",
OR(Loans[[#This Row],[LoanStatus]]="Watchlist",Loans[[#This Row],[CollateralRisk]]="Undersecured",Loans[[#This Row],[RiskCategory]]="High Risk"),"High",
TRUE,"Normal"
)</f>
        <v>High</v>
      </c>
    </row>
    <row r="1011" spans="1:20" x14ac:dyDescent="0.35">
      <c r="A1011" t="s">
        <v>1734</v>
      </c>
      <c r="B1011" t="s">
        <v>1629</v>
      </c>
      <c r="C1011" t="s">
        <v>170</v>
      </c>
      <c r="D1011" t="s">
        <v>155</v>
      </c>
      <c r="E1011" s="34">
        <v>100000</v>
      </c>
      <c r="F1011" s="29">
        <v>0.18759999999999999</v>
      </c>
      <c r="G1011" s="30">
        <v>45947</v>
      </c>
      <c r="H1011">
        <v>12</v>
      </c>
      <c r="I1011">
        <v>0</v>
      </c>
      <c r="J1011" s="34">
        <v>0</v>
      </c>
      <c r="K1011" t="s">
        <v>171</v>
      </c>
      <c r="L1011" s="34">
        <f>PMT(Loans[[#This Row],[InterestRate]]/12,Loans[[#This Row],[LoanTenureMonths]],-Loans[[#This Row],[LoanAmount]])</f>
        <v>9204.2075245166106</v>
      </c>
      <c r="M1011" s="30">
        <f>EDATE(Loans[[#This Row],[LoanStartDate]],Loans[[#This Row],[LoanTenureMonths]])</f>
        <v>46312</v>
      </c>
      <c r="N1011" s="33">
        <f>IF(Loans[[#This Row],[LoanAmount]]=0,0,Loans[[#This Row],[CollateralValue]]/Loans[[#This Row],[LoanAmount]])</f>
        <v>0</v>
      </c>
      <c r="O1011" t="str">
        <f>IF(Loans[[#This Row],[CollateralCoverageRatio]]&lt;1,"Undersecured","Secured")</f>
        <v>Undersecured</v>
      </c>
      <c r="P1011" t="str">
        <f>_xlfn.XLOOKUP(Loans[[#This Row],[BranchCode]],BranchesTbl[BranchCode],BranchesTbl[BranchName])</f>
        <v>Thika</v>
      </c>
      <c r="Q1011">
        <f>_xlfn.XLOOKUP(Loans[[#This Row],[CustomerID]],CustomerTbl[CustomerID],CustomerTbl[RiskScore])</f>
        <v>802</v>
      </c>
      <c r="R1011" t="str">
        <f>IFERROR(INDEX(RiskTbl[Risk_Category],MATCH(Loans[[#This Row],[RiskScore]],RiskTbl[Score_Min],1)),"Unknown")</f>
        <v>Prime</v>
      </c>
      <c r="S1011" t="str">
        <f>IF(OR(Loans[[#This Row],[LoanStatus]]="Default",Loans[[#This Row],[LoanStatus]]="Watchlist",Loans[[#This Row],[CollateralRisk]]="Undersecured",Loans[[#This Row],[RiskCategory]]="High Risk"),"High Risk Exposure","Normal")</f>
        <v>High Risk Exposure</v>
      </c>
      <c r="T1011" t="str" cm="1">
        <f t="array" ref="T1011">_xlfn.IFS(
Loans[[#This Row],[LoanStatus]]="Default","Critical",
OR(Loans[[#This Row],[LoanStatus]]="Watchlist",Loans[[#This Row],[CollateralRisk]]="Undersecured",Loans[[#This Row],[RiskCategory]]="High Risk"),"High",
TRUE,"Normal"
)</f>
        <v>High</v>
      </c>
    </row>
    <row r="1012" spans="1:20" x14ac:dyDescent="0.35">
      <c r="A1012" t="s">
        <v>1735</v>
      </c>
      <c r="B1012" t="s">
        <v>1087</v>
      </c>
      <c r="C1012" t="s">
        <v>206</v>
      </c>
      <c r="D1012" t="s">
        <v>158</v>
      </c>
      <c r="E1012" s="34">
        <v>6000000</v>
      </c>
      <c r="F1012" s="29">
        <v>0.18720000000000001</v>
      </c>
      <c r="G1012" s="30">
        <v>44385</v>
      </c>
      <c r="H1012">
        <v>48</v>
      </c>
      <c r="I1012">
        <v>120</v>
      </c>
      <c r="J1012" s="34">
        <v>7980000</v>
      </c>
      <c r="K1012" t="s">
        <v>178</v>
      </c>
      <c r="L1012" s="34">
        <f>PMT(Loans[[#This Row],[InterestRate]]/12,Loans[[#This Row],[LoanTenureMonths]],-Loans[[#This Row],[LoanAmount]])</f>
        <v>178515.40073638581</v>
      </c>
      <c r="M1012" s="30">
        <f>EDATE(Loans[[#This Row],[LoanStartDate]],Loans[[#This Row],[LoanTenureMonths]])</f>
        <v>45846</v>
      </c>
      <c r="N1012" s="33">
        <f>IF(Loans[[#This Row],[LoanAmount]]=0,0,Loans[[#This Row],[CollateralValue]]/Loans[[#This Row],[LoanAmount]])</f>
        <v>1.33</v>
      </c>
      <c r="O1012" t="str">
        <f>IF(Loans[[#This Row],[CollateralCoverageRatio]]&lt;1,"Undersecured","Secured")</f>
        <v>Secured</v>
      </c>
      <c r="P1012" t="str">
        <f>_xlfn.XLOOKUP(Loans[[#This Row],[BranchCode]],BranchesTbl[BranchCode],BranchesTbl[BranchName])</f>
        <v>Nyahururu</v>
      </c>
      <c r="Q1012">
        <f>_xlfn.XLOOKUP(Loans[[#This Row],[CustomerID]],CustomerTbl[CustomerID],CustomerTbl[RiskScore])</f>
        <v>332</v>
      </c>
      <c r="R1012" t="str">
        <f>IFERROR(INDEX(RiskTbl[Risk_Category],MATCH(Loans[[#This Row],[RiskScore]],RiskTbl[Score_Min],1)),"Unknown")</f>
        <v>High Risk</v>
      </c>
      <c r="S1012" t="str">
        <f>IF(OR(Loans[[#This Row],[LoanStatus]]="Default",Loans[[#This Row],[LoanStatus]]="Watchlist",Loans[[#This Row],[CollateralRisk]]="Undersecured",Loans[[#This Row],[RiskCategory]]="High Risk"),"High Risk Exposure","Normal")</f>
        <v>High Risk Exposure</v>
      </c>
      <c r="T1012" t="str" cm="1">
        <f t="array" ref="T1012">_xlfn.IFS(
Loans[[#This Row],[LoanStatus]]="Default","Critical",
OR(Loans[[#This Row],[LoanStatus]]="Watchlist",Loans[[#This Row],[CollateralRisk]]="Undersecured",Loans[[#This Row],[RiskCategory]]="High Risk"),"High",
TRUE,"Normal"
)</f>
        <v>Critical</v>
      </c>
    </row>
    <row r="1013" spans="1:20" x14ac:dyDescent="0.35">
      <c r="A1013" t="s">
        <v>1736</v>
      </c>
      <c r="B1013" t="s">
        <v>446</v>
      </c>
      <c r="C1013" t="s">
        <v>181</v>
      </c>
      <c r="D1013" t="s">
        <v>158</v>
      </c>
      <c r="E1013" s="34">
        <v>500000</v>
      </c>
      <c r="F1013" s="29">
        <v>0.1258</v>
      </c>
      <c r="G1013" s="30">
        <v>44783</v>
      </c>
      <c r="H1013">
        <v>12</v>
      </c>
      <c r="I1013">
        <v>120</v>
      </c>
      <c r="J1013" s="34">
        <v>465000</v>
      </c>
      <c r="K1013" t="s">
        <v>178</v>
      </c>
      <c r="L1013" s="34">
        <f>PMT(Loans[[#This Row],[InterestRate]]/12,Loans[[#This Row],[LoanTenureMonths]],-Loans[[#This Row],[LoanAmount]])</f>
        <v>44560.173009302955</v>
      </c>
      <c r="M1013" s="30">
        <f>EDATE(Loans[[#This Row],[LoanStartDate]],Loans[[#This Row],[LoanTenureMonths]])</f>
        <v>45148</v>
      </c>
      <c r="N1013" s="33">
        <f>IF(Loans[[#This Row],[LoanAmount]]=0,0,Loans[[#This Row],[CollateralValue]]/Loans[[#This Row],[LoanAmount]])</f>
        <v>0.93</v>
      </c>
      <c r="O1013" t="str">
        <f>IF(Loans[[#This Row],[CollateralCoverageRatio]]&lt;1,"Undersecured","Secured")</f>
        <v>Undersecured</v>
      </c>
      <c r="P1013" t="str">
        <f>_xlfn.XLOOKUP(Loans[[#This Row],[BranchCode]],BranchesTbl[BranchCode],BranchesTbl[BranchName])</f>
        <v>Kitale</v>
      </c>
      <c r="Q1013">
        <f>_xlfn.XLOOKUP(Loans[[#This Row],[CustomerID]],CustomerTbl[CustomerID],CustomerTbl[RiskScore])</f>
        <v>345</v>
      </c>
      <c r="R1013" t="str">
        <f>IFERROR(INDEX(RiskTbl[Risk_Category],MATCH(Loans[[#This Row],[RiskScore]],RiskTbl[Score_Min],1)),"Unknown")</f>
        <v>High Risk</v>
      </c>
      <c r="S1013" t="str">
        <f>IF(OR(Loans[[#This Row],[LoanStatus]]="Default",Loans[[#This Row],[LoanStatus]]="Watchlist",Loans[[#This Row],[CollateralRisk]]="Undersecured",Loans[[#This Row],[RiskCategory]]="High Risk"),"High Risk Exposure","Normal")</f>
        <v>High Risk Exposure</v>
      </c>
      <c r="T1013" t="str" cm="1">
        <f t="array" ref="T1013">_xlfn.IFS(
Loans[[#This Row],[LoanStatus]]="Default","Critical",
OR(Loans[[#This Row],[LoanStatus]]="Watchlist",Loans[[#This Row],[CollateralRisk]]="Undersecured",Loans[[#This Row],[RiskCategory]]="High Risk"),"High",
TRUE,"Normal"
)</f>
        <v>Critical</v>
      </c>
    </row>
    <row r="1014" spans="1:20" x14ac:dyDescent="0.35">
      <c r="A1014" t="s">
        <v>1737</v>
      </c>
      <c r="B1014" t="s">
        <v>264</v>
      </c>
      <c r="C1014" t="s">
        <v>170</v>
      </c>
      <c r="D1014" t="s">
        <v>158</v>
      </c>
      <c r="E1014" s="34">
        <v>6000000</v>
      </c>
      <c r="F1014" s="29">
        <v>0.183</v>
      </c>
      <c r="G1014" s="30">
        <v>44724</v>
      </c>
      <c r="H1014">
        <v>60</v>
      </c>
      <c r="I1014">
        <v>10</v>
      </c>
      <c r="J1014" s="34">
        <v>5940000</v>
      </c>
      <c r="K1014" t="s">
        <v>171</v>
      </c>
      <c r="L1014" s="34">
        <f>PMT(Loans[[#This Row],[InterestRate]]/12,Loans[[#This Row],[LoanTenureMonths]],-Loans[[#This Row],[LoanAmount]])</f>
        <v>153341.45285308966</v>
      </c>
      <c r="M1014" s="30">
        <f>EDATE(Loans[[#This Row],[LoanStartDate]],Loans[[#This Row],[LoanTenureMonths]])</f>
        <v>46550</v>
      </c>
      <c r="N1014" s="33">
        <f>IF(Loans[[#This Row],[LoanAmount]]=0,0,Loans[[#This Row],[CollateralValue]]/Loans[[#This Row],[LoanAmount]])</f>
        <v>0.99</v>
      </c>
      <c r="O1014" t="str">
        <f>IF(Loans[[#This Row],[CollateralCoverageRatio]]&lt;1,"Undersecured","Secured")</f>
        <v>Undersecured</v>
      </c>
      <c r="P1014" t="str">
        <f>_xlfn.XLOOKUP(Loans[[#This Row],[BranchCode]],BranchesTbl[BranchCode],BranchesTbl[BranchName])</f>
        <v>Thika</v>
      </c>
      <c r="Q1014">
        <f>_xlfn.XLOOKUP(Loans[[#This Row],[CustomerID]],CustomerTbl[CustomerID],CustomerTbl[RiskScore])</f>
        <v>316</v>
      </c>
      <c r="R1014" t="str">
        <f>IFERROR(INDEX(RiskTbl[Risk_Category],MATCH(Loans[[#This Row],[RiskScore]],RiskTbl[Score_Min],1)),"Unknown")</f>
        <v>High Risk</v>
      </c>
      <c r="S1014" t="str">
        <f>IF(OR(Loans[[#This Row],[LoanStatus]]="Default",Loans[[#This Row],[LoanStatus]]="Watchlist",Loans[[#This Row],[CollateralRisk]]="Undersecured",Loans[[#This Row],[RiskCategory]]="High Risk"),"High Risk Exposure","Normal")</f>
        <v>High Risk Exposure</v>
      </c>
      <c r="T1014" t="str" cm="1">
        <f t="array" ref="T1014">_xlfn.IFS(
Loans[[#This Row],[LoanStatus]]="Default","Critical",
OR(Loans[[#This Row],[LoanStatus]]="Watchlist",Loans[[#This Row],[CollateralRisk]]="Undersecured",Loans[[#This Row],[RiskCategory]]="High Risk"),"High",
TRUE,"Normal"
)</f>
        <v>High</v>
      </c>
    </row>
    <row r="1015" spans="1:20" x14ac:dyDescent="0.35">
      <c r="A1015" t="s">
        <v>1738</v>
      </c>
      <c r="B1015" t="s">
        <v>1611</v>
      </c>
      <c r="C1015" t="s">
        <v>206</v>
      </c>
      <c r="D1015" t="s">
        <v>157</v>
      </c>
      <c r="E1015" s="34">
        <v>25000000</v>
      </c>
      <c r="F1015" s="29">
        <v>0.12770000000000001</v>
      </c>
      <c r="G1015" s="30">
        <v>43978</v>
      </c>
      <c r="H1015">
        <v>48</v>
      </c>
      <c r="I1015">
        <v>0</v>
      </c>
      <c r="J1015" s="34">
        <v>20500000</v>
      </c>
      <c r="K1015" t="s">
        <v>171</v>
      </c>
      <c r="L1015" s="34">
        <f>PMT(Loans[[#This Row],[InterestRate]]/12,Loans[[#This Row],[LoanTenureMonths]],-Loans[[#This Row],[LoanAmount]])</f>
        <v>667837.04667288368</v>
      </c>
      <c r="M1015" s="30">
        <f>EDATE(Loans[[#This Row],[LoanStartDate]],Loans[[#This Row],[LoanTenureMonths]])</f>
        <v>45439</v>
      </c>
      <c r="N1015" s="33">
        <f>IF(Loans[[#This Row],[LoanAmount]]=0,0,Loans[[#This Row],[CollateralValue]]/Loans[[#This Row],[LoanAmount]])</f>
        <v>0.82</v>
      </c>
      <c r="O1015" t="str">
        <f>IF(Loans[[#This Row],[CollateralCoverageRatio]]&lt;1,"Undersecured","Secured")</f>
        <v>Undersecured</v>
      </c>
      <c r="P1015" t="str">
        <f>_xlfn.XLOOKUP(Loans[[#This Row],[BranchCode]],BranchesTbl[BranchCode],BranchesTbl[BranchName])</f>
        <v>Nyahururu</v>
      </c>
      <c r="Q1015">
        <f>_xlfn.XLOOKUP(Loans[[#This Row],[CustomerID]],CustomerTbl[CustomerID],CustomerTbl[RiskScore])</f>
        <v>668</v>
      </c>
      <c r="R1015" t="str">
        <f>IFERROR(INDEX(RiskTbl[Risk_Category],MATCH(Loans[[#This Row],[RiskScore]],RiskTbl[Score_Min],1)),"Unknown")</f>
        <v>Medium Risk</v>
      </c>
      <c r="S1015" t="str">
        <f>IF(OR(Loans[[#This Row],[LoanStatus]]="Default",Loans[[#This Row],[LoanStatus]]="Watchlist",Loans[[#This Row],[CollateralRisk]]="Undersecured",Loans[[#This Row],[RiskCategory]]="High Risk"),"High Risk Exposure","Normal")</f>
        <v>High Risk Exposure</v>
      </c>
      <c r="T1015" t="str" cm="1">
        <f t="array" ref="T1015">_xlfn.IFS(
Loans[[#This Row],[LoanStatus]]="Default","Critical",
OR(Loans[[#This Row],[LoanStatus]]="Watchlist",Loans[[#This Row],[CollateralRisk]]="Undersecured",Loans[[#This Row],[RiskCategory]]="High Risk"),"High",
TRUE,"Normal"
)</f>
        <v>High</v>
      </c>
    </row>
    <row r="1016" spans="1:20" x14ac:dyDescent="0.35">
      <c r="A1016" t="s">
        <v>1739</v>
      </c>
      <c r="B1016" t="s">
        <v>1135</v>
      </c>
      <c r="C1016" t="s">
        <v>177</v>
      </c>
      <c r="D1016" t="s">
        <v>158</v>
      </c>
      <c r="E1016" s="34">
        <v>500000</v>
      </c>
      <c r="F1016" s="29">
        <v>0.12939999999999999</v>
      </c>
      <c r="G1016" s="30">
        <v>45402</v>
      </c>
      <c r="H1016">
        <v>24</v>
      </c>
      <c r="I1016">
        <v>90</v>
      </c>
      <c r="J1016" s="34">
        <v>425000</v>
      </c>
      <c r="K1016" t="s">
        <v>199</v>
      </c>
      <c r="L1016" s="34">
        <f>PMT(Loans[[#This Row],[InterestRate]]/12,Loans[[#This Row],[LoanTenureMonths]],-Loans[[#This Row],[LoanAmount]])</f>
        <v>23756.822537354925</v>
      </c>
      <c r="M1016" s="30">
        <f>EDATE(Loans[[#This Row],[LoanStartDate]],Loans[[#This Row],[LoanTenureMonths]])</f>
        <v>46132</v>
      </c>
      <c r="N1016" s="33">
        <f>IF(Loans[[#This Row],[LoanAmount]]=0,0,Loans[[#This Row],[CollateralValue]]/Loans[[#This Row],[LoanAmount]])</f>
        <v>0.85</v>
      </c>
      <c r="O1016" t="str">
        <f>IF(Loans[[#This Row],[CollateralCoverageRatio]]&lt;1,"Undersecured","Secured")</f>
        <v>Undersecured</v>
      </c>
      <c r="P1016" t="str">
        <f>_xlfn.XLOOKUP(Loans[[#This Row],[BranchCode]],BranchesTbl[BranchCode],BranchesTbl[BranchName])</f>
        <v>Naivasha</v>
      </c>
      <c r="Q1016">
        <f>_xlfn.XLOOKUP(Loans[[#This Row],[CustomerID]],CustomerTbl[CustomerID],CustomerTbl[RiskScore])</f>
        <v>339</v>
      </c>
      <c r="R1016" t="str">
        <f>IFERROR(INDEX(RiskTbl[Risk_Category],MATCH(Loans[[#This Row],[RiskScore]],RiskTbl[Score_Min],1)),"Unknown")</f>
        <v>High Risk</v>
      </c>
      <c r="S1016" t="str">
        <f>IF(OR(Loans[[#This Row],[LoanStatus]]="Default",Loans[[#This Row],[LoanStatus]]="Watchlist",Loans[[#This Row],[CollateralRisk]]="Undersecured",Loans[[#This Row],[RiskCategory]]="High Risk"),"High Risk Exposure","Normal")</f>
        <v>High Risk Exposure</v>
      </c>
      <c r="T1016" t="str" cm="1">
        <f t="array" ref="T1016">_xlfn.IFS(
Loans[[#This Row],[LoanStatus]]="Default","Critical",
OR(Loans[[#This Row],[LoanStatus]]="Watchlist",Loans[[#This Row],[CollateralRisk]]="Undersecured",Loans[[#This Row],[RiskCategory]]="High Risk"),"High",
TRUE,"Normal"
)</f>
        <v>High</v>
      </c>
    </row>
    <row r="1017" spans="1:20" x14ac:dyDescent="0.35">
      <c r="A1017" t="s">
        <v>1740</v>
      </c>
      <c r="B1017" t="s">
        <v>524</v>
      </c>
      <c r="C1017" t="s">
        <v>206</v>
      </c>
      <c r="D1017" t="s">
        <v>158</v>
      </c>
      <c r="E1017" s="34">
        <v>1000000</v>
      </c>
      <c r="F1017" s="29">
        <v>0.14899999999999999</v>
      </c>
      <c r="G1017" s="30">
        <v>44662</v>
      </c>
      <c r="H1017">
        <v>12</v>
      </c>
      <c r="I1017">
        <v>20</v>
      </c>
      <c r="J1017" s="34">
        <v>960000</v>
      </c>
      <c r="K1017" t="s">
        <v>171</v>
      </c>
      <c r="L1017" s="34">
        <f>PMT(Loans[[#This Row],[InterestRate]]/12,Loans[[#This Row],[LoanTenureMonths]],-Loans[[#This Row],[LoanAmount]])</f>
        <v>90211.132052613073</v>
      </c>
      <c r="M1017" s="30">
        <f>EDATE(Loans[[#This Row],[LoanStartDate]],Loans[[#This Row],[LoanTenureMonths]])</f>
        <v>45027</v>
      </c>
      <c r="N1017" s="33">
        <f>IF(Loans[[#This Row],[LoanAmount]]=0,0,Loans[[#This Row],[CollateralValue]]/Loans[[#This Row],[LoanAmount]])</f>
        <v>0.96</v>
      </c>
      <c r="O1017" t="str">
        <f>IF(Loans[[#This Row],[CollateralCoverageRatio]]&lt;1,"Undersecured","Secured")</f>
        <v>Undersecured</v>
      </c>
      <c r="P1017" t="str">
        <f>_xlfn.XLOOKUP(Loans[[#This Row],[BranchCode]],BranchesTbl[BranchCode],BranchesTbl[BranchName])</f>
        <v>Nyahururu</v>
      </c>
      <c r="Q1017">
        <f>_xlfn.XLOOKUP(Loans[[#This Row],[CustomerID]],CustomerTbl[CustomerID],CustomerTbl[RiskScore])</f>
        <v>842</v>
      </c>
      <c r="R1017" t="str">
        <f>IFERROR(INDEX(RiskTbl[Risk_Category],MATCH(Loans[[#This Row],[RiskScore]],RiskTbl[Score_Min],1)),"Unknown")</f>
        <v>Prime</v>
      </c>
      <c r="S1017" t="str">
        <f>IF(OR(Loans[[#This Row],[LoanStatus]]="Default",Loans[[#This Row],[LoanStatus]]="Watchlist",Loans[[#This Row],[CollateralRisk]]="Undersecured",Loans[[#This Row],[RiskCategory]]="High Risk"),"High Risk Exposure","Normal")</f>
        <v>High Risk Exposure</v>
      </c>
      <c r="T1017" t="str" cm="1">
        <f t="array" ref="T1017">_xlfn.IFS(
Loans[[#This Row],[LoanStatus]]="Default","Critical",
OR(Loans[[#This Row],[LoanStatus]]="Watchlist",Loans[[#This Row],[CollateralRisk]]="Undersecured",Loans[[#This Row],[RiskCategory]]="High Risk"),"High",
TRUE,"Normal"
)</f>
        <v>High</v>
      </c>
    </row>
    <row r="1018" spans="1:20" x14ac:dyDescent="0.35">
      <c r="A1018" t="s">
        <v>1741</v>
      </c>
      <c r="B1018" t="s">
        <v>1085</v>
      </c>
      <c r="C1018" t="s">
        <v>170</v>
      </c>
      <c r="D1018" t="s">
        <v>158</v>
      </c>
      <c r="E1018" s="34">
        <v>3000000</v>
      </c>
      <c r="F1018" s="29">
        <v>0.14249999999999999</v>
      </c>
      <c r="G1018" s="30">
        <v>45605</v>
      </c>
      <c r="H1018">
        <v>72</v>
      </c>
      <c r="I1018">
        <v>120</v>
      </c>
      <c r="J1018" s="34">
        <v>3300000</v>
      </c>
      <c r="K1018" t="s">
        <v>178</v>
      </c>
      <c r="L1018" s="34">
        <f>PMT(Loans[[#This Row],[InterestRate]]/12,Loans[[#This Row],[LoanTenureMonths]],-Loans[[#This Row],[LoanAmount]])</f>
        <v>62219.535094084807</v>
      </c>
      <c r="M1018" s="30">
        <f>EDATE(Loans[[#This Row],[LoanStartDate]],Loans[[#This Row],[LoanTenureMonths]])</f>
        <v>47796</v>
      </c>
      <c r="N1018" s="33">
        <f>IF(Loans[[#This Row],[LoanAmount]]=0,0,Loans[[#This Row],[CollateralValue]]/Loans[[#This Row],[LoanAmount]])</f>
        <v>1.1000000000000001</v>
      </c>
      <c r="O1018" t="str">
        <f>IF(Loans[[#This Row],[CollateralCoverageRatio]]&lt;1,"Undersecured","Secured")</f>
        <v>Secured</v>
      </c>
      <c r="P1018" t="str">
        <f>_xlfn.XLOOKUP(Loans[[#This Row],[BranchCode]],BranchesTbl[BranchCode],BranchesTbl[BranchName])</f>
        <v>Thika</v>
      </c>
      <c r="Q1018">
        <f>_xlfn.XLOOKUP(Loans[[#This Row],[CustomerID]],CustomerTbl[CustomerID],CustomerTbl[RiskScore])</f>
        <v>654</v>
      </c>
      <c r="R1018" t="str">
        <f>IFERROR(INDEX(RiskTbl[Risk_Category],MATCH(Loans[[#This Row],[RiskScore]],RiskTbl[Score_Min],1)),"Unknown")</f>
        <v>Medium Risk</v>
      </c>
      <c r="S1018" t="str">
        <f>IF(OR(Loans[[#This Row],[LoanStatus]]="Default",Loans[[#This Row],[LoanStatus]]="Watchlist",Loans[[#This Row],[CollateralRisk]]="Undersecured",Loans[[#This Row],[RiskCategory]]="High Risk"),"High Risk Exposure","Normal")</f>
        <v>High Risk Exposure</v>
      </c>
      <c r="T1018" t="str" cm="1">
        <f t="array" ref="T1018">_xlfn.IFS(
Loans[[#This Row],[LoanStatus]]="Default","Critical",
OR(Loans[[#This Row],[LoanStatus]]="Watchlist",Loans[[#This Row],[CollateralRisk]]="Undersecured",Loans[[#This Row],[RiskCategory]]="High Risk"),"High",
TRUE,"Normal"
)</f>
        <v>Critical</v>
      </c>
    </row>
    <row r="1019" spans="1:20" x14ac:dyDescent="0.35">
      <c r="A1019" t="s">
        <v>1742</v>
      </c>
      <c r="B1019" t="s">
        <v>1325</v>
      </c>
      <c r="C1019" t="s">
        <v>239</v>
      </c>
      <c r="D1019" t="s">
        <v>158</v>
      </c>
      <c r="E1019" s="34">
        <v>500000</v>
      </c>
      <c r="F1019" s="29">
        <v>0.1241</v>
      </c>
      <c r="G1019" s="30">
        <v>44246</v>
      </c>
      <c r="H1019">
        <v>36</v>
      </c>
      <c r="I1019">
        <v>10</v>
      </c>
      <c r="J1019" s="34">
        <v>685000</v>
      </c>
      <c r="K1019" t="s">
        <v>171</v>
      </c>
      <c r="L1019" s="34">
        <f>PMT(Loans[[#This Row],[InterestRate]]/12,Loans[[#This Row],[LoanTenureMonths]],-Loans[[#This Row],[LoanAmount]])</f>
        <v>16705.237050907814</v>
      </c>
      <c r="M1019" s="30">
        <f>EDATE(Loans[[#This Row],[LoanStartDate]],Loans[[#This Row],[LoanTenureMonths]])</f>
        <v>45341</v>
      </c>
      <c r="N1019" s="33">
        <f>IF(Loans[[#This Row],[LoanAmount]]=0,0,Loans[[#This Row],[CollateralValue]]/Loans[[#This Row],[LoanAmount]])</f>
        <v>1.37</v>
      </c>
      <c r="O1019" t="str">
        <f>IF(Loans[[#This Row],[CollateralCoverageRatio]]&lt;1,"Undersecured","Secured")</f>
        <v>Secured</v>
      </c>
      <c r="P1019" t="str">
        <f>_xlfn.XLOOKUP(Loans[[#This Row],[BranchCode]],BranchesTbl[BranchCode],BranchesTbl[BranchName])</f>
        <v>Machakos</v>
      </c>
      <c r="Q1019">
        <f>_xlfn.XLOOKUP(Loans[[#This Row],[CustomerID]],CustomerTbl[CustomerID],CustomerTbl[RiskScore])</f>
        <v>439</v>
      </c>
      <c r="R1019" t="str">
        <f>IFERROR(INDEX(RiskTbl[Risk_Category],MATCH(Loans[[#This Row],[RiskScore]],RiskTbl[Score_Min],1)),"Unknown")</f>
        <v>High Risk</v>
      </c>
      <c r="S1019" t="str">
        <f>IF(OR(Loans[[#This Row],[LoanStatus]]="Default",Loans[[#This Row],[LoanStatus]]="Watchlist",Loans[[#This Row],[CollateralRisk]]="Undersecured",Loans[[#This Row],[RiskCategory]]="High Risk"),"High Risk Exposure","Normal")</f>
        <v>High Risk Exposure</v>
      </c>
      <c r="T1019" t="str" cm="1">
        <f t="array" ref="T1019">_xlfn.IFS(
Loans[[#This Row],[LoanStatus]]="Default","Critical",
OR(Loans[[#This Row],[LoanStatus]]="Watchlist",Loans[[#This Row],[CollateralRisk]]="Undersecured",Loans[[#This Row],[RiskCategory]]="High Risk"),"High",
TRUE,"Normal"
)</f>
        <v>High</v>
      </c>
    </row>
    <row r="1020" spans="1:20" x14ac:dyDescent="0.35">
      <c r="A1020" t="s">
        <v>1743</v>
      </c>
      <c r="B1020" t="s">
        <v>1744</v>
      </c>
      <c r="C1020" t="s">
        <v>181</v>
      </c>
      <c r="D1020" t="s">
        <v>157</v>
      </c>
      <c r="E1020" s="34">
        <v>25000000</v>
      </c>
      <c r="F1020" s="29">
        <v>0.1242</v>
      </c>
      <c r="G1020" s="30">
        <v>44340</v>
      </c>
      <c r="H1020">
        <v>48</v>
      </c>
      <c r="I1020">
        <v>0</v>
      </c>
      <c r="J1020" s="34">
        <v>28750000</v>
      </c>
      <c r="K1020" t="s">
        <v>171</v>
      </c>
      <c r="L1020" s="34">
        <f>PMT(Loans[[#This Row],[InterestRate]]/12,Loans[[#This Row],[LoanTenureMonths]],-Loans[[#This Row],[LoanAmount]])</f>
        <v>663513.0758730548</v>
      </c>
      <c r="M1020" s="30">
        <f>EDATE(Loans[[#This Row],[LoanStartDate]],Loans[[#This Row],[LoanTenureMonths]])</f>
        <v>45801</v>
      </c>
      <c r="N1020" s="33">
        <f>IF(Loans[[#This Row],[LoanAmount]]=0,0,Loans[[#This Row],[CollateralValue]]/Loans[[#This Row],[LoanAmount]])</f>
        <v>1.1499999999999999</v>
      </c>
      <c r="O1020" t="str">
        <f>IF(Loans[[#This Row],[CollateralCoverageRatio]]&lt;1,"Undersecured","Secured")</f>
        <v>Secured</v>
      </c>
      <c r="P1020" t="str">
        <f>_xlfn.XLOOKUP(Loans[[#This Row],[BranchCode]],BranchesTbl[BranchCode],BranchesTbl[BranchName])</f>
        <v>Kitale</v>
      </c>
      <c r="Q1020">
        <f>_xlfn.XLOOKUP(Loans[[#This Row],[CustomerID]],CustomerTbl[CustomerID],CustomerTbl[RiskScore])</f>
        <v>726</v>
      </c>
      <c r="R1020" t="str">
        <f>IFERROR(INDEX(RiskTbl[Risk_Category],MATCH(Loans[[#This Row],[RiskScore]],RiskTbl[Score_Min],1)),"Unknown")</f>
        <v>Low Risk</v>
      </c>
      <c r="S1020" t="str">
        <f>IF(OR(Loans[[#This Row],[LoanStatus]]="Default",Loans[[#This Row],[LoanStatus]]="Watchlist",Loans[[#This Row],[CollateralRisk]]="Undersecured",Loans[[#This Row],[RiskCategory]]="High Risk"),"High Risk Exposure","Normal")</f>
        <v>Normal</v>
      </c>
      <c r="T1020" t="str" cm="1">
        <f t="array" ref="T1020">_xlfn.IFS(
Loans[[#This Row],[LoanStatus]]="Default","Critical",
OR(Loans[[#This Row],[LoanStatus]]="Watchlist",Loans[[#This Row],[CollateralRisk]]="Undersecured",Loans[[#This Row],[RiskCategory]]="High Risk"),"High",
TRUE,"Normal"
)</f>
        <v>Normal</v>
      </c>
    </row>
    <row r="1021" spans="1:20" x14ac:dyDescent="0.35">
      <c r="A1021" t="s">
        <v>1745</v>
      </c>
      <c r="B1021" t="s">
        <v>1746</v>
      </c>
      <c r="C1021" t="s">
        <v>193</v>
      </c>
      <c r="D1021" t="s">
        <v>157</v>
      </c>
      <c r="E1021" s="34">
        <v>6000000</v>
      </c>
      <c r="F1021" s="29">
        <v>0.126</v>
      </c>
      <c r="G1021" s="30">
        <v>45468</v>
      </c>
      <c r="H1021">
        <v>48</v>
      </c>
      <c r="I1021">
        <v>0</v>
      </c>
      <c r="J1021" s="34">
        <v>5460000</v>
      </c>
      <c r="K1021" t="s">
        <v>171</v>
      </c>
      <c r="L1021" s="34">
        <f>PMT(Loans[[#This Row],[InterestRate]]/12,Loans[[#This Row],[LoanTenureMonths]],-Loans[[#This Row],[LoanAmount]])</f>
        <v>159776.35031381017</v>
      </c>
      <c r="M1021" s="30">
        <f>EDATE(Loans[[#This Row],[LoanStartDate]],Loans[[#This Row],[LoanTenureMonths]])</f>
        <v>46929</v>
      </c>
      <c r="N1021" s="33">
        <f>IF(Loans[[#This Row],[LoanAmount]]=0,0,Loans[[#This Row],[CollateralValue]]/Loans[[#This Row],[LoanAmount]])</f>
        <v>0.91</v>
      </c>
      <c r="O1021" t="str">
        <f>IF(Loans[[#This Row],[CollateralCoverageRatio]]&lt;1,"Undersecured","Secured")</f>
        <v>Undersecured</v>
      </c>
      <c r="P1021" t="str">
        <f>_xlfn.XLOOKUP(Loans[[#This Row],[BranchCode]],BranchesTbl[BranchCode],BranchesTbl[BranchName])</f>
        <v>Mombasa</v>
      </c>
      <c r="Q1021">
        <f>_xlfn.XLOOKUP(Loans[[#This Row],[CustomerID]],CustomerTbl[CustomerID],CustomerTbl[RiskScore])</f>
        <v>616</v>
      </c>
      <c r="R1021" t="str">
        <f>IFERROR(INDEX(RiskTbl[Risk_Category],MATCH(Loans[[#This Row],[RiskScore]],RiskTbl[Score_Min],1)),"Unknown")</f>
        <v>Medium Risk</v>
      </c>
      <c r="S1021" t="str">
        <f>IF(OR(Loans[[#This Row],[LoanStatus]]="Default",Loans[[#This Row],[LoanStatus]]="Watchlist",Loans[[#This Row],[CollateralRisk]]="Undersecured",Loans[[#This Row],[RiskCategory]]="High Risk"),"High Risk Exposure","Normal")</f>
        <v>High Risk Exposure</v>
      </c>
      <c r="T1021" t="str" cm="1">
        <f t="array" ref="T1021">_xlfn.IFS(
Loans[[#This Row],[LoanStatus]]="Default","Critical",
OR(Loans[[#This Row],[LoanStatus]]="Watchlist",Loans[[#This Row],[CollateralRisk]]="Undersecured",Loans[[#This Row],[RiskCategory]]="High Risk"),"High",
TRUE,"Normal"
)</f>
        <v>High</v>
      </c>
    </row>
    <row r="1022" spans="1:20" x14ac:dyDescent="0.35">
      <c r="A1022" t="s">
        <v>1747</v>
      </c>
      <c r="B1022" t="s">
        <v>696</v>
      </c>
      <c r="C1022" t="s">
        <v>193</v>
      </c>
      <c r="D1022" t="s">
        <v>157</v>
      </c>
      <c r="E1022" s="34">
        <v>6000000</v>
      </c>
      <c r="F1022" s="29">
        <v>0.1361</v>
      </c>
      <c r="G1022" s="30">
        <v>44642</v>
      </c>
      <c r="H1022">
        <v>24</v>
      </c>
      <c r="I1022">
        <v>0</v>
      </c>
      <c r="J1022" s="34">
        <v>8460000</v>
      </c>
      <c r="K1022" t="s">
        <v>171</v>
      </c>
      <c r="L1022" s="34">
        <f>PMT(Loans[[#This Row],[InterestRate]]/12,Loans[[#This Row],[LoanTenureMonths]],-Loans[[#This Row],[LoanAmount]])</f>
        <v>286973.08562305954</v>
      </c>
      <c r="M1022" s="30">
        <f>EDATE(Loans[[#This Row],[LoanStartDate]],Loans[[#This Row],[LoanTenureMonths]])</f>
        <v>45373</v>
      </c>
      <c r="N1022" s="33">
        <f>IF(Loans[[#This Row],[LoanAmount]]=0,0,Loans[[#This Row],[CollateralValue]]/Loans[[#This Row],[LoanAmount]])</f>
        <v>1.41</v>
      </c>
      <c r="O1022" t="str">
        <f>IF(Loans[[#This Row],[CollateralCoverageRatio]]&lt;1,"Undersecured","Secured")</f>
        <v>Secured</v>
      </c>
      <c r="P1022" t="str">
        <f>_xlfn.XLOOKUP(Loans[[#This Row],[BranchCode]],BranchesTbl[BranchCode],BranchesTbl[BranchName])</f>
        <v>Mombasa</v>
      </c>
      <c r="Q1022">
        <f>_xlfn.XLOOKUP(Loans[[#This Row],[CustomerID]],CustomerTbl[CustomerID],CustomerTbl[RiskScore])</f>
        <v>376</v>
      </c>
      <c r="R1022" t="str">
        <f>IFERROR(INDEX(RiskTbl[Risk_Category],MATCH(Loans[[#This Row],[RiskScore]],RiskTbl[Score_Min],1)),"Unknown")</f>
        <v>High Risk</v>
      </c>
      <c r="S1022" t="str">
        <f>IF(OR(Loans[[#This Row],[LoanStatus]]="Default",Loans[[#This Row],[LoanStatus]]="Watchlist",Loans[[#This Row],[CollateralRisk]]="Undersecured",Loans[[#This Row],[RiskCategory]]="High Risk"),"High Risk Exposure","Normal")</f>
        <v>High Risk Exposure</v>
      </c>
      <c r="T1022" t="str" cm="1">
        <f t="array" ref="T1022">_xlfn.IFS(
Loans[[#This Row],[LoanStatus]]="Default","Critical",
OR(Loans[[#This Row],[LoanStatus]]="Watchlist",Loans[[#This Row],[CollateralRisk]]="Undersecured",Loans[[#This Row],[RiskCategory]]="High Risk"),"High",
TRUE,"Normal"
)</f>
        <v>High</v>
      </c>
    </row>
    <row r="1023" spans="1:20" x14ac:dyDescent="0.35">
      <c r="A1023" t="s">
        <v>1748</v>
      </c>
      <c r="B1023" t="s">
        <v>594</v>
      </c>
      <c r="C1023" t="s">
        <v>170</v>
      </c>
      <c r="D1023" t="s">
        <v>156</v>
      </c>
      <c r="E1023" s="34">
        <v>1000000</v>
      </c>
      <c r="F1023" s="29">
        <v>0.15079999999999999</v>
      </c>
      <c r="G1023" s="30">
        <v>44201</v>
      </c>
      <c r="H1023">
        <v>72</v>
      </c>
      <c r="I1023">
        <v>45</v>
      </c>
      <c r="J1023" s="34">
        <v>520000</v>
      </c>
      <c r="K1023" t="s">
        <v>199</v>
      </c>
      <c r="L1023" s="34">
        <f>PMT(Loans[[#This Row],[InterestRate]]/12,Loans[[#This Row],[LoanTenureMonths]],-Loans[[#This Row],[LoanAmount]])</f>
        <v>21188.482720481683</v>
      </c>
      <c r="M1023" s="30">
        <f>EDATE(Loans[[#This Row],[LoanStartDate]],Loans[[#This Row],[LoanTenureMonths]])</f>
        <v>46392</v>
      </c>
      <c r="N1023" s="33">
        <f>IF(Loans[[#This Row],[LoanAmount]]=0,0,Loans[[#This Row],[CollateralValue]]/Loans[[#This Row],[LoanAmount]])</f>
        <v>0.52</v>
      </c>
      <c r="O1023" t="str">
        <f>IF(Loans[[#This Row],[CollateralCoverageRatio]]&lt;1,"Undersecured","Secured")</f>
        <v>Undersecured</v>
      </c>
      <c r="P1023" t="str">
        <f>_xlfn.XLOOKUP(Loans[[#This Row],[BranchCode]],BranchesTbl[BranchCode],BranchesTbl[BranchName])</f>
        <v>Thika</v>
      </c>
      <c r="Q1023">
        <f>_xlfn.XLOOKUP(Loans[[#This Row],[CustomerID]],CustomerTbl[CustomerID],CustomerTbl[RiskScore])</f>
        <v>789</v>
      </c>
      <c r="R1023" t="str">
        <f>IFERROR(INDEX(RiskTbl[Risk_Category],MATCH(Loans[[#This Row],[RiskScore]],RiskTbl[Score_Min],1)),"Unknown")</f>
        <v>Very Low Risk</v>
      </c>
      <c r="S1023" t="str">
        <f>IF(OR(Loans[[#This Row],[LoanStatus]]="Default",Loans[[#This Row],[LoanStatus]]="Watchlist",Loans[[#This Row],[CollateralRisk]]="Undersecured",Loans[[#This Row],[RiskCategory]]="High Risk"),"High Risk Exposure","Normal")</f>
        <v>High Risk Exposure</v>
      </c>
      <c r="T1023" t="str" cm="1">
        <f t="array" ref="T1023">_xlfn.IFS(
Loans[[#This Row],[LoanStatus]]="Default","Critical",
OR(Loans[[#This Row],[LoanStatus]]="Watchlist",Loans[[#This Row],[CollateralRisk]]="Undersecured",Loans[[#This Row],[RiskCategory]]="High Risk"),"High",
TRUE,"Normal"
)</f>
        <v>High</v>
      </c>
    </row>
    <row r="1024" spans="1:20" x14ac:dyDescent="0.35">
      <c r="A1024" t="s">
        <v>1749</v>
      </c>
      <c r="B1024" t="s">
        <v>1750</v>
      </c>
      <c r="C1024" t="s">
        <v>196</v>
      </c>
      <c r="D1024" t="s">
        <v>155</v>
      </c>
      <c r="E1024" s="34">
        <v>500000</v>
      </c>
      <c r="F1024" s="29">
        <v>0.24529999999999999</v>
      </c>
      <c r="G1024" s="30">
        <v>44552</v>
      </c>
      <c r="H1024">
        <v>24</v>
      </c>
      <c r="I1024">
        <v>0</v>
      </c>
      <c r="J1024" s="34">
        <v>0</v>
      </c>
      <c r="K1024" t="s">
        <v>171</v>
      </c>
      <c r="L1024" s="34">
        <f>PMT(Loans[[#This Row],[InterestRate]]/12,Loans[[#This Row],[LoanTenureMonths]],-Loans[[#This Row],[LoanAmount]])</f>
        <v>26567.997094441253</v>
      </c>
      <c r="M1024" s="30">
        <f>EDATE(Loans[[#This Row],[LoanStartDate]],Loans[[#This Row],[LoanTenureMonths]])</f>
        <v>45282</v>
      </c>
      <c r="N1024" s="33">
        <f>IF(Loans[[#This Row],[LoanAmount]]=0,0,Loans[[#This Row],[CollateralValue]]/Loans[[#This Row],[LoanAmount]])</f>
        <v>0</v>
      </c>
      <c r="O1024" t="str">
        <f>IF(Loans[[#This Row],[CollateralCoverageRatio]]&lt;1,"Undersecured","Secured")</f>
        <v>Undersecured</v>
      </c>
      <c r="P1024" t="str">
        <f>_xlfn.XLOOKUP(Loans[[#This Row],[BranchCode]],BranchesTbl[BranchCode],BranchesTbl[BranchName])</f>
        <v>Karen</v>
      </c>
      <c r="Q1024">
        <f>_xlfn.XLOOKUP(Loans[[#This Row],[CustomerID]],CustomerTbl[CustomerID],CustomerTbl[RiskScore])</f>
        <v>678</v>
      </c>
      <c r="R1024" t="str">
        <f>IFERROR(INDEX(RiskTbl[Risk_Category],MATCH(Loans[[#This Row],[RiskScore]],RiskTbl[Score_Min],1)),"Unknown")</f>
        <v>Low Risk</v>
      </c>
      <c r="S1024" t="str">
        <f>IF(OR(Loans[[#This Row],[LoanStatus]]="Default",Loans[[#This Row],[LoanStatus]]="Watchlist",Loans[[#This Row],[CollateralRisk]]="Undersecured",Loans[[#This Row],[RiskCategory]]="High Risk"),"High Risk Exposure","Normal")</f>
        <v>High Risk Exposure</v>
      </c>
      <c r="T1024" t="str" cm="1">
        <f t="array" ref="T1024">_xlfn.IFS(
Loans[[#This Row],[LoanStatus]]="Default","Critical",
OR(Loans[[#This Row],[LoanStatus]]="Watchlist",Loans[[#This Row],[CollateralRisk]]="Undersecured",Loans[[#This Row],[RiskCategory]]="High Risk"),"High",
TRUE,"Normal"
)</f>
        <v>High</v>
      </c>
    </row>
    <row r="1025" spans="1:20" x14ac:dyDescent="0.35">
      <c r="A1025" t="s">
        <v>1751</v>
      </c>
      <c r="B1025" t="s">
        <v>1432</v>
      </c>
      <c r="C1025" t="s">
        <v>206</v>
      </c>
      <c r="D1025" t="s">
        <v>155</v>
      </c>
      <c r="E1025" s="34">
        <v>1000000</v>
      </c>
      <c r="F1025" s="29">
        <v>0.24349999999999999</v>
      </c>
      <c r="G1025" s="30">
        <v>45771</v>
      </c>
      <c r="H1025">
        <v>36</v>
      </c>
      <c r="I1025">
        <v>90</v>
      </c>
      <c r="J1025" s="34">
        <v>0</v>
      </c>
      <c r="K1025" t="s">
        <v>199</v>
      </c>
      <c r="L1025" s="34">
        <f>PMT(Loans[[#This Row],[InterestRate]]/12,Loans[[#This Row],[LoanTenureMonths]],-Loans[[#This Row],[LoanAmount]])</f>
        <v>39416.857256779273</v>
      </c>
      <c r="M1025" s="30">
        <f>EDATE(Loans[[#This Row],[LoanStartDate]],Loans[[#This Row],[LoanTenureMonths]])</f>
        <v>46867</v>
      </c>
      <c r="N1025" s="33">
        <f>IF(Loans[[#This Row],[LoanAmount]]=0,0,Loans[[#This Row],[CollateralValue]]/Loans[[#This Row],[LoanAmount]])</f>
        <v>0</v>
      </c>
      <c r="O1025" t="str">
        <f>IF(Loans[[#This Row],[CollateralCoverageRatio]]&lt;1,"Undersecured","Secured")</f>
        <v>Undersecured</v>
      </c>
      <c r="P1025" t="str">
        <f>_xlfn.XLOOKUP(Loans[[#This Row],[BranchCode]],BranchesTbl[BranchCode],BranchesTbl[BranchName])</f>
        <v>Nyahururu</v>
      </c>
      <c r="Q1025">
        <f>_xlfn.XLOOKUP(Loans[[#This Row],[CustomerID]],CustomerTbl[CustomerID],CustomerTbl[RiskScore])</f>
        <v>807</v>
      </c>
      <c r="R1025" t="str">
        <f>IFERROR(INDEX(RiskTbl[Risk_Category],MATCH(Loans[[#This Row],[RiskScore]],RiskTbl[Score_Min],1)),"Unknown")</f>
        <v>Prime</v>
      </c>
      <c r="S1025" t="str">
        <f>IF(OR(Loans[[#This Row],[LoanStatus]]="Default",Loans[[#This Row],[LoanStatus]]="Watchlist",Loans[[#This Row],[CollateralRisk]]="Undersecured",Loans[[#This Row],[RiskCategory]]="High Risk"),"High Risk Exposure","Normal")</f>
        <v>High Risk Exposure</v>
      </c>
      <c r="T1025" t="str" cm="1">
        <f t="array" ref="T1025">_xlfn.IFS(
Loans[[#This Row],[LoanStatus]]="Default","Critical",
OR(Loans[[#This Row],[LoanStatus]]="Watchlist",Loans[[#This Row],[CollateralRisk]]="Undersecured",Loans[[#This Row],[RiskCategory]]="High Risk"),"High",
TRUE,"Normal"
)</f>
        <v>High</v>
      </c>
    </row>
    <row r="1026" spans="1:20" x14ac:dyDescent="0.35">
      <c r="A1026" t="s">
        <v>1752</v>
      </c>
      <c r="B1026" t="s">
        <v>1390</v>
      </c>
      <c r="C1026" t="s">
        <v>270</v>
      </c>
      <c r="D1026" t="s">
        <v>155</v>
      </c>
      <c r="E1026" s="34">
        <v>1000000</v>
      </c>
      <c r="F1026" s="29">
        <v>0.27600000000000002</v>
      </c>
      <c r="G1026" s="30">
        <v>44972</v>
      </c>
      <c r="H1026">
        <v>48</v>
      </c>
      <c r="I1026">
        <v>0</v>
      </c>
      <c r="J1026" s="34">
        <v>0</v>
      </c>
      <c r="K1026" t="s">
        <v>171</v>
      </c>
      <c r="L1026" s="34">
        <f>PMT(Loans[[#This Row],[InterestRate]]/12,Loans[[#This Row],[LoanTenureMonths]],-Loans[[#This Row],[LoanAmount]])</f>
        <v>34623.646226469769</v>
      </c>
      <c r="M1026" s="30">
        <f>EDATE(Loans[[#This Row],[LoanStartDate]],Loans[[#This Row],[LoanTenureMonths]])</f>
        <v>46433</v>
      </c>
      <c r="N1026" s="33">
        <f>IF(Loans[[#This Row],[LoanAmount]]=0,0,Loans[[#This Row],[CollateralValue]]/Loans[[#This Row],[LoanAmount]])</f>
        <v>0</v>
      </c>
      <c r="O1026" t="str">
        <f>IF(Loans[[#This Row],[CollateralCoverageRatio]]&lt;1,"Undersecured","Secured")</f>
        <v>Undersecured</v>
      </c>
      <c r="P1026" t="str">
        <f>_xlfn.XLOOKUP(Loans[[#This Row],[BranchCode]],BranchesTbl[BranchCode],BranchesTbl[BranchName])</f>
        <v>Nakuru</v>
      </c>
      <c r="Q1026">
        <f>_xlfn.XLOOKUP(Loans[[#This Row],[CustomerID]],CustomerTbl[CustomerID],CustomerTbl[RiskScore])</f>
        <v>733</v>
      </c>
      <c r="R1026" t="str">
        <f>IFERROR(INDEX(RiskTbl[Risk_Category],MATCH(Loans[[#This Row],[RiskScore]],RiskTbl[Score_Min],1)),"Unknown")</f>
        <v>Low Risk</v>
      </c>
      <c r="S1026" t="str">
        <f>IF(OR(Loans[[#This Row],[LoanStatus]]="Default",Loans[[#This Row],[LoanStatus]]="Watchlist",Loans[[#This Row],[CollateralRisk]]="Undersecured",Loans[[#This Row],[RiskCategory]]="High Risk"),"High Risk Exposure","Normal")</f>
        <v>High Risk Exposure</v>
      </c>
      <c r="T1026" t="str" cm="1">
        <f t="array" ref="T1026">_xlfn.IFS(
Loans[[#This Row],[LoanStatus]]="Default","Critical",
OR(Loans[[#This Row],[LoanStatus]]="Watchlist",Loans[[#This Row],[CollateralRisk]]="Undersecured",Loans[[#This Row],[RiskCategory]]="High Risk"),"High",
TRUE,"Normal"
)</f>
        <v>High</v>
      </c>
    </row>
    <row r="1027" spans="1:20" x14ac:dyDescent="0.35">
      <c r="A1027" t="s">
        <v>1753</v>
      </c>
      <c r="B1027" t="s">
        <v>1754</v>
      </c>
      <c r="C1027" t="s">
        <v>190</v>
      </c>
      <c r="D1027" t="s">
        <v>155</v>
      </c>
      <c r="E1027" s="34">
        <v>1000000</v>
      </c>
      <c r="F1027" s="29">
        <v>0.1726</v>
      </c>
      <c r="G1027" s="30">
        <v>43971</v>
      </c>
      <c r="H1027">
        <v>72</v>
      </c>
      <c r="I1027">
        <v>0</v>
      </c>
      <c r="J1027" s="34">
        <v>0</v>
      </c>
      <c r="K1027" t="s">
        <v>171</v>
      </c>
      <c r="L1027" s="34">
        <f>PMT(Loans[[#This Row],[InterestRate]]/12,Loans[[#This Row],[LoanTenureMonths]],-Loans[[#This Row],[LoanAmount]])</f>
        <v>22391.457672724944</v>
      </c>
      <c r="M1027" s="30">
        <f>EDATE(Loans[[#This Row],[LoanStartDate]],Loans[[#This Row],[LoanTenureMonths]])</f>
        <v>46162</v>
      </c>
      <c r="N1027" s="33">
        <f>IF(Loans[[#This Row],[LoanAmount]]=0,0,Loans[[#This Row],[CollateralValue]]/Loans[[#This Row],[LoanAmount]])</f>
        <v>0</v>
      </c>
      <c r="O1027" t="str">
        <f>IF(Loans[[#This Row],[CollateralCoverageRatio]]&lt;1,"Undersecured","Secured")</f>
        <v>Undersecured</v>
      </c>
      <c r="P1027" t="str">
        <f>_xlfn.XLOOKUP(Loans[[#This Row],[BranchCode]],BranchesTbl[BranchCode],BranchesTbl[BranchName])</f>
        <v>Nyeri</v>
      </c>
      <c r="Q1027">
        <f>_xlfn.XLOOKUP(Loans[[#This Row],[CustomerID]],CustomerTbl[CustomerID],CustomerTbl[RiskScore])</f>
        <v>308</v>
      </c>
      <c r="R1027" t="str">
        <f>IFERROR(INDEX(RiskTbl[Risk_Category],MATCH(Loans[[#This Row],[RiskScore]],RiskTbl[Score_Min],1)),"Unknown")</f>
        <v>High Risk</v>
      </c>
      <c r="S1027" t="str">
        <f>IF(OR(Loans[[#This Row],[LoanStatus]]="Default",Loans[[#This Row],[LoanStatus]]="Watchlist",Loans[[#This Row],[CollateralRisk]]="Undersecured",Loans[[#This Row],[RiskCategory]]="High Risk"),"High Risk Exposure","Normal")</f>
        <v>High Risk Exposure</v>
      </c>
      <c r="T1027" t="str" cm="1">
        <f t="array" ref="T1027">_xlfn.IFS(
Loans[[#This Row],[LoanStatus]]="Default","Critical",
OR(Loans[[#This Row],[LoanStatus]]="Watchlist",Loans[[#This Row],[CollateralRisk]]="Undersecured",Loans[[#This Row],[RiskCategory]]="High Risk"),"High",
TRUE,"Normal"
)</f>
        <v>High</v>
      </c>
    </row>
    <row r="1028" spans="1:20" x14ac:dyDescent="0.35">
      <c r="A1028" t="s">
        <v>1755</v>
      </c>
      <c r="B1028" t="s">
        <v>1161</v>
      </c>
      <c r="C1028" t="s">
        <v>181</v>
      </c>
      <c r="D1028" t="s">
        <v>156</v>
      </c>
      <c r="E1028" s="34">
        <v>1000000</v>
      </c>
      <c r="F1028" s="29">
        <v>0.16819999999999999</v>
      </c>
      <c r="G1028" s="30">
        <v>44873</v>
      </c>
      <c r="H1028">
        <v>12</v>
      </c>
      <c r="I1028">
        <v>20</v>
      </c>
      <c r="J1028" s="34">
        <v>1360000</v>
      </c>
      <c r="K1028" t="s">
        <v>171</v>
      </c>
      <c r="L1028" s="34">
        <f>PMT(Loans[[#This Row],[InterestRate]]/12,Loans[[#This Row],[LoanTenureMonths]],-Loans[[#This Row],[LoanAmount]])</f>
        <v>91119.351678070903</v>
      </c>
      <c r="M1028" s="30">
        <f>EDATE(Loans[[#This Row],[LoanStartDate]],Loans[[#This Row],[LoanTenureMonths]])</f>
        <v>45238</v>
      </c>
      <c r="N1028" s="33">
        <f>IF(Loans[[#This Row],[LoanAmount]]=0,0,Loans[[#This Row],[CollateralValue]]/Loans[[#This Row],[LoanAmount]])</f>
        <v>1.36</v>
      </c>
      <c r="O1028" t="str">
        <f>IF(Loans[[#This Row],[CollateralCoverageRatio]]&lt;1,"Undersecured","Secured")</f>
        <v>Secured</v>
      </c>
      <c r="P1028" t="str">
        <f>_xlfn.XLOOKUP(Loans[[#This Row],[BranchCode]],BranchesTbl[BranchCode],BranchesTbl[BranchName])</f>
        <v>Kitale</v>
      </c>
      <c r="Q1028">
        <f>_xlfn.XLOOKUP(Loans[[#This Row],[CustomerID]],CustomerTbl[CustomerID],CustomerTbl[RiskScore])</f>
        <v>389</v>
      </c>
      <c r="R1028" t="str">
        <f>IFERROR(INDEX(RiskTbl[Risk_Category],MATCH(Loans[[#This Row],[RiskScore]],RiskTbl[Score_Min],1)),"Unknown")</f>
        <v>High Risk</v>
      </c>
      <c r="S1028" t="str">
        <f>IF(OR(Loans[[#This Row],[LoanStatus]]="Default",Loans[[#This Row],[LoanStatus]]="Watchlist",Loans[[#This Row],[CollateralRisk]]="Undersecured",Loans[[#This Row],[RiskCategory]]="High Risk"),"High Risk Exposure","Normal")</f>
        <v>High Risk Exposure</v>
      </c>
      <c r="T1028" t="str" cm="1">
        <f t="array" ref="T1028">_xlfn.IFS(
Loans[[#This Row],[LoanStatus]]="Default","Critical",
OR(Loans[[#This Row],[LoanStatus]]="Watchlist",Loans[[#This Row],[CollateralRisk]]="Undersecured",Loans[[#This Row],[RiskCategory]]="High Risk"),"High",
TRUE,"Normal"
)</f>
        <v>High</v>
      </c>
    </row>
    <row r="1029" spans="1:20" x14ac:dyDescent="0.35">
      <c r="A1029" t="s">
        <v>1756</v>
      </c>
      <c r="B1029" t="s">
        <v>252</v>
      </c>
      <c r="C1029" t="s">
        <v>170</v>
      </c>
      <c r="D1029" t="s">
        <v>158</v>
      </c>
      <c r="E1029" s="34">
        <v>1000000</v>
      </c>
      <c r="F1029" s="29">
        <v>0.18629999999999999</v>
      </c>
      <c r="G1029" s="30">
        <v>44662</v>
      </c>
      <c r="H1029">
        <v>60</v>
      </c>
      <c r="I1029">
        <v>0</v>
      </c>
      <c r="J1029" s="34">
        <v>1280000</v>
      </c>
      <c r="K1029" t="s">
        <v>171</v>
      </c>
      <c r="L1029" s="34">
        <f>PMT(Loans[[#This Row],[InterestRate]]/12,Loans[[#This Row],[LoanTenureMonths]],-Loans[[#This Row],[LoanAmount]])</f>
        <v>25737.388314101612</v>
      </c>
      <c r="M1029" s="30">
        <f>EDATE(Loans[[#This Row],[LoanStartDate]],Loans[[#This Row],[LoanTenureMonths]])</f>
        <v>46488</v>
      </c>
      <c r="N1029" s="33">
        <f>IF(Loans[[#This Row],[LoanAmount]]=0,0,Loans[[#This Row],[CollateralValue]]/Loans[[#This Row],[LoanAmount]])</f>
        <v>1.28</v>
      </c>
      <c r="O1029" t="str">
        <f>IF(Loans[[#This Row],[CollateralCoverageRatio]]&lt;1,"Undersecured","Secured")</f>
        <v>Secured</v>
      </c>
      <c r="P1029" t="str">
        <f>_xlfn.XLOOKUP(Loans[[#This Row],[BranchCode]],BranchesTbl[BranchCode],BranchesTbl[BranchName])</f>
        <v>Thika</v>
      </c>
      <c r="Q1029">
        <f>_xlfn.XLOOKUP(Loans[[#This Row],[CustomerID]],CustomerTbl[CustomerID],CustomerTbl[RiskScore])</f>
        <v>430</v>
      </c>
      <c r="R1029" t="str">
        <f>IFERROR(INDEX(RiskTbl[Risk_Category],MATCH(Loans[[#This Row],[RiskScore]],RiskTbl[Score_Min],1)),"Unknown")</f>
        <v>High Risk</v>
      </c>
      <c r="S1029" t="str">
        <f>IF(OR(Loans[[#This Row],[LoanStatus]]="Default",Loans[[#This Row],[LoanStatus]]="Watchlist",Loans[[#This Row],[CollateralRisk]]="Undersecured",Loans[[#This Row],[RiskCategory]]="High Risk"),"High Risk Exposure","Normal")</f>
        <v>High Risk Exposure</v>
      </c>
      <c r="T1029" t="str" cm="1">
        <f t="array" ref="T1029">_xlfn.IFS(
Loans[[#This Row],[LoanStatus]]="Default","Critical",
OR(Loans[[#This Row],[LoanStatus]]="Watchlist",Loans[[#This Row],[CollateralRisk]]="Undersecured",Loans[[#This Row],[RiskCategory]]="High Risk"),"High",
TRUE,"Normal"
)</f>
        <v>High</v>
      </c>
    </row>
    <row r="1030" spans="1:20" x14ac:dyDescent="0.35">
      <c r="A1030" t="s">
        <v>1757</v>
      </c>
      <c r="B1030" t="s">
        <v>195</v>
      </c>
      <c r="C1030" t="s">
        <v>219</v>
      </c>
      <c r="D1030" t="s">
        <v>155</v>
      </c>
      <c r="E1030" s="34">
        <v>100000</v>
      </c>
      <c r="F1030" s="29">
        <v>0.26550000000000001</v>
      </c>
      <c r="G1030" s="30">
        <v>44809</v>
      </c>
      <c r="H1030">
        <v>48</v>
      </c>
      <c r="I1030">
        <v>90</v>
      </c>
      <c r="J1030" s="34">
        <v>0</v>
      </c>
      <c r="K1030" t="s">
        <v>199</v>
      </c>
      <c r="L1030" s="34">
        <f>PMT(Loans[[#This Row],[InterestRate]]/12,Loans[[#This Row],[LoanTenureMonths]],-Loans[[#This Row],[LoanAmount]])</f>
        <v>3402.7472013232787</v>
      </c>
      <c r="M1030" s="30">
        <f>EDATE(Loans[[#This Row],[LoanStartDate]],Loans[[#This Row],[LoanTenureMonths]])</f>
        <v>46270</v>
      </c>
      <c r="N1030" s="33">
        <f>IF(Loans[[#This Row],[LoanAmount]]=0,0,Loans[[#This Row],[CollateralValue]]/Loans[[#This Row],[LoanAmount]])</f>
        <v>0</v>
      </c>
      <c r="O1030" t="str">
        <f>IF(Loans[[#This Row],[CollateralCoverageRatio]]&lt;1,"Undersecured","Secured")</f>
        <v>Undersecured</v>
      </c>
      <c r="P1030" t="str">
        <f>_xlfn.XLOOKUP(Loans[[#This Row],[BranchCode]],BranchesTbl[BranchCode],BranchesTbl[BranchName])</f>
        <v>Meru</v>
      </c>
      <c r="Q1030">
        <f>_xlfn.XLOOKUP(Loans[[#This Row],[CustomerID]],CustomerTbl[CustomerID],CustomerTbl[RiskScore])</f>
        <v>687</v>
      </c>
      <c r="R1030" t="str">
        <f>IFERROR(INDEX(RiskTbl[Risk_Category],MATCH(Loans[[#This Row],[RiskScore]],RiskTbl[Score_Min],1)),"Unknown")</f>
        <v>Low Risk</v>
      </c>
      <c r="S1030" t="str">
        <f>IF(OR(Loans[[#This Row],[LoanStatus]]="Default",Loans[[#This Row],[LoanStatus]]="Watchlist",Loans[[#This Row],[CollateralRisk]]="Undersecured",Loans[[#This Row],[RiskCategory]]="High Risk"),"High Risk Exposure","Normal")</f>
        <v>High Risk Exposure</v>
      </c>
      <c r="T1030" t="str" cm="1">
        <f t="array" ref="T1030">_xlfn.IFS(
Loans[[#This Row],[LoanStatus]]="Default","Critical",
OR(Loans[[#This Row],[LoanStatus]]="Watchlist",Loans[[#This Row],[CollateralRisk]]="Undersecured",Loans[[#This Row],[RiskCategory]]="High Risk"),"High",
TRUE,"Normal"
)</f>
        <v>High</v>
      </c>
    </row>
    <row r="1031" spans="1:20" x14ac:dyDescent="0.35">
      <c r="A1031" t="s">
        <v>1758</v>
      </c>
      <c r="B1031" t="s">
        <v>415</v>
      </c>
      <c r="C1031" t="s">
        <v>196</v>
      </c>
      <c r="D1031" t="s">
        <v>156</v>
      </c>
      <c r="E1031" s="34">
        <v>25000000</v>
      </c>
      <c r="F1031" s="29">
        <v>0.17849999999999999</v>
      </c>
      <c r="G1031" s="30">
        <v>44158</v>
      </c>
      <c r="H1031">
        <v>24</v>
      </c>
      <c r="I1031">
        <v>10</v>
      </c>
      <c r="J1031" s="34">
        <v>27750000</v>
      </c>
      <c r="K1031" t="s">
        <v>171</v>
      </c>
      <c r="L1031" s="34">
        <f>PMT(Loans[[#This Row],[InterestRate]]/12,Loans[[#This Row],[LoanTenureMonths]],-Loans[[#This Row],[LoanAmount]])</f>
        <v>1246291.3858376576</v>
      </c>
      <c r="M1031" s="30">
        <f>EDATE(Loans[[#This Row],[LoanStartDate]],Loans[[#This Row],[LoanTenureMonths]])</f>
        <v>44888</v>
      </c>
      <c r="N1031" s="33">
        <f>IF(Loans[[#This Row],[LoanAmount]]=0,0,Loans[[#This Row],[CollateralValue]]/Loans[[#This Row],[LoanAmount]])</f>
        <v>1.1100000000000001</v>
      </c>
      <c r="O1031" t="str">
        <f>IF(Loans[[#This Row],[CollateralCoverageRatio]]&lt;1,"Undersecured","Secured")</f>
        <v>Secured</v>
      </c>
      <c r="P1031" t="str">
        <f>_xlfn.XLOOKUP(Loans[[#This Row],[BranchCode]],BranchesTbl[BranchCode],BranchesTbl[BranchName])</f>
        <v>Karen</v>
      </c>
      <c r="Q1031">
        <f>_xlfn.XLOOKUP(Loans[[#This Row],[CustomerID]],CustomerTbl[CustomerID],CustomerTbl[RiskScore])</f>
        <v>790</v>
      </c>
      <c r="R1031" t="str">
        <f>IFERROR(INDEX(RiskTbl[Risk_Category],MATCH(Loans[[#This Row],[RiskScore]],RiskTbl[Score_Min],1)),"Unknown")</f>
        <v>Very Low Risk</v>
      </c>
      <c r="S1031" t="str">
        <f>IF(OR(Loans[[#This Row],[LoanStatus]]="Default",Loans[[#This Row],[LoanStatus]]="Watchlist",Loans[[#This Row],[CollateralRisk]]="Undersecured",Loans[[#This Row],[RiskCategory]]="High Risk"),"High Risk Exposure","Normal")</f>
        <v>Normal</v>
      </c>
      <c r="T1031" t="str" cm="1">
        <f t="array" ref="T1031">_xlfn.IFS(
Loans[[#This Row],[LoanStatus]]="Default","Critical",
OR(Loans[[#This Row],[LoanStatus]]="Watchlist",Loans[[#This Row],[CollateralRisk]]="Undersecured",Loans[[#This Row],[RiskCategory]]="High Risk"),"High",
TRUE,"Normal"
)</f>
        <v>Normal</v>
      </c>
    </row>
    <row r="1032" spans="1:20" x14ac:dyDescent="0.35">
      <c r="A1032" t="s">
        <v>1759</v>
      </c>
      <c r="B1032" t="s">
        <v>1692</v>
      </c>
      <c r="C1032" t="s">
        <v>190</v>
      </c>
      <c r="D1032" t="s">
        <v>157</v>
      </c>
      <c r="E1032" s="34">
        <v>6000000</v>
      </c>
      <c r="F1032" s="29">
        <v>9.5899999999999999E-2</v>
      </c>
      <c r="G1032" s="30">
        <v>45941</v>
      </c>
      <c r="H1032">
        <v>12</v>
      </c>
      <c r="I1032">
        <v>45</v>
      </c>
      <c r="J1032" s="34">
        <v>6300000</v>
      </c>
      <c r="K1032" t="s">
        <v>199</v>
      </c>
      <c r="L1032" s="34">
        <f>PMT(Loans[[#This Row],[InterestRate]]/12,Loans[[#This Row],[LoanTenureMonths]],-Loans[[#This Row],[LoanAmount]])</f>
        <v>526351.88542669918</v>
      </c>
      <c r="M1032" s="30">
        <f>EDATE(Loans[[#This Row],[LoanStartDate]],Loans[[#This Row],[LoanTenureMonths]])</f>
        <v>46306</v>
      </c>
      <c r="N1032" s="33">
        <f>IF(Loans[[#This Row],[LoanAmount]]=0,0,Loans[[#This Row],[CollateralValue]]/Loans[[#This Row],[LoanAmount]])</f>
        <v>1.05</v>
      </c>
      <c r="O1032" t="str">
        <f>IF(Loans[[#This Row],[CollateralCoverageRatio]]&lt;1,"Undersecured","Secured")</f>
        <v>Secured</v>
      </c>
      <c r="P1032" t="str">
        <f>_xlfn.XLOOKUP(Loans[[#This Row],[BranchCode]],BranchesTbl[BranchCode],BranchesTbl[BranchName])</f>
        <v>Nyeri</v>
      </c>
      <c r="Q1032">
        <f>_xlfn.XLOOKUP(Loans[[#This Row],[CustomerID]],CustomerTbl[CustomerID],CustomerTbl[RiskScore])</f>
        <v>428</v>
      </c>
      <c r="R1032" t="str">
        <f>IFERROR(INDEX(RiskTbl[Risk_Category],MATCH(Loans[[#This Row],[RiskScore]],RiskTbl[Score_Min],1)),"Unknown")</f>
        <v>High Risk</v>
      </c>
      <c r="S1032" t="str">
        <f>IF(OR(Loans[[#This Row],[LoanStatus]]="Default",Loans[[#This Row],[LoanStatus]]="Watchlist",Loans[[#This Row],[CollateralRisk]]="Undersecured",Loans[[#This Row],[RiskCategory]]="High Risk"),"High Risk Exposure","Normal")</f>
        <v>High Risk Exposure</v>
      </c>
      <c r="T1032" t="str" cm="1">
        <f t="array" ref="T1032">_xlfn.IFS(
Loans[[#This Row],[LoanStatus]]="Default","Critical",
OR(Loans[[#This Row],[LoanStatus]]="Watchlist",Loans[[#This Row],[CollateralRisk]]="Undersecured",Loans[[#This Row],[RiskCategory]]="High Risk"),"High",
TRUE,"Normal"
)</f>
        <v>High</v>
      </c>
    </row>
    <row r="1033" spans="1:20" x14ac:dyDescent="0.35">
      <c r="A1033" t="s">
        <v>1760</v>
      </c>
      <c r="B1033" t="s">
        <v>430</v>
      </c>
      <c r="C1033" t="s">
        <v>174</v>
      </c>
      <c r="D1033" t="s">
        <v>158</v>
      </c>
      <c r="E1033" s="34">
        <v>3000000</v>
      </c>
      <c r="F1033" s="29">
        <v>0.1241</v>
      </c>
      <c r="G1033" s="30">
        <v>44015</v>
      </c>
      <c r="H1033">
        <v>24</v>
      </c>
      <c r="I1033">
        <v>10</v>
      </c>
      <c r="J1033" s="34">
        <v>2610000</v>
      </c>
      <c r="K1033" t="s">
        <v>171</v>
      </c>
      <c r="L1033" s="34">
        <f>PMT(Loans[[#This Row],[InterestRate]]/12,Loans[[#This Row],[LoanTenureMonths]],-Loans[[#This Row],[LoanAmount]])</f>
        <v>141795.5030097311</v>
      </c>
      <c r="M1033" s="30">
        <f>EDATE(Loans[[#This Row],[LoanStartDate]],Loans[[#This Row],[LoanTenureMonths]])</f>
        <v>44745</v>
      </c>
      <c r="N1033" s="33">
        <f>IF(Loans[[#This Row],[LoanAmount]]=0,0,Loans[[#This Row],[CollateralValue]]/Loans[[#This Row],[LoanAmount]])</f>
        <v>0.87</v>
      </c>
      <c r="O1033" t="str">
        <f>IF(Loans[[#This Row],[CollateralCoverageRatio]]&lt;1,"Undersecured","Secured")</f>
        <v>Undersecured</v>
      </c>
      <c r="P1033" t="str">
        <f>_xlfn.XLOOKUP(Loans[[#This Row],[BranchCode]],BranchesTbl[BranchCode],BranchesTbl[BranchName])</f>
        <v>Westlands</v>
      </c>
      <c r="Q1033">
        <f>_xlfn.XLOOKUP(Loans[[#This Row],[CustomerID]],CustomerTbl[CustomerID],CustomerTbl[RiskScore])</f>
        <v>519</v>
      </c>
      <c r="R1033" t="str">
        <f>IFERROR(INDEX(RiskTbl[Risk_Category],MATCH(Loans[[#This Row],[RiskScore]],RiskTbl[Score_Min],1)),"Unknown")</f>
        <v>High Risk</v>
      </c>
      <c r="S1033" t="str">
        <f>IF(OR(Loans[[#This Row],[LoanStatus]]="Default",Loans[[#This Row],[LoanStatus]]="Watchlist",Loans[[#This Row],[CollateralRisk]]="Undersecured",Loans[[#This Row],[RiskCategory]]="High Risk"),"High Risk Exposure","Normal")</f>
        <v>High Risk Exposure</v>
      </c>
      <c r="T1033" t="str" cm="1">
        <f t="array" ref="T1033">_xlfn.IFS(
Loans[[#This Row],[LoanStatus]]="Default","Critical",
OR(Loans[[#This Row],[LoanStatus]]="Watchlist",Loans[[#This Row],[CollateralRisk]]="Undersecured",Loans[[#This Row],[RiskCategory]]="High Risk"),"High",
TRUE,"Normal"
)</f>
        <v>High</v>
      </c>
    </row>
    <row r="1034" spans="1:20" x14ac:dyDescent="0.35">
      <c r="A1034" t="s">
        <v>1761</v>
      </c>
      <c r="B1034" t="s">
        <v>1462</v>
      </c>
      <c r="C1034" t="s">
        <v>270</v>
      </c>
      <c r="D1034" t="s">
        <v>158</v>
      </c>
      <c r="E1034" s="34">
        <v>6000000</v>
      </c>
      <c r="F1034" s="29">
        <v>0.15340000000000001</v>
      </c>
      <c r="G1034" s="30">
        <v>43888</v>
      </c>
      <c r="H1034">
        <v>24</v>
      </c>
      <c r="I1034">
        <v>20</v>
      </c>
      <c r="J1034" s="34">
        <v>4320000</v>
      </c>
      <c r="K1034" t="s">
        <v>171</v>
      </c>
      <c r="L1034" s="34">
        <f>PMT(Loans[[#This Row],[InterestRate]]/12,Loans[[#This Row],[LoanTenureMonths]],-Loans[[#This Row],[LoanAmount]])</f>
        <v>291890.05759520142</v>
      </c>
      <c r="M1034" s="30">
        <f>EDATE(Loans[[#This Row],[LoanStartDate]],Loans[[#This Row],[LoanTenureMonths]])</f>
        <v>44619</v>
      </c>
      <c r="N1034" s="33">
        <f>IF(Loans[[#This Row],[LoanAmount]]=0,0,Loans[[#This Row],[CollateralValue]]/Loans[[#This Row],[LoanAmount]])</f>
        <v>0.72</v>
      </c>
      <c r="O1034" t="str">
        <f>IF(Loans[[#This Row],[CollateralCoverageRatio]]&lt;1,"Undersecured","Secured")</f>
        <v>Undersecured</v>
      </c>
      <c r="P1034" t="str">
        <f>_xlfn.XLOOKUP(Loans[[#This Row],[BranchCode]],BranchesTbl[BranchCode],BranchesTbl[BranchName])</f>
        <v>Nakuru</v>
      </c>
      <c r="Q1034">
        <f>_xlfn.XLOOKUP(Loans[[#This Row],[CustomerID]],CustomerTbl[CustomerID],CustomerTbl[RiskScore])</f>
        <v>456</v>
      </c>
      <c r="R1034" t="str">
        <f>IFERROR(INDEX(RiskTbl[Risk_Category],MATCH(Loans[[#This Row],[RiskScore]],RiskTbl[Score_Min],1)),"Unknown")</f>
        <v>High Risk</v>
      </c>
      <c r="S1034" t="str">
        <f>IF(OR(Loans[[#This Row],[LoanStatus]]="Default",Loans[[#This Row],[LoanStatus]]="Watchlist",Loans[[#This Row],[CollateralRisk]]="Undersecured",Loans[[#This Row],[RiskCategory]]="High Risk"),"High Risk Exposure","Normal")</f>
        <v>High Risk Exposure</v>
      </c>
      <c r="T1034" t="str" cm="1">
        <f t="array" ref="T1034">_xlfn.IFS(
Loans[[#This Row],[LoanStatus]]="Default","Critical",
OR(Loans[[#This Row],[LoanStatus]]="Watchlist",Loans[[#This Row],[CollateralRisk]]="Undersecured",Loans[[#This Row],[RiskCategory]]="High Risk"),"High",
TRUE,"Normal"
)</f>
        <v>High</v>
      </c>
    </row>
    <row r="1035" spans="1:20" x14ac:dyDescent="0.35">
      <c r="A1035" t="s">
        <v>1762</v>
      </c>
      <c r="B1035" t="s">
        <v>870</v>
      </c>
      <c r="C1035" t="s">
        <v>193</v>
      </c>
      <c r="D1035" t="s">
        <v>157</v>
      </c>
      <c r="E1035" s="34">
        <v>6000000</v>
      </c>
      <c r="F1035" s="29">
        <v>9.8400000000000001E-2</v>
      </c>
      <c r="G1035" s="30">
        <v>45364</v>
      </c>
      <c r="H1035">
        <v>24</v>
      </c>
      <c r="I1035">
        <v>20</v>
      </c>
      <c r="J1035" s="34">
        <v>6300000</v>
      </c>
      <c r="K1035" t="s">
        <v>171</v>
      </c>
      <c r="L1035" s="34">
        <f>PMT(Loans[[#This Row],[InterestRate]]/12,Loans[[#This Row],[LoanTenureMonths]],-Loans[[#This Row],[LoanAmount]])</f>
        <v>276426.68061829614</v>
      </c>
      <c r="M1035" s="30">
        <f>EDATE(Loans[[#This Row],[LoanStartDate]],Loans[[#This Row],[LoanTenureMonths]])</f>
        <v>46094</v>
      </c>
      <c r="N1035" s="33">
        <f>IF(Loans[[#This Row],[LoanAmount]]=0,0,Loans[[#This Row],[CollateralValue]]/Loans[[#This Row],[LoanAmount]])</f>
        <v>1.05</v>
      </c>
      <c r="O1035" t="str">
        <f>IF(Loans[[#This Row],[CollateralCoverageRatio]]&lt;1,"Undersecured","Secured")</f>
        <v>Secured</v>
      </c>
      <c r="P1035" t="str">
        <f>_xlfn.XLOOKUP(Loans[[#This Row],[BranchCode]],BranchesTbl[BranchCode],BranchesTbl[BranchName])</f>
        <v>Mombasa</v>
      </c>
      <c r="Q1035">
        <f>_xlfn.XLOOKUP(Loans[[#This Row],[CustomerID]],CustomerTbl[CustomerID],CustomerTbl[RiskScore])</f>
        <v>603</v>
      </c>
      <c r="R1035" t="str">
        <f>IFERROR(INDEX(RiskTbl[Risk_Category],MATCH(Loans[[#This Row],[RiskScore]],RiskTbl[Score_Min],1)),"Unknown")</f>
        <v>Medium Risk</v>
      </c>
      <c r="S1035" t="str">
        <f>IF(OR(Loans[[#This Row],[LoanStatus]]="Default",Loans[[#This Row],[LoanStatus]]="Watchlist",Loans[[#This Row],[CollateralRisk]]="Undersecured",Loans[[#This Row],[RiskCategory]]="High Risk"),"High Risk Exposure","Normal")</f>
        <v>Normal</v>
      </c>
      <c r="T1035" t="str" cm="1">
        <f t="array" ref="T1035">_xlfn.IFS(
Loans[[#This Row],[LoanStatus]]="Default","Critical",
OR(Loans[[#This Row],[LoanStatus]]="Watchlist",Loans[[#This Row],[CollateralRisk]]="Undersecured",Loans[[#This Row],[RiskCategory]]="High Risk"),"High",
TRUE,"Normal"
)</f>
        <v>Normal</v>
      </c>
    </row>
    <row r="1036" spans="1:20" x14ac:dyDescent="0.35">
      <c r="A1036" t="s">
        <v>1763</v>
      </c>
      <c r="B1036" t="s">
        <v>562</v>
      </c>
      <c r="C1036" t="s">
        <v>170</v>
      </c>
      <c r="D1036" t="s">
        <v>156</v>
      </c>
      <c r="E1036" s="34">
        <v>25000000</v>
      </c>
      <c r="F1036" s="29">
        <v>0.1671</v>
      </c>
      <c r="G1036" s="30">
        <v>44110</v>
      </c>
      <c r="H1036">
        <v>12</v>
      </c>
      <c r="I1036">
        <v>0</v>
      </c>
      <c r="J1036" s="34">
        <v>25500000</v>
      </c>
      <c r="K1036" t="s">
        <v>171</v>
      </c>
      <c r="L1036" s="34">
        <f>PMT(Loans[[#This Row],[InterestRate]]/12,Loans[[#This Row],[LoanTenureMonths]],-Loans[[#This Row],[LoanAmount]])</f>
        <v>2276679.6007061894</v>
      </c>
      <c r="M1036" s="30">
        <f>EDATE(Loans[[#This Row],[LoanStartDate]],Loans[[#This Row],[LoanTenureMonths]])</f>
        <v>44475</v>
      </c>
      <c r="N1036" s="33">
        <f>IF(Loans[[#This Row],[LoanAmount]]=0,0,Loans[[#This Row],[CollateralValue]]/Loans[[#This Row],[LoanAmount]])</f>
        <v>1.02</v>
      </c>
      <c r="O1036" t="str">
        <f>IF(Loans[[#This Row],[CollateralCoverageRatio]]&lt;1,"Undersecured","Secured")</f>
        <v>Secured</v>
      </c>
      <c r="P1036" t="str">
        <f>_xlfn.XLOOKUP(Loans[[#This Row],[BranchCode]],BranchesTbl[BranchCode],BranchesTbl[BranchName])</f>
        <v>Thika</v>
      </c>
      <c r="Q1036">
        <f>_xlfn.XLOOKUP(Loans[[#This Row],[CustomerID]],CustomerTbl[CustomerID],CustomerTbl[RiskScore])</f>
        <v>767</v>
      </c>
      <c r="R1036" t="str">
        <f>IFERROR(INDEX(RiskTbl[Risk_Category],MATCH(Loans[[#This Row],[RiskScore]],RiskTbl[Score_Min],1)),"Unknown")</f>
        <v>Very Low Risk</v>
      </c>
      <c r="S1036" t="str">
        <f>IF(OR(Loans[[#This Row],[LoanStatus]]="Default",Loans[[#This Row],[LoanStatus]]="Watchlist",Loans[[#This Row],[CollateralRisk]]="Undersecured",Loans[[#This Row],[RiskCategory]]="High Risk"),"High Risk Exposure","Normal")</f>
        <v>Normal</v>
      </c>
      <c r="T1036" t="str" cm="1">
        <f t="array" ref="T1036">_xlfn.IFS(
Loans[[#This Row],[LoanStatus]]="Default","Critical",
OR(Loans[[#This Row],[LoanStatus]]="Watchlist",Loans[[#This Row],[CollateralRisk]]="Undersecured",Loans[[#This Row],[RiskCategory]]="High Risk"),"High",
TRUE,"Normal"
)</f>
        <v>Normal</v>
      </c>
    </row>
    <row r="1037" spans="1:20" x14ac:dyDescent="0.35">
      <c r="A1037" t="s">
        <v>1764</v>
      </c>
      <c r="B1037" t="s">
        <v>1333</v>
      </c>
      <c r="C1037" t="s">
        <v>267</v>
      </c>
      <c r="D1037" t="s">
        <v>158</v>
      </c>
      <c r="E1037" s="34">
        <v>1000000</v>
      </c>
      <c r="F1037" s="29">
        <v>0.16900000000000001</v>
      </c>
      <c r="G1037" s="30">
        <v>44867</v>
      </c>
      <c r="H1037">
        <v>48</v>
      </c>
      <c r="I1037">
        <v>90</v>
      </c>
      <c r="J1037" s="34">
        <v>1080000</v>
      </c>
      <c r="K1037" t="s">
        <v>199</v>
      </c>
      <c r="L1037" s="34">
        <f>PMT(Loans[[#This Row],[InterestRate]]/12,Loans[[#This Row],[LoanTenureMonths]],-Loans[[#This Row],[LoanAmount]])</f>
        <v>28803.331788462106</v>
      </c>
      <c r="M1037" s="30">
        <f>EDATE(Loans[[#This Row],[LoanStartDate]],Loans[[#This Row],[LoanTenureMonths]])</f>
        <v>46328</v>
      </c>
      <c r="N1037" s="33">
        <f>IF(Loans[[#This Row],[LoanAmount]]=0,0,Loans[[#This Row],[CollateralValue]]/Loans[[#This Row],[LoanAmount]])</f>
        <v>1.08</v>
      </c>
      <c r="O1037" t="str">
        <f>IF(Loans[[#This Row],[CollateralCoverageRatio]]&lt;1,"Undersecured","Secured")</f>
        <v>Secured</v>
      </c>
      <c r="P1037" t="str">
        <f>_xlfn.XLOOKUP(Loans[[#This Row],[BranchCode]],BranchesTbl[BranchCode],BranchesTbl[BranchName])</f>
        <v>Malindi</v>
      </c>
      <c r="Q1037">
        <f>_xlfn.XLOOKUP(Loans[[#This Row],[CustomerID]],CustomerTbl[CustomerID],CustomerTbl[RiskScore])</f>
        <v>734</v>
      </c>
      <c r="R1037" t="str">
        <f>IFERROR(INDEX(RiskTbl[Risk_Category],MATCH(Loans[[#This Row],[RiskScore]],RiskTbl[Score_Min],1)),"Unknown")</f>
        <v>Low Risk</v>
      </c>
      <c r="S1037" t="str">
        <f>IF(OR(Loans[[#This Row],[LoanStatus]]="Default",Loans[[#This Row],[LoanStatus]]="Watchlist",Loans[[#This Row],[CollateralRisk]]="Undersecured",Loans[[#This Row],[RiskCategory]]="High Risk"),"High Risk Exposure","Normal")</f>
        <v>High Risk Exposure</v>
      </c>
      <c r="T1037" t="str" cm="1">
        <f t="array" ref="T1037">_xlfn.IFS(
Loans[[#This Row],[LoanStatus]]="Default","Critical",
OR(Loans[[#This Row],[LoanStatus]]="Watchlist",Loans[[#This Row],[CollateralRisk]]="Undersecured",Loans[[#This Row],[RiskCategory]]="High Risk"),"High",
TRUE,"Normal"
)</f>
        <v>High</v>
      </c>
    </row>
    <row r="1038" spans="1:20" x14ac:dyDescent="0.35">
      <c r="A1038" t="s">
        <v>1765</v>
      </c>
      <c r="B1038" t="s">
        <v>404</v>
      </c>
      <c r="C1038" t="s">
        <v>219</v>
      </c>
      <c r="D1038" t="s">
        <v>157</v>
      </c>
      <c r="E1038" s="34">
        <v>25000000</v>
      </c>
      <c r="F1038" s="29">
        <v>0.11990000000000001</v>
      </c>
      <c r="G1038" s="30">
        <v>45468</v>
      </c>
      <c r="H1038">
        <v>72</v>
      </c>
      <c r="I1038">
        <v>45</v>
      </c>
      <c r="J1038" s="34">
        <v>22500000</v>
      </c>
      <c r="K1038" t="s">
        <v>199</v>
      </c>
      <c r="L1038" s="34">
        <f>PMT(Loans[[#This Row],[InterestRate]]/12,Loans[[#This Row],[LoanTenureMonths]],-Loans[[#This Row],[LoanAmount]])</f>
        <v>488624.81590032385</v>
      </c>
      <c r="M1038" s="30">
        <f>EDATE(Loans[[#This Row],[LoanStartDate]],Loans[[#This Row],[LoanTenureMonths]])</f>
        <v>47659</v>
      </c>
      <c r="N1038" s="33">
        <f>IF(Loans[[#This Row],[LoanAmount]]=0,0,Loans[[#This Row],[CollateralValue]]/Loans[[#This Row],[LoanAmount]])</f>
        <v>0.9</v>
      </c>
      <c r="O1038" t="str">
        <f>IF(Loans[[#This Row],[CollateralCoverageRatio]]&lt;1,"Undersecured","Secured")</f>
        <v>Undersecured</v>
      </c>
      <c r="P1038" t="str">
        <f>_xlfn.XLOOKUP(Loans[[#This Row],[BranchCode]],BranchesTbl[BranchCode],BranchesTbl[BranchName])</f>
        <v>Meru</v>
      </c>
      <c r="Q1038">
        <f>_xlfn.XLOOKUP(Loans[[#This Row],[CustomerID]],CustomerTbl[CustomerID],CustomerTbl[RiskScore])</f>
        <v>764</v>
      </c>
      <c r="R1038" t="str">
        <f>IFERROR(INDEX(RiskTbl[Risk_Category],MATCH(Loans[[#This Row],[RiskScore]],RiskTbl[Score_Min],1)),"Unknown")</f>
        <v>Very Low Risk</v>
      </c>
      <c r="S1038" t="str">
        <f>IF(OR(Loans[[#This Row],[LoanStatus]]="Default",Loans[[#This Row],[LoanStatus]]="Watchlist",Loans[[#This Row],[CollateralRisk]]="Undersecured",Loans[[#This Row],[RiskCategory]]="High Risk"),"High Risk Exposure","Normal")</f>
        <v>High Risk Exposure</v>
      </c>
      <c r="T1038" t="str" cm="1">
        <f t="array" ref="T1038">_xlfn.IFS(
Loans[[#This Row],[LoanStatus]]="Default","Critical",
OR(Loans[[#This Row],[LoanStatus]]="Watchlist",Loans[[#This Row],[CollateralRisk]]="Undersecured",Loans[[#This Row],[RiskCategory]]="High Risk"),"High",
TRUE,"Normal"
)</f>
        <v>High</v>
      </c>
    </row>
    <row r="1039" spans="1:20" x14ac:dyDescent="0.35">
      <c r="A1039" t="s">
        <v>1766</v>
      </c>
      <c r="B1039" t="s">
        <v>738</v>
      </c>
      <c r="C1039" t="s">
        <v>239</v>
      </c>
      <c r="D1039" t="s">
        <v>156</v>
      </c>
      <c r="E1039" s="34">
        <v>6000000</v>
      </c>
      <c r="F1039" s="29">
        <v>0.1696</v>
      </c>
      <c r="G1039" s="30">
        <v>45498</v>
      </c>
      <c r="H1039">
        <v>24</v>
      </c>
      <c r="I1039">
        <v>0</v>
      </c>
      <c r="J1039" s="34">
        <v>3840000</v>
      </c>
      <c r="K1039" t="s">
        <v>171</v>
      </c>
      <c r="L1039" s="34">
        <f>PMT(Loans[[#This Row],[InterestRate]]/12,Loans[[#This Row],[LoanTenureMonths]],-Loans[[#This Row],[LoanAmount]])</f>
        <v>296538.27814903948</v>
      </c>
      <c r="M1039" s="30">
        <f>EDATE(Loans[[#This Row],[LoanStartDate]],Loans[[#This Row],[LoanTenureMonths]])</f>
        <v>46228</v>
      </c>
      <c r="N1039" s="33">
        <f>IF(Loans[[#This Row],[LoanAmount]]=0,0,Loans[[#This Row],[CollateralValue]]/Loans[[#This Row],[LoanAmount]])</f>
        <v>0.64</v>
      </c>
      <c r="O1039" t="str">
        <f>IF(Loans[[#This Row],[CollateralCoverageRatio]]&lt;1,"Undersecured","Secured")</f>
        <v>Undersecured</v>
      </c>
      <c r="P1039" t="str">
        <f>_xlfn.XLOOKUP(Loans[[#This Row],[BranchCode]],BranchesTbl[BranchCode],BranchesTbl[BranchName])</f>
        <v>Machakos</v>
      </c>
      <c r="Q1039">
        <f>_xlfn.XLOOKUP(Loans[[#This Row],[CustomerID]],CustomerTbl[CustomerID],CustomerTbl[RiskScore])</f>
        <v>654</v>
      </c>
      <c r="R1039" t="str">
        <f>IFERROR(INDEX(RiskTbl[Risk_Category],MATCH(Loans[[#This Row],[RiskScore]],RiskTbl[Score_Min],1)),"Unknown")</f>
        <v>Medium Risk</v>
      </c>
      <c r="S1039" t="str">
        <f>IF(OR(Loans[[#This Row],[LoanStatus]]="Default",Loans[[#This Row],[LoanStatus]]="Watchlist",Loans[[#This Row],[CollateralRisk]]="Undersecured",Loans[[#This Row],[RiskCategory]]="High Risk"),"High Risk Exposure","Normal")</f>
        <v>High Risk Exposure</v>
      </c>
      <c r="T1039" t="str" cm="1">
        <f t="array" ref="T1039">_xlfn.IFS(
Loans[[#This Row],[LoanStatus]]="Default","Critical",
OR(Loans[[#This Row],[LoanStatus]]="Watchlist",Loans[[#This Row],[CollateralRisk]]="Undersecured",Loans[[#This Row],[RiskCategory]]="High Risk"),"High",
TRUE,"Normal"
)</f>
        <v>High</v>
      </c>
    </row>
    <row r="1040" spans="1:20" x14ac:dyDescent="0.35">
      <c r="A1040" t="s">
        <v>1767</v>
      </c>
      <c r="B1040" t="s">
        <v>936</v>
      </c>
      <c r="C1040" t="s">
        <v>270</v>
      </c>
      <c r="D1040" t="s">
        <v>157</v>
      </c>
      <c r="E1040" s="34">
        <v>6000000</v>
      </c>
      <c r="F1040" s="29">
        <v>0.1105</v>
      </c>
      <c r="G1040" s="30">
        <v>44220</v>
      </c>
      <c r="H1040">
        <v>72</v>
      </c>
      <c r="I1040">
        <v>0</v>
      </c>
      <c r="J1040" s="34">
        <v>3480000</v>
      </c>
      <c r="K1040" t="s">
        <v>171</v>
      </c>
      <c r="L1040" s="34">
        <f>PMT(Loans[[#This Row],[InterestRate]]/12,Loans[[#This Row],[LoanTenureMonths]],-Loans[[#This Row],[LoanAmount]])</f>
        <v>114358.18978661644</v>
      </c>
      <c r="M1040" s="30">
        <f>EDATE(Loans[[#This Row],[LoanStartDate]],Loans[[#This Row],[LoanTenureMonths]])</f>
        <v>46411</v>
      </c>
      <c r="N1040" s="33">
        <f>IF(Loans[[#This Row],[LoanAmount]]=0,0,Loans[[#This Row],[CollateralValue]]/Loans[[#This Row],[LoanAmount]])</f>
        <v>0.57999999999999996</v>
      </c>
      <c r="O1040" t="str">
        <f>IF(Loans[[#This Row],[CollateralCoverageRatio]]&lt;1,"Undersecured","Secured")</f>
        <v>Undersecured</v>
      </c>
      <c r="P1040" t="str">
        <f>_xlfn.XLOOKUP(Loans[[#This Row],[BranchCode]],BranchesTbl[BranchCode],BranchesTbl[BranchName])</f>
        <v>Nakuru</v>
      </c>
      <c r="Q1040">
        <f>_xlfn.XLOOKUP(Loans[[#This Row],[CustomerID]],CustomerTbl[CustomerID],CustomerTbl[RiskScore])</f>
        <v>302</v>
      </c>
      <c r="R1040" t="str">
        <f>IFERROR(INDEX(RiskTbl[Risk_Category],MATCH(Loans[[#This Row],[RiskScore]],RiskTbl[Score_Min],1)),"Unknown")</f>
        <v>High Risk</v>
      </c>
      <c r="S1040" t="str">
        <f>IF(OR(Loans[[#This Row],[LoanStatus]]="Default",Loans[[#This Row],[LoanStatus]]="Watchlist",Loans[[#This Row],[CollateralRisk]]="Undersecured",Loans[[#This Row],[RiskCategory]]="High Risk"),"High Risk Exposure","Normal")</f>
        <v>High Risk Exposure</v>
      </c>
      <c r="T1040" t="str" cm="1">
        <f t="array" ref="T1040">_xlfn.IFS(
Loans[[#This Row],[LoanStatus]]="Default","Critical",
OR(Loans[[#This Row],[LoanStatus]]="Watchlist",Loans[[#This Row],[CollateralRisk]]="Undersecured",Loans[[#This Row],[RiskCategory]]="High Risk"),"High",
TRUE,"Normal"
)</f>
        <v>High</v>
      </c>
    </row>
    <row r="1041" spans="1:20" x14ac:dyDescent="0.35">
      <c r="A1041" t="s">
        <v>1768</v>
      </c>
      <c r="B1041" t="s">
        <v>349</v>
      </c>
      <c r="C1041" t="s">
        <v>181</v>
      </c>
      <c r="D1041" t="s">
        <v>157</v>
      </c>
      <c r="E1041" s="34">
        <v>6000000</v>
      </c>
      <c r="F1041" s="29">
        <v>0.115</v>
      </c>
      <c r="G1041" s="30">
        <v>43985</v>
      </c>
      <c r="H1041">
        <v>24</v>
      </c>
      <c r="I1041">
        <v>5</v>
      </c>
      <c r="J1041" s="34">
        <v>7980000</v>
      </c>
      <c r="K1041" t="s">
        <v>171</v>
      </c>
      <c r="L1041" s="34">
        <f>PMT(Loans[[#This Row],[InterestRate]]/12,Loans[[#This Row],[LoanTenureMonths]],-Loans[[#This Row],[LoanAmount]])</f>
        <v>281041.891792076</v>
      </c>
      <c r="M1041" s="30">
        <f>EDATE(Loans[[#This Row],[LoanStartDate]],Loans[[#This Row],[LoanTenureMonths]])</f>
        <v>44715</v>
      </c>
      <c r="N1041" s="33">
        <f>IF(Loans[[#This Row],[LoanAmount]]=0,0,Loans[[#This Row],[CollateralValue]]/Loans[[#This Row],[LoanAmount]])</f>
        <v>1.33</v>
      </c>
      <c r="O1041" t="str">
        <f>IF(Loans[[#This Row],[CollateralCoverageRatio]]&lt;1,"Undersecured","Secured")</f>
        <v>Secured</v>
      </c>
      <c r="P1041" t="str">
        <f>_xlfn.XLOOKUP(Loans[[#This Row],[BranchCode]],BranchesTbl[BranchCode],BranchesTbl[BranchName])</f>
        <v>Kitale</v>
      </c>
      <c r="Q1041">
        <f>_xlfn.XLOOKUP(Loans[[#This Row],[CustomerID]],CustomerTbl[CustomerID],CustomerTbl[RiskScore])</f>
        <v>561</v>
      </c>
      <c r="R1041" t="str">
        <f>IFERROR(INDEX(RiskTbl[Risk_Category],MATCH(Loans[[#This Row],[RiskScore]],RiskTbl[Score_Min],1)),"Unknown")</f>
        <v>High Risk</v>
      </c>
      <c r="S1041" t="str">
        <f>IF(OR(Loans[[#This Row],[LoanStatus]]="Default",Loans[[#This Row],[LoanStatus]]="Watchlist",Loans[[#This Row],[CollateralRisk]]="Undersecured",Loans[[#This Row],[RiskCategory]]="High Risk"),"High Risk Exposure","Normal")</f>
        <v>High Risk Exposure</v>
      </c>
      <c r="T1041" t="str" cm="1">
        <f t="array" ref="T1041">_xlfn.IFS(
Loans[[#This Row],[LoanStatus]]="Default","Critical",
OR(Loans[[#This Row],[LoanStatus]]="Watchlist",Loans[[#This Row],[CollateralRisk]]="Undersecured",Loans[[#This Row],[RiskCategory]]="High Risk"),"High",
TRUE,"Normal"
)</f>
        <v>High</v>
      </c>
    </row>
    <row r="1042" spans="1:20" x14ac:dyDescent="0.35">
      <c r="A1042" t="s">
        <v>1769</v>
      </c>
      <c r="B1042" t="s">
        <v>1009</v>
      </c>
      <c r="C1042" t="s">
        <v>267</v>
      </c>
      <c r="D1042" t="s">
        <v>156</v>
      </c>
      <c r="E1042" s="34">
        <v>1000000</v>
      </c>
      <c r="F1042" s="29">
        <v>0.219</v>
      </c>
      <c r="G1042" s="30">
        <v>44150</v>
      </c>
      <c r="H1042">
        <v>12</v>
      </c>
      <c r="I1042">
        <v>0</v>
      </c>
      <c r="J1042" s="34">
        <v>890000</v>
      </c>
      <c r="K1042" t="s">
        <v>171</v>
      </c>
      <c r="L1042" s="34">
        <f>PMT(Loans[[#This Row],[InterestRate]]/12,Loans[[#This Row],[LoanTenureMonths]],-Loans[[#This Row],[LoanAmount]])</f>
        <v>93546.258906044881</v>
      </c>
      <c r="M1042" s="30">
        <f>EDATE(Loans[[#This Row],[LoanStartDate]],Loans[[#This Row],[LoanTenureMonths]])</f>
        <v>44515</v>
      </c>
      <c r="N1042" s="33">
        <f>IF(Loans[[#This Row],[LoanAmount]]=0,0,Loans[[#This Row],[CollateralValue]]/Loans[[#This Row],[LoanAmount]])</f>
        <v>0.89</v>
      </c>
      <c r="O1042" t="str">
        <f>IF(Loans[[#This Row],[CollateralCoverageRatio]]&lt;1,"Undersecured","Secured")</f>
        <v>Undersecured</v>
      </c>
      <c r="P1042" t="str">
        <f>_xlfn.XLOOKUP(Loans[[#This Row],[BranchCode]],BranchesTbl[BranchCode],BranchesTbl[BranchName])</f>
        <v>Malindi</v>
      </c>
      <c r="Q1042">
        <f>_xlfn.XLOOKUP(Loans[[#This Row],[CustomerID]],CustomerTbl[CustomerID],CustomerTbl[RiskScore])</f>
        <v>755</v>
      </c>
      <c r="R1042" t="str">
        <f>IFERROR(INDEX(RiskTbl[Risk_Category],MATCH(Loans[[#This Row],[RiskScore]],RiskTbl[Score_Min],1)),"Unknown")</f>
        <v>Very Low Risk</v>
      </c>
      <c r="S1042" t="str">
        <f>IF(OR(Loans[[#This Row],[LoanStatus]]="Default",Loans[[#This Row],[LoanStatus]]="Watchlist",Loans[[#This Row],[CollateralRisk]]="Undersecured",Loans[[#This Row],[RiskCategory]]="High Risk"),"High Risk Exposure","Normal")</f>
        <v>High Risk Exposure</v>
      </c>
      <c r="T1042" t="str" cm="1">
        <f t="array" ref="T1042">_xlfn.IFS(
Loans[[#This Row],[LoanStatus]]="Default","Critical",
OR(Loans[[#This Row],[LoanStatus]]="Watchlist",Loans[[#This Row],[CollateralRisk]]="Undersecured",Loans[[#This Row],[RiskCategory]]="High Risk"),"High",
TRUE,"Normal"
)</f>
        <v>High</v>
      </c>
    </row>
    <row r="1043" spans="1:20" x14ac:dyDescent="0.35">
      <c r="A1043" t="s">
        <v>1770</v>
      </c>
      <c r="B1043" t="s">
        <v>1604</v>
      </c>
      <c r="C1043" t="s">
        <v>239</v>
      </c>
      <c r="D1043" t="s">
        <v>156</v>
      </c>
      <c r="E1043" s="34">
        <v>25000000</v>
      </c>
      <c r="F1043" s="29">
        <v>0.22070000000000001</v>
      </c>
      <c r="G1043" s="30">
        <v>45802</v>
      </c>
      <c r="H1043">
        <v>48</v>
      </c>
      <c r="I1043">
        <v>5</v>
      </c>
      <c r="J1043" s="34">
        <v>22250000</v>
      </c>
      <c r="K1043" t="s">
        <v>171</v>
      </c>
      <c r="L1043" s="34">
        <f>PMT(Loans[[#This Row],[InterestRate]]/12,Loans[[#This Row],[LoanTenureMonths]],-Loans[[#This Row],[LoanAmount]])</f>
        <v>788602.31893355458</v>
      </c>
      <c r="M1043" s="30">
        <f>EDATE(Loans[[#This Row],[LoanStartDate]],Loans[[#This Row],[LoanTenureMonths]])</f>
        <v>47263</v>
      </c>
      <c r="N1043" s="33">
        <f>IF(Loans[[#This Row],[LoanAmount]]=0,0,Loans[[#This Row],[CollateralValue]]/Loans[[#This Row],[LoanAmount]])</f>
        <v>0.89</v>
      </c>
      <c r="O1043" t="str">
        <f>IF(Loans[[#This Row],[CollateralCoverageRatio]]&lt;1,"Undersecured","Secured")</f>
        <v>Undersecured</v>
      </c>
      <c r="P1043" t="str">
        <f>_xlfn.XLOOKUP(Loans[[#This Row],[BranchCode]],BranchesTbl[BranchCode],BranchesTbl[BranchName])</f>
        <v>Machakos</v>
      </c>
      <c r="Q1043">
        <f>_xlfn.XLOOKUP(Loans[[#This Row],[CustomerID]],CustomerTbl[CustomerID],CustomerTbl[RiskScore])</f>
        <v>350</v>
      </c>
      <c r="R1043" t="str">
        <f>IFERROR(INDEX(RiskTbl[Risk_Category],MATCH(Loans[[#This Row],[RiskScore]],RiskTbl[Score_Min],1)),"Unknown")</f>
        <v>High Risk</v>
      </c>
      <c r="S1043" t="str">
        <f>IF(OR(Loans[[#This Row],[LoanStatus]]="Default",Loans[[#This Row],[LoanStatus]]="Watchlist",Loans[[#This Row],[CollateralRisk]]="Undersecured",Loans[[#This Row],[RiskCategory]]="High Risk"),"High Risk Exposure","Normal")</f>
        <v>High Risk Exposure</v>
      </c>
      <c r="T1043" t="str" cm="1">
        <f t="array" ref="T1043">_xlfn.IFS(
Loans[[#This Row],[LoanStatus]]="Default","Critical",
OR(Loans[[#This Row],[LoanStatus]]="Watchlist",Loans[[#This Row],[CollateralRisk]]="Undersecured",Loans[[#This Row],[RiskCategory]]="High Risk"),"High",
TRUE,"Normal"
)</f>
        <v>High</v>
      </c>
    </row>
    <row r="1044" spans="1:20" x14ac:dyDescent="0.35">
      <c r="A1044" t="s">
        <v>1771</v>
      </c>
      <c r="B1044" t="s">
        <v>635</v>
      </c>
      <c r="C1044" t="s">
        <v>177</v>
      </c>
      <c r="D1044" t="s">
        <v>158</v>
      </c>
      <c r="E1044" s="34">
        <v>6000000</v>
      </c>
      <c r="F1044" s="29">
        <v>0.1862</v>
      </c>
      <c r="G1044" s="30">
        <v>45653</v>
      </c>
      <c r="H1044">
        <v>48</v>
      </c>
      <c r="I1044">
        <v>10</v>
      </c>
      <c r="J1044" s="34">
        <v>8520000</v>
      </c>
      <c r="K1044" t="s">
        <v>171</v>
      </c>
      <c r="L1044" s="34">
        <f>PMT(Loans[[#This Row],[InterestRate]]/12,Loans[[#This Row],[LoanTenureMonths]],-Loans[[#This Row],[LoanAmount]])</f>
        <v>178199.80434273896</v>
      </c>
      <c r="M1044" s="30">
        <f>EDATE(Loans[[#This Row],[LoanStartDate]],Loans[[#This Row],[LoanTenureMonths]])</f>
        <v>47114</v>
      </c>
      <c r="N1044" s="33">
        <f>IF(Loans[[#This Row],[LoanAmount]]=0,0,Loans[[#This Row],[CollateralValue]]/Loans[[#This Row],[LoanAmount]])</f>
        <v>1.42</v>
      </c>
      <c r="O1044" t="str">
        <f>IF(Loans[[#This Row],[CollateralCoverageRatio]]&lt;1,"Undersecured","Secured")</f>
        <v>Secured</v>
      </c>
      <c r="P1044" t="str">
        <f>_xlfn.XLOOKUP(Loans[[#This Row],[BranchCode]],BranchesTbl[BranchCode],BranchesTbl[BranchName])</f>
        <v>Naivasha</v>
      </c>
      <c r="Q1044">
        <f>_xlfn.XLOOKUP(Loans[[#This Row],[CustomerID]],CustomerTbl[CustomerID],CustomerTbl[RiskScore])</f>
        <v>333</v>
      </c>
      <c r="R1044" t="str">
        <f>IFERROR(INDEX(RiskTbl[Risk_Category],MATCH(Loans[[#This Row],[RiskScore]],RiskTbl[Score_Min],1)),"Unknown")</f>
        <v>High Risk</v>
      </c>
      <c r="S1044" t="str">
        <f>IF(OR(Loans[[#This Row],[LoanStatus]]="Default",Loans[[#This Row],[LoanStatus]]="Watchlist",Loans[[#This Row],[CollateralRisk]]="Undersecured",Loans[[#This Row],[RiskCategory]]="High Risk"),"High Risk Exposure","Normal")</f>
        <v>High Risk Exposure</v>
      </c>
      <c r="T1044" t="str" cm="1">
        <f t="array" ref="T1044">_xlfn.IFS(
Loans[[#This Row],[LoanStatus]]="Default","Critical",
OR(Loans[[#This Row],[LoanStatus]]="Watchlist",Loans[[#This Row],[CollateralRisk]]="Undersecured",Loans[[#This Row],[RiskCategory]]="High Risk"),"High",
TRUE,"Normal"
)</f>
        <v>High</v>
      </c>
    </row>
    <row r="1045" spans="1:20" x14ac:dyDescent="0.35">
      <c r="A1045" t="s">
        <v>1772</v>
      </c>
      <c r="B1045" t="s">
        <v>1773</v>
      </c>
      <c r="C1045" t="s">
        <v>181</v>
      </c>
      <c r="D1045" t="s">
        <v>156</v>
      </c>
      <c r="E1045" s="34">
        <v>6000000</v>
      </c>
      <c r="F1045" s="29">
        <v>0.23419999999999999</v>
      </c>
      <c r="G1045" s="30">
        <v>45319</v>
      </c>
      <c r="H1045">
        <v>60</v>
      </c>
      <c r="I1045">
        <v>120</v>
      </c>
      <c r="J1045" s="34">
        <v>6840000</v>
      </c>
      <c r="K1045" t="s">
        <v>178</v>
      </c>
      <c r="L1045" s="34">
        <f>PMT(Loans[[#This Row],[InterestRate]]/12,Loans[[#This Row],[LoanTenureMonths]],-Loans[[#This Row],[LoanAmount]])</f>
        <v>170593.80045497441</v>
      </c>
      <c r="M1045" s="30">
        <f>EDATE(Loans[[#This Row],[LoanStartDate]],Loans[[#This Row],[LoanTenureMonths]])</f>
        <v>47146</v>
      </c>
      <c r="N1045" s="33">
        <f>IF(Loans[[#This Row],[LoanAmount]]=0,0,Loans[[#This Row],[CollateralValue]]/Loans[[#This Row],[LoanAmount]])</f>
        <v>1.1399999999999999</v>
      </c>
      <c r="O1045" t="str">
        <f>IF(Loans[[#This Row],[CollateralCoverageRatio]]&lt;1,"Undersecured","Secured")</f>
        <v>Secured</v>
      </c>
      <c r="P1045" t="str">
        <f>_xlfn.XLOOKUP(Loans[[#This Row],[BranchCode]],BranchesTbl[BranchCode],BranchesTbl[BranchName])</f>
        <v>Kitale</v>
      </c>
      <c r="Q1045">
        <f>_xlfn.XLOOKUP(Loans[[#This Row],[CustomerID]],CustomerTbl[CustomerID],CustomerTbl[RiskScore])</f>
        <v>631</v>
      </c>
      <c r="R1045" t="str">
        <f>IFERROR(INDEX(RiskTbl[Risk_Category],MATCH(Loans[[#This Row],[RiskScore]],RiskTbl[Score_Min],1)),"Unknown")</f>
        <v>Medium Risk</v>
      </c>
      <c r="S1045" t="str">
        <f>IF(OR(Loans[[#This Row],[LoanStatus]]="Default",Loans[[#This Row],[LoanStatus]]="Watchlist",Loans[[#This Row],[CollateralRisk]]="Undersecured",Loans[[#This Row],[RiskCategory]]="High Risk"),"High Risk Exposure","Normal")</f>
        <v>High Risk Exposure</v>
      </c>
      <c r="T1045" t="str" cm="1">
        <f t="array" ref="T1045">_xlfn.IFS(
Loans[[#This Row],[LoanStatus]]="Default","Critical",
OR(Loans[[#This Row],[LoanStatus]]="Watchlist",Loans[[#This Row],[CollateralRisk]]="Undersecured",Loans[[#This Row],[RiskCategory]]="High Risk"),"High",
TRUE,"Normal"
)</f>
        <v>Critical</v>
      </c>
    </row>
    <row r="1046" spans="1:20" x14ac:dyDescent="0.35">
      <c r="A1046" t="s">
        <v>1774</v>
      </c>
      <c r="B1046" t="s">
        <v>1775</v>
      </c>
      <c r="C1046" t="s">
        <v>184</v>
      </c>
      <c r="D1046" t="s">
        <v>157</v>
      </c>
      <c r="E1046" s="34">
        <v>6000000</v>
      </c>
      <c r="F1046" s="29">
        <v>9.8100000000000007E-2</v>
      </c>
      <c r="G1046" s="30">
        <v>44507</v>
      </c>
      <c r="H1046">
        <v>48</v>
      </c>
      <c r="I1046">
        <v>5</v>
      </c>
      <c r="J1046" s="34">
        <v>6720000</v>
      </c>
      <c r="K1046" t="s">
        <v>171</v>
      </c>
      <c r="L1046" s="34">
        <f>PMT(Loans[[#This Row],[InterestRate]]/12,Loans[[#This Row],[LoanTenureMonths]],-Loans[[#This Row],[LoanAmount]])</f>
        <v>151628.60716254654</v>
      </c>
      <c r="M1046" s="30">
        <f>EDATE(Loans[[#This Row],[LoanStartDate]],Loans[[#This Row],[LoanTenureMonths]])</f>
        <v>45968</v>
      </c>
      <c r="N1046" s="33">
        <f>IF(Loans[[#This Row],[LoanAmount]]=0,0,Loans[[#This Row],[CollateralValue]]/Loans[[#This Row],[LoanAmount]])</f>
        <v>1.1200000000000001</v>
      </c>
      <c r="O1046" t="str">
        <f>IF(Loans[[#This Row],[CollateralCoverageRatio]]&lt;1,"Undersecured","Secured")</f>
        <v>Secured</v>
      </c>
      <c r="P1046" t="str">
        <f>_xlfn.XLOOKUP(Loans[[#This Row],[BranchCode]],BranchesTbl[BranchCode],BranchesTbl[BranchName])</f>
        <v>Kisumu</v>
      </c>
      <c r="Q1046">
        <f>_xlfn.XLOOKUP(Loans[[#This Row],[CustomerID]],CustomerTbl[CustomerID],CustomerTbl[RiskScore])</f>
        <v>368</v>
      </c>
      <c r="R1046" t="str">
        <f>IFERROR(INDEX(RiskTbl[Risk_Category],MATCH(Loans[[#This Row],[RiskScore]],RiskTbl[Score_Min],1)),"Unknown")</f>
        <v>High Risk</v>
      </c>
      <c r="S1046" t="str">
        <f>IF(OR(Loans[[#This Row],[LoanStatus]]="Default",Loans[[#This Row],[LoanStatus]]="Watchlist",Loans[[#This Row],[CollateralRisk]]="Undersecured",Loans[[#This Row],[RiskCategory]]="High Risk"),"High Risk Exposure","Normal")</f>
        <v>High Risk Exposure</v>
      </c>
      <c r="T1046" t="str" cm="1">
        <f t="array" ref="T1046">_xlfn.IFS(
Loans[[#This Row],[LoanStatus]]="Default","Critical",
OR(Loans[[#This Row],[LoanStatus]]="Watchlist",Loans[[#This Row],[CollateralRisk]]="Undersecured",Loans[[#This Row],[RiskCategory]]="High Risk"),"High",
TRUE,"Normal"
)</f>
        <v>High</v>
      </c>
    </row>
    <row r="1047" spans="1:20" x14ac:dyDescent="0.35">
      <c r="A1047" t="s">
        <v>1776</v>
      </c>
      <c r="B1047" t="s">
        <v>1777</v>
      </c>
      <c r="C1047" t="s">
        <v>193</v>
      </c>
      <c r="D1047" t="s">
        <v>155</v>
      </c>
      <c r="E1047" s="34">
        <v>500000</v>
      </c>
      <c r="F1047" s="29">
        <v>0.22420000000000001</v>
      </c>
      <c r="G1047" s="30">
        <v>45825</v>
      </c>
      <c r="H1047">
        <v>36</v>
      </c>
      <c r="I1047">
        <v>0</v>
      </c>
      <c r="J1047" s="34">
        <v>0</v>
      </c>
      <c r="K1047" t="s">
        <v>171</v>
      </c>
      <c r="L1047" s="34">
        <f>PMT(Loans[[#This Row],[InterestRate]]/12,Loans[[#This Row],[LoanTenureMonths]],-Loans[[#This Row],[LoanAmount]])</f>
        <v>19204.037068691883</v>
      </c>
      <c r="M1047" s="30">
        <f>EDATE(Loans[[#This Row],[LoanStartDate]],Loans[[#This Row],[LoanTenureMonths]])</f>
        <v>46921</v>
      </c>
      <c r="N1047" s="33">
        <f>IF(Loans[[#This Row],[LoanAmount]]=0,0,Loans[[#This Row],[CollateralValue]]/Loans[[#This Row],[LoanAmount]])</f>
        <v>0</v>
      </c>
      <c r="O1047" t="str">
        <f>IF(Loans[[#This Row],[CollateralCoverageRatio]]&lt;1,"Undersecured","Secured")</f>
        <v>Undersecured</v>
      </c>
      <c r="P1047" t="str">
        <f>_xlfn.XLOOKUP(Loans[[#This Row],[BranchCode]],BranchesTbl[BranchCode],BranchesTbl[BranchName])</f>
        <v>Mombasa</v>
      </c>
      <c r="Q1047">
        <f>_xlfn.XLOOKUP(Loans[[#This Row],[CustomerID]],CustomerTbl[CustomerID],CustomerTbl[RiskScore])</f>
        <v>343</v>
      </c>
      <c r="R1047" t="str">
        <f>IFERROR(INDEX(RiskTbl[Risk_Category],MATCH(Loans[[#This Row],[RiskScore]],RiskTbl[Score_Min],1)),"Unknown")</f>
        <v>High Risk</v>
      </c>
      <c r="S1047" t="str">
        <f>IF(OR(Loans[[#This Row],[LoanStatus]]="Default",Loans[[#This Row],[LoanStatus]]="Watchlist",Loans[[#This Row],[CollateralRisk]]="Undersecured",Loans[[#This Row],[RiskCategory]]="High Risk"),"High Risk Exposure","Normal")</f>
        <v>High Risk Exposure</v>
      </c>
      <c r="T1047" t="str" cm="1">
        <f t="array" ref="T1047">_xlfn.IFS(
Loans[[#This Row],[LoanStatus]]="Default","Critical",
OR(Loans[[#This Row],[LoanStatus]]="Watchlist",Loans[[#This Row],[CollateralRisk]]="Undersecured",Loans[[#This Row],[RiskCategory]]="High Risk"),"High",
TRUE,"Normal"
)</f>
        <v>High</v>
      </c>
    </row>
    <row r="1048" spans="1:20" x14ac:dyDescent="0.35">
      <c r="A1048" t="s">
        <v>1778</v>
      </c>
      <c r="B1048" t="s">
        <v>1100</v>
      </c>
      <c r="C1048" t="s">
        <v>187</v>
      </c>
      <c r="D1048" t="s">
        <v>158</v>
      </c>
      <c r="E1048" s="34">
        <v>500000</v>
      </c>
      <c r="F1048" s="29">
        <v>0.1575</v>
      </c>
      <c r="G1048" s="30">
        <v>43934</v>
      </c>
      <c r="H1048">
        <v>12</v>
      </c>
      <c r="I1048">
        <v>5</v>
      </c>
      <c r="J1048" s="34">
        <v>450000</v>
      </c>
      <c r="K1048" t="s">
        <v>171</v>
      </c>
      <c r="L1048" s="34">
        <f>PMT(Loans[[#This Row],[InterestRate]]/12,Loans[[#This Row],[LoanTenureMonths]],-Loans[[#This Row],[LoanAmount]])</f>
        <v>45306.297479081972</v>
      </c>
      <c r="M1048" s="30">
        <f>EDATE(Loans[[#This Row],[LoanStartDate]],Loans[[#This Row],[LoanTenureMonths]])</f>
        <v>44299</v>
      </c>
      <c r="N1048" s="33">
        <f>IF(Loans[[#This Row],[LoanAmount]]=0,0,Loans[[#This Row],[CollateralValue]]/Loans[[#This Row],[LoanAmount]])</f>
        <v>0.9</v>
      </c>
      <c r="O1048" t="str">
        <f>IF(Loans[[#This Row],[CollateralCoverageRatio]]&lt;1,"Undersecured","Secured")</f>
        <v>Undersecured</v>
      </c>
      <c r="P1048" t="str">
        <f>_xlfn.XLOOKUP(Loans[[#This Row],[BranchCode]],BranchesTbl[BranchCode],BranchesTbl[BranchName])</f>
        <v>Eldoret</v>
      </c>
      <c r="Q1048">
        <f>_xlfn.XLOOKUP(Loans[[#This Row],[CustomerID]],CustomerTbl[CustomerID],CustomerTbl[RiskScore])</f>
        <v>441</v>
      </c>
      <c r="R1048" t="str">
        <f>IFERROR(INDEX(RiskTbl[Risk_Category],MATCH(Loans[[#This Row],[RiskScore]],RiskTbl[Score_Min],1)),"Unknown")</f>
        <v>High Risk</v>
      </c>
      <c r="S1048" t="str">
        <f>IF(OR(Loans[[#This Row],[LoanStatus]]="Default",Loans[[#This Row],[LoanStatus]]="Watchlist",Loans[[#This Row],[CollateralRisk]]="Undersecured",Loans[[#This Row],[RiskCategory]]="High Risk"),"High Risk Exposure","Normal")</f>
        <v>High Risk Exposure</v>
      </c>
      <c r="T1048" t="str" cm="1">
        <f t="array" ref="T1048">_xlfn.IFS(
Loans[[#This Row],[LoanStatus]]="Default","Critical",
OR(Loans[[#This Row],[LoanStatus]]="Watchlist",Loans[[#This Row],[CollateralRisk]]="Undersecured",Loans[[#This Row],[RiskCategory]]="High Risk"),"High",
TRUE,"Normal"
)</f>
        <v>High</v>
      </c>
    </row>
    <row r="1049" spans="1:20" x14ac:dyDescent="0.35">
      <c r="A1049" t="s">
        <v>1779</v>
      </c>
      <c r="B1049" t="s">
        <v>1411</v>
      </c>
      <c r="C1049" t="s">
        <v>174</v>
      </c>
      <c r="D1049" t="s">
        <v>156</v>
      </c>
      <c r="E1049" s="34">
        <v>1000000</v>
      </c>
      <c r="F1049" s="29">
        <v>0.2225</v>
      </c>
      <c r="G1049" s="30">
        <v>44853</v>
      </c>
      <c r="H1049">
        <v>60</v>
      </c>
      <c r="I1049">
        <v>120</v>
      </c>
      <c r="J1049" s="34">
        <v>580000</v>
      </c>
      <c r="K1049" t="s">
        <v>178</v>
      </c>
      <c r="L1049" s="34">
        <f>PMT(Loans[[#This Row],[InterestRate]]/12,Loans[[#This Row],[LoanTenureMonths]],-Loans[[#This Row],[LoanAmount]])</f>
        <v>27761.241407753529</v>
      </c>
      <c r="M1049" s="30">
        <f>EDATE(Loans[[#This Row],[LoanStartDate]],Loans[[#This Row],[LoanTenureMonths]])</f>
        <v>46679</v>
      </c>
      <c r="N1049" s="33">
        <f>IF(Loans[[#This Row],[LoanAmount]]=0,0,Loans[[#This Row],[CollateralValue]]/Loans[[#This Row],[LoanAmount]])</f>
        <v>0.57999999999999996</v>
      </c>
      <c r="O1049" t="str">
        <f>IF(Loans[[#This Row],[CollateralCoverageRatio]]&lt;1,"Undersecured","Secured")</f>
        <v>Undersecured</v>
      </c>
      <c r="P1049" t="str">
        <f>_xlfn.XLOOKUP(Loans[[#This Row],[BranchCode]],BranchesTbl[BranchCode],BranchesTbl[BranchName])</f>
        <v>Westlands</v>
      </c>
      <c r="Q1049">
        <f>_xlfn.XLOOKUP(Loans[[#This Row],[CustomerID]],CustomerTbl[CustomerID],CustomerTbl[RiskScore])</f>
        <v>795</v>
      </c>
      <c r="R1049" t="str">
        <f>IFERROR(INDEX(RiskTbl[Risk_Category],MATCH(Loans[[#This Row],[RiskScore]],RiskTbl[Score_Min],1)),"Unknown")</f>
        <v>Very Low Risk</v>
      </c>
      <c r="S1049" t="str">
        <f>IF(OR(Loans[[#This Row],[LoanStatus]]="Default",Loans[[#This Row],[LoanStatus]]="Watchlist",Loans[[#This Row],[CollateralRisk]]="Undersecured",Loans[[#This Row],[RiskCategory]]="High Risk"),"High Risk Exposure","Normal")</f>
        <v>High Risk Exposure</v>
      </c>
      <c r="T1049" t="str" cm="1">
        <f t="array" ref="T1049">_xlfn.IFS(
Loans[[#This Row],[LoanStatus]]="Default","Critical",
OR(Loans[[#This Row],[LoanStatus]]="Watchlist",Loans[[#This Row],[CollateralRisk]]="Undersecured",Loans[[#This Row],[RiskCategory]]="High Risk"),"High",
TRUE,"Normal"
)</f>
        <v>Critical</v>
      </c>
    </row>
    <row r="1050" spans="1:20" x14ac:dyDescent="0.35">
      <c r="A1050" t="s">
        <v>1780</v>
      </c>
      <c r="B1050" t="s">
        <v>481</v>
      </c>
      <c r="C1050" t="s">
        <v>177</v>
      </c>
      <c r="D1050" t="s">
        <v>157</v>
      </c>
      <c r="E1050" s="34">
        <v>25000000</v>
      </c>
      <c r="F1050" s="29">
        <v>9.5600000000000004E-2</v>
      </c>
      <c r="G1050" s="30">
        <v>45618</v>
      </c>
      <c r="H1050">
        <v>12</v>
      </c>
      <c r="I1050">
        <v>0</v>
      </c>
      <c r="J1050" s="34">
        <v>29750000</v>
      </c>
      <c r="K1050" t="s">
        <v>171</v>
      </c>
      <c r="L1050" s="34">
        <f>PMT(Loans[[#This Row],[InterestRate]]/12,Loans[[#This Row],[LoanTenureMonths]],-Loans[[#This Row],[LoanAmount]])</f>
        <v>2192784.4714412051</v>
      </c>
      <c r="M1050" s="30">
        <f>EDATE(Loans[[#This Row],[LoanStartDate]],Loans[[#This Row],[LoanTenureMonths]])</f>
        <v>45983</v>
      </c>
      <c r="N1050" s="33">
        <f>IF(Loans[[#This Row],[LoanAmount]]=0,0,Loans[[#This Row],[CollateralValue]]/Loans[[#This Row],[LoanAmount]])</f>
        <v>1.19</v>
      </c>
      <c r="O1050" t="str">
        <f>IF(Loans[[#This Row],[CollateralCoverageRatio]]&lt;1,"Undersecured","Secured")</f>
        <v>Secured</v>
      </c>
      <c r="P1050" t="str">
        <f>_xlfn.XLOOKUP(Loans[[#This Row],[BranchCode]],BranchesTbl[BranchCode],BranchesTbl[BranchName])</f>
        <v>Naivasha</v>
      </c>
      <c r="Q1050">
        <f>_xlfn.XLOOKUP(Loans[[#This Row],[CustomerID]],CustomerTbl[CustomerID],CustomerTbl[RiskScore])</f>
        <v>383</v>
      </c>
      <c r="R1050" t="str">
        <f>IFERROR(INDEX(RiskTbl[Risk_Category],MATCH(Loans[[#This Row],[RiskScore]],RiskTbl[Score_Min],1)),"Unknown")</f>
        <v>High Risk</v>
      </c>
      <c r="S1050" t="str">
        <f>IF(OR(Loans[[#This Row],[LoanStatus]]="Default",Loans[[#This Row],[LoanStatus]]="Watchlist",Loans[[#This Row],[CollateralRisk]]="Undersecured",Loans[[#This Row],[RiskCategory]]="High Risk"),"High Risk Exposure","Normal")</f>
        <v>High Risk Exposure</v>
      </c>
      <c r="T1050" t="str" cm="1">
        <f t="array" ref="T1050">_xlfn.IFS(
Loans[[#This Row],[LoanStatus]]="Default","Critical",
OR(Loans[[#This Row],[LoanStatus]]="Watchlist",Loans[[#This Row],[CollateralRisk]]="Undersecured",Loans[[#This Row],[RiskCategory]]="High Risk"),"High",
TRUE,"Normal"
)</f>
        <v>High</v>
      </c>
    </row>
    <row r="1051" spans="1:20" x14ac:dyDescent="0.35">
      <c r="A1051" t="s">
        <v>1781</v>
      </c>
      <c r="B1051" t="s">
        <v>1268</v>
      </c>
      <c r="C1051" t="s">
        <v>177</v>
      </c>
      <c r="D1051" t="s">
        <v>156</v>
      </c>
      <c r="E1051" s="34">
        <v>3000000</v>
      </c>
      <c r="F1051" s="29">
        <v>0.19009999999999999</v>
      </c>
      <c r="G1051" s="30">
        <v>45480</v>
      </c>
      <c r="H1051">
        <v>24</v>
      </c>
      <c r="I1051">
        <v>120</v>
      </c>
      <c r="J1051" s="34">
        <v>3360000</v>
      </c>
      <c r="K1051" t="s">
        <v>178</v>
      </c>
      <c r="L1051" s="34">
        <f>PMT(Loans[[#This Row],[InterestRate]]/12,Loans[[#This Row],[LoanTenureMonths]],-Loans[[#This Row],[LoanAmount]])</f>
        <v>151240.42756018846</v>
      </c>
      <c r="M1051" s="30">
        <f>EDATE(Loans[[#This Row],[LoanStartDate]],Loans[[#This Row],[LoanTenureMonths]])</f>
        <v>46210</v>
      </c>
      <c r="N1051" s="33">
        <f>IF(Loans[[#This Row],[LoanAmount]]=0,0,Loans[[#This Row],[CollateralValue]]/Loans[[#This Row],[LoanAmount]])</f>
        <v>1.1200000000000001</v>
      </c>
      <c r="O1051" t="str">
        <f>IF(Loans[[#This Row],[CollateralCoverageRatio]]&lt;1,"Undersecured","Secured")</f>
        <v>Secured</v>
      </c>
      <c r="P1051" t="str">
        <f>_xlfn.XLOOKUP(Loans[[#This Row],[BranchCode]],BranchesTbl[BranchCode],BranchesTbl[BranchName])</f>
        <v>Naivasha</v>
      </c>
      <c r="Q1051">
        <f>_xlfn.XLOOKUP(Loans[[#This Row],[CustomerID]],CustomerTbl[CustomerID],CustomerTbl[RiskScore])</f>
        <v>571</v>
      </c>
      <c r="R1051" t="str">
        <f>IFERROR(INDEX(RiskTbl[Risk_Category],MATCH(Loans[[#This Row],[RiskScore]],RiskTbl[Score_Min],1)),"Unknown")</f>
        <v>High Risk</v>
      </c>
      <c r="S1051" t="str">
        <f>IF(OR(Loans[[#This Row],[LoanStatus]]="Default",Loans[[#This Row],[LoanStatus]]="Watchlist",Loans[[#This Row],[CollateralRisk]]="Undersecured",Loans[[#This Row],[RiskCategory]]="High Risk"),"High Risk Exposure","Normal")</f>
        <v>High Risk Exposure</v>
      </c>
      <c r="T1051" t="str" cm="1">
        <f t="array" ref="T1051">_xlfn.IFS(
Loans[[#This Row],[LoanStatus]]="Default","Critical",
OR(Loans[[#This Row],[LoanStatus]]="Watchlist",Loans[[#This Row],[CollateralRisk]]="Undersecured",Loans[[#This Row],[RiskCategory]]="High Risk"),"High",
TRUE,"Normal"
)</f>
        <v>Critical</v>
      </c>
    </row>
    <row r="1052" spans="1:20" x14ac:dyDescent="0.35">
      <c r="A1052" t="s">
        <v>1782</v>
      </c>
      <c r="B1052" t="s">
        <v>1309</v>
      </c>
      <c r="C1052" t="s">
        <v>206</v>
      </c>
      <c r="D1052" t="s">
        <v>157</v>
      </c>
      <c r="E1052" s="34">
        <v>25000000</v>
      </c>
      <c r="F1052" s="29">
        <v>0.13320000000000001</v>
      </c>
      <c r="G1052" s="30">
        <v>44157</v>
      </c>
      <c r="H1052">
        <v>24</v>
      </c>
      <c r="I1052">
        <v>90</v>
      </c>
      <c r="J1052" s="34">
        <v>21250000</v>
      </c>
      <c r="K1052" t="s">
        <v>199</v>
      </c>
      <c r="L1052" s="34">
        <f>PMT(Loans[[#This Row],[InterestRate]]/12,Loans[[#This Row],[LoanTenureMonths]],-Loans[[#This Row],[LoanAmount]])</f>
        <v>1192306.6854378504</v>
      </c>
      <c r="M1052" s="30">
        <f>EDATE(Loans[[#This Row],[LoanStartDate]],Loans[[#This Row],[LoanTenureMonths]])</f>
        <v>44887</v>
      </c>
      <c r="N1052" s="33">
        <f>IF(Loans[[#This Row],[LoanAmount]]=0,0,Loans[[#This Row],[CollateralValue]]/Loans[[#This Row],[LoanAmount]])</f>
        <v>0.85</v>
      </c>
      <c r="O1052" t="str">
        <f>IF(Loans[[#This Row],[CollateralCoverageRatio]]&lt;1,"Undersecured","Secured")</f>
        <v>Undersecured</v>
      </c>
      <c r="P1052" t="str">
        <f>_xlfn.XLOOKUP(Loans[[#This Row],[BranchCode]],BranchesTbl[BranchCode],BranchesTbl[BranchName])</f>
        <v>Nyahururu</v>
      </c>
      <c r="Q1052">
        <f>_xlfn.XLOOKUP(Loans[[#This Row],[CustomerID]],CustomerTbl[CustomerID],CustomerTbl[RiskScore])</f>
        <v>572</v>
      </c>
      <c r="R1052" t="str">
        <f>IFERROR(INDEX(RiskTbl[Risk_Category],MATCH(Loans[[#This Row],[RiskScore]],RiskTbl[Score_Min],1)),"Unknown")</f>
        <v>High Risk</v>
      </c>
      <c r="S1052" t="str">
        <f>IF(OR(Loans[[#This Row],[LoanStatus]]="Default",Loans[[#This Row],[LoanStatus]]="Watchlist",Loans[[#This Row],[CollateralRisk]]="Undersecured",Loans[[#This Row],[RiskCategory]]="High Risk"),"High Risk Exposure","Normal")</f>
        <v>High Risk Exposure</v>
      </c>
      <c r="T1052" t="str" cm="1">
        <f t="array" ref="T1052">_xlfn.IFS(
Loans[[#This Row],[LoanStatus]]="Default","Critical",
OR(Loans[[#This Row],[LoanStatus]]="Watchlist",Loans[[#This Row],[CollateralRisk]]="Undersecured",Loans[[#This Row],[RiskCategory]]="High Risk"),"High",
TRUE,"Normal"
)</f>
        <v>High</v>
      </c>
    </row>
    <row r="1053" spans="1:20" x14ac:dyDescent="0.35">
      <c r="A1053" t="s">
        <v>1783</v>
      </c>
      <c r="B1053" t="s">
        <v>1784</v>
      </c>
      <c r="C1053" t="s">
        <v>206</v>
      </c>
      <c r="D1053" t="s">
        <v>158</v>
      </c>
      <c r="E1053" s="34">
        <v>3000000</v>
      </c>
      <c r="F1053" s="29">
        <v>0.1588</v>
      </c>
      <c r="G1053" s="30">
        <v>45577</v>
      </c>
      <c r="H1053">
        <v>60</v>
      </c>
      <c r="I1053">
        <v>0</v>
      </c>
      <c r="J1053" s="34">
        <v>3090000</v>
      </c>
      <c r="K1053" t="s">
        <v>171</v>
      </c>
      <c r="L1053" s="34">
        <f>PMT(Loans[[#This Row],[InterestRate]]/12,Loans[[#This Row],[LoanTenureMonths]],-Loans[[#This Row],[LoanAmount]])</f>
        <v>72763.029794821196</v>
      </c>
      <c r="M1053" s="30">
        <f>EDATE(Loans[[#This Row],[LoanStartDate]],Loans[[#This Row],[LoanTenureMonths]])</f>
        <v>47403</v>
      </c>
      <c r="N1053" s="33">
        <f>IF(Loans[[#This Row],[LoanAmount]]=0,0,Loans[[#This Row],[CollateralValue]]/Loans[[#This Row],[LoanAmount]])</f>
        <v>1.03</v>
      </c>
      <c r="O1053" t="str">
        <f>IF(Loans[[#This Row],[CollateralCoverageRatio]]&lt;1,"Undersecured","Secured")</f>
        <v>Secured</v>
      </c>
      <c r="P1053" t="str">
        <f>_xlfn.XLOOKUP(Loans[[#This Row],[BranchCode]],BranchesTbl[BranchCode],BranchesTbl[BranchName])</f>
        <v>Nyahururu</v>
      </c>
      <c r="Q1053">
        <f>_xlfn.XLOOKUP(Loans[[#This Row],[CustomerID]],CustomerTbl[CustomerID],CustomerTbl[RiskScore])</f>
        <v>457</v>
      </c>
      <c r="R1053" t="str">
        <f>IFERROR(INDEX(RiskTbl[Risk_Category],MATCH(Loans[[#This Row],[RiskScore]],RiskTbl[Score_Min],1)),"Unknown")</f>
        <v>High Risk</v>
      </c>
      <c r="S1053" t="str">
        <f>IF(OR(Loans[[#This Row],[LoanStatus]]="Default",Loans[[#This Row],[LoanStatus]]="Watchlist",Loans[[#This Row],[CollateralRisk]]="Undersecured",Loans[[#This Row],[RiskCategory]]="High Risk"),"High Risk Exposure","Normal")</f>
        <v>High Risk Exposure</v>
      </c>
      <c r="T1053" t="str" cm="1">
        <f t="array" ref="T1053">_xlfn.IFS(
Loans[[#This Row],[LoanStatus]]="Default","Critical",
OR(Loans[[#This Row],[LoanStatus]]="Watchlist",Loans[[#This Row],[CollateralRisk]]="Undersecured",Loans[[#This Row],[RiskCategory]]="High Risk"),"High",
TRUE,"Normal"
)</f>
        <v>High</v>
      </c>
    </row>
    <row r="1054" spans="1:20" x14ac:dyDescent="0.35">
      <c r="A1054" t="s">
        <v>1785</v>
      </c>
      <c r="B1054" t="s">
        <v>1234</v>
      </c>
      <c r="C1054" t="s">
        <v>174</v>
      </c>
      <c r="D1054" t="s">
        <v>156</v>
      </c>
      <c r="E1054" s="34">
        <v>6000000</v>
      </c>
      <c r="F1054" s="29">
        <v>0.2288</v>
      </c>
      <c r="G1054" s="30">
        <v>45262</v>
      </c>
      <c r="H1054">
        <v>72</v>
      </c>
      <c r="I1054">
        <v>0</v>
      </c>
      <c r="J1054" s="34">
        <v>6900000</v>
      </c>
      <c r="K1054" t="s">
        <v>171</v>
      </c>
      <c r="L1054" s="34">
        <f>PMT(Loans[[#This Row],[InterestRate]]/12,Loans[[#This Row],[LoanTenureMonths]],-Loans[[#This Row],[LoanAmount]])</f>
        <v>153906.6811399305</v>
      </c>
      <c r="M1054" s="30">
        <f>EDATE(Loans[[#This Row],[LoanStartDate]],Loans[[#This Row],[LoanTenureMonths]])</f>
        <v>47454</v>
      </c>
      <c r="N1054" s="33">
        <f>IF(Loans[[#This Row],[LoanAmount]]=0,0,Loans[[#This Row],[CollateralValue]]/Loans[[#This Row],[LoanAmount]])</f>
        <v>1.1499999999999999</v>
      </c>
      <c r="O1054" t="str">
        <f>IF(Loans[[#This Row],[CollateralCoverageRatio]]&lt;1,"Undersecured","Secured")</f>
        <v>Secured</v>
      </c>
      <c r="P1054" t="str">
        <f>_xlfn.XLOOKUP(Loans[[#This Row],[BranchCode]],BranchesTbl[BranchCode],BranchesTbl[BranchName])</f>
        <v>Westlands</v>
      </c>
      <c r="Q1054">
        <f>_xlfn.XLOOKUP(Loans[[#This Row],[CustomerID]],CustomerTbl[CustomerID],CustomerTbl[RiskScore])</f>
        <v>500</v>
      </c>
      <c r="R1054" t="str">
        <f>IFERROR(INDEX(RiskTbl[Risk_Category],MATCH(Loans[[#This Row],[RiskScore]],RiskTbl[Score_Min],1)),"Unknown")</f>
        <v>High Risk</v>
      </c>
      <c r="S1054" t="str">
        <f>IF(OR(Loans[[#This Row],[LoanStatus]]="Default",Loans[[#This Row],[LoanStatus]]="Watchlist",Loans[[#This Row],[CollateralRisk]]="Undersecured",Loans[[#This Row],[RiskCategory]]="High Risk"),"High Risk Exposure","Normal")</f>
        <v>High Risk Exposure</v>
      </c>
      <c r="T1054" t="str" cm="1">
        <f t="array" ref="T1054">_xlfn.IFS(
Loans[[#This Row],[LoanStatus]]="Default","Critical",
OR(Loans[[#This Row],[LoanStatus]]="Watchlist",Loans[[#This Row],[CollateralRisk]]="Undersecured",Loans[[#This Row],[RiskCategory]]="High Risk"),"High",
TRUE,"Normal"
)</f>
        <v>High</v>
      </c>
    </row>
    <row r="1055" spans="1:20" x14ac:dyDescent="0.35">
      <c r="A1055" t="s">
        <v>1786</v>
      </c>
      <c r="B1055" t="s">
        <v>1787</v>
      </c>
      <c r="C1055" t="s">
        <v>187</v>
      </c>
      <c r="D1055" t="s">
        <v>157</v>
      </c>
      <c r="E1055" s="34">
        <v>6000000</v>
      </c>
      <c r="F1055" s="29">
        <v>0.1187</v>
      </c>
      <c r="G1055" s="30">
        <v>44977</v>
      </c>
      <c r="H1055">
        <v>60</v>
      </c>
      <c r="I1055">
        <v>0</v>
      </c>
      <c r="J1055" s="34">
        <v>6720000</v>
      </c>
      <c r="K1055" t="s">
        <v>171</v>
      </c>
      <c r="L1055" s="34">
        <f>PMT(Loans[[#This Row],[InterestRate]]/12,Loans[[#This Row],[LoanTenureMonths]],-Loans[[#This Row],[LoanAmount]])</f>
        <v>133072.86129360198</v>
      </c>
      <c r="M1055" s="30">
        <f>EDATE(Loans[[#This Row],[LoanStartDate]],Loans[[#This Row],[LoanTenureMonths]])</f>
        <v>46803</v>
      </c>
      <c r="N1055" s="33">
        <f>IF(Loans[[#This Row],[LoanAmount]]=0,0,Loans[[#This Row],[CollateralValue]]/Loans[[#This Row],[LoanAmount]])</f>
        <v>1.1200000000000001</v>
      </c>
      <c r="O1055" t="str">
        <f>IF(Loans[[#This Row],[CollateralCoverageRatio]]&lt;1,"Undersecured","Secured")</f>
        <v>Secured</v>
      </c>
      <c r="P1055" t="str">
        <f>_xlfn.XLOOKUP(Loans[[#This Row],[BranchCode]],BranchesTbl[BranchCode],BranchesTbl[BranchName])</f>
        <v>Eldoret</v>
      </c>
      <c r="Q1055">
        <f>_xlfn.XLOOKUP(Loans[[#This Row],[CustomerID]],CustomerTbl[CustomerID],CustomerTbl[RiskScore])</f>
        <v>487</v>
      </c>
      <c r="R1055" t="str">
        <f>IFERROR(INDEX(RiskTbl[Risk_Category],MATCH(Loans[[#This Row],[RiskScore]],RiskTbl[Score_Min],1)),"Unknown")</f>
        <v>High Risk</v>
      </c>
      <c r="S1055" t="str">
        <f>IF(OR(Loans[[#This Row],[LoanStatus]]="Default",Loans[[#This Row],[LoanStatus]]="Watchlist",Loans[[#This Row],[CollateralRisk]]="Undersecured",Loans[[#This Row],[RiskCategory]]="High Risk"),"High Risk Exposure","Normal")</f>
        <v>High Risk Exposure</v>
      </c>
      <c r="T1055" t="str" cm="1">
        <f t="array" ref="T1055">_xlfn.IFS(
Loans[[#This Row],[LoanStatus]]="Default","Critical",
OR(Loans[[#This Row],[LoanStatus]]="Watchlist",Loans[[#This Row],[CollateralRisk]]="Undersecured",Loans[[#This Row],[RiskCategory]]="High Risk"),"High",
TRUE,"Normal"
)</f>
        <v>High</v>
      </c>
    </row>
    <row r="1056" spans="1:20" x14ac:dyDescent="0.35">
      <c r="A1056" t="s">
        <v>1788</v>
      </c>
      <c r="B1056" t="s">
        <v>1789</v>
      </c>
      <c r="C1056" t="s">
        <v>270</v>
      </c>
      <c r="D1056" t="s">
        <v>158</v>
      </c>
      <c r="E1056" s="34">
        <v>500000</v>
      </c>
      <c r="F1056" s="29">
        <v>0.1595</v>
      </c>
      <c r="G1056" s="30">
        <v>44908</v>
      </c>
      <c r="H1056">
        <v>48</v>
      </c>
      <c r="I1056">
        <v>0</v>
      </c>
      <c r="J1056" s="34">
        <v>320000</v>
      </c>
      <c r="K1056" t="s">
        <v>171</v>
      </c>
      <c r="L1056" s="34">
        <f>PMT(Loans[[#This Row],[InterestRate]]/12,Loans[[#This Row],[LoanTenureMonths]],-Loans[[#This Row],[LoanAmount]])</f>
        <v>14157.339860014557</v>
      </c>
      <c r="M1056" s="30">
        <f>EDATE(Loans[[#This Row],[LoanStartDate]],Loans[[#This Row],[LoanTenureMonths]])</f>
        <v>46369</v>
      </c>
      <c r="N1056" s="33">
        <f>IF(Loans[[#This Row],[LoanAmount]]=0,0,Loans[[#This Row],[CollateralValue]]/Loans[[#This Row],[LoanAmount]])</f>
        <v>0.64</v>
      </c>
      <c r="O1056" t="str">
        <f>IF(Loans[[#This Row],[CollateralCoverageRatio]]&lt;1,"Undersecured","Secured")</f>
        <v>Undersecured</v>
      </c>
      <c r="P1056" t="str">
        <f>_xlfn.XLOOKUP(Loans[[#This Row],[BranchCode]],BranchesTbl[BranchCode],BranchesTbl[BranchName])</f>
        <v>Nakuru</v>
      </c>
      <c r="Q1056">
        <f>_xlfn.XLOOKUP(Loans[[#This Row],[CustomerID]],CustomerTbl[CustomerID],CustomerTbl[RiskScore])</f>
        <v>348</v>
      </c>
      <c r="R1056" t="str">
        <f>IFERROR(INDEX(RiskTbl[Risk_Category],MATCH(Loans[[#This Row],[RiskScore]],RiskTbl[Score_Min],1)),"Unknown")</f>
        <v>High Risk</v>
      </c>
      <c r="S1056" t="str">
        <f>IF(OR(Loans[[#This Row],[LoanStatus]]="Default",Loans[[#This Row],[LoanStatus]]="Watchlist",Loans[[#This Row],[CollateralRisk]]="Undersecured",Loans[[#This Row],[RiskCategory]]="High Risk"),"High Risk Exposure","Normal")</f>
        <v>High Risk Exposure</v>
      </c>
      <c r="T1056" t="str" cm="1">
        <f t="array" ref="T1056">_xlfn.IFS(
Loans[[#This Row],[LoanStatus]]="Default","Critical",
OR(Loans[[#This Row],[LoanStatus]]="Watchlist",Loans[[#This Row],[CollateralRisk]]="Undersecured",Loans[[#This Row],[RiskCategory]]="High Risk"),"High",
TRUE,"Normal"
)</f>
        <v>High</v>
      </c>
    </row>
    <row r="1057" spans="1:20" x14ac:dyDescent="0.35">
      <c r="A1057" t="s">
        <v>1790</v>
      </c>
      <c r="B1057" t="s">
        <v>198</v>
      </c>
      <c r="C1057" t="s">
        <v>196</v>
      </c>
      <c r="D1057" t="s">
        <v>155</v>
      </c>
      <c r="E1057" s="34">
        <v>100000</v>
      </c>
      <c r="F1057" s="29">
        <v>0.2591</v>
      </c>
      <c r="G1057" s="30">
        <v>45706</v>
      </c>
      <c r="H1057">
        <v>24</v>
      </c>
      <c r="I1057">
        <v>10</v>
      </c>
      <c r="J1057" s="34">
        <v>0</v>
      </c>
      <c r="K1057" t="s">
        <v>171</v>
      </c>
      <c r="L1057" s="34">
        <f>PMT(Loans[[#This Row],[InterestRate]]/12,Loans[[#This Row],[LoanTenureMonths]],-Loans[[#This Row],[LoanAmount]])</f>
        <v>5382.9185543914155</v>
      </c>
      <c r="M1057" s="30">
        <f>EDATE(Loans[[#This Row],[LoanStartDate]],Loans[[#This Row],[LoanTenureMonths]])</f>
        <v>46436</v>
      </c>
      <c r="N1057" s="33">
        <f>IF(Loans[[#This Row],[LoanAmount]]=0,0,Loans[[#This Row],[CollateralValue]]/Loans[[#This Row],[LoanAmount]])</f>
        <v>0</v>
      </c>
      <c r="O1057" t="str">
        <f>IF(Loans[[#This Row],[CollateralCoverageRatio]]&lt;1,"Undersecured","Secured")</f>
        <v>Undersecured</v>
      </c>
      <c r="P1057" t="str">
        <f>_xlfn.XLOOKUP(Loans[[#This Row],[BranchCode]],BranchesTbl[BranchCode],BranchesTbl[BranchName])</f>
        <v>Karen</v>
      </c>
      <c r="Q1057">
        <f>_xlfn.XLOOKUP(Loans[[#This Row],[CustomerID]],CustomerTbl[CustomerID],CustomerTbl[RiskScore])</f>
        <v>635</v>
      </c>
      <c r="R1057" t="str">
        <f>IFERROR(INDEX(RiskTbl[Risk_Category],MATCH(Loans[[#This Row],[RiskScore]],RiskTbl[Score_Min],1)),"Unknown")</f>
        <v>Medium Risk</v>
      </c>
      <c r="S1057" t="str">
        <f>IF(OR(Loans[[#This Row],[LoanStatus]]="Default",Loans[[#This Row],[LoanStatus]]="Watchlist",Loans[[#This Row],[CollateralRisk]]="Undersecured",Loans[[#This Row],[RiskCategory]]="High Risk"),"High Risk Exposure","Normal")</f>
        <v>High Risk Exposure</v>
      </c>
      <c r="T1057" t="str" cm="1">
        <f t="array" ref="T1057">_xlfn.IFS(
Loans[[#This Row],[LoanStatus]]="Default","Critical",
OR(Loans[[#This Row],[LoanStatus]]="Watchlist",Loans[[#This Row],[CollateralRisk]]="Undersecured",Loans[[#This Row],[RiskCategory]]="High Risk"),"High",
TRUE,"Normal"
)</f>
        <v>High</v>
      </c>
    </row>
    <row r="1058" spans="1:20" x14ac:dyDescent="0.35">
      <c r="A1058" t="s">
        <v>1791</v>
      </c>
      <c r="B1058" t="s">
        <v>815</v>
      </c>
      <c r="C1058" t="s">
        <v>184</v>
      </c>
      <c r="D1058" t="s">
        <v>157</v>
      </c>
      <c r="E1058" s="34">
        <v>25000000</v>
      </c>
      <c r="F1058" s="29">
        <v>0.11210000000000001</v>
      </c>
      <c r="G1058" s="30">
        <v>43898</v>
      </c>
      <c r="H1058">
        <v>12</v>
      </c>
      <c r="I1058">
        <v>120</v>
      </c>
      <c r="J1058" s="34">
        <v>29500000</v>
      </c>
      <c r="K1058" t="s">
        <v>178</v>
      </c>
      <c r="L1058" s="34">
        <f>PMT(Loans[[#This Row],[InterestRate]]/12,Loans[[#This Row],[LoanTenureMonths]],-Loans[[#This Row],[LoanAmount]])</f>
        <v>2211991.0800713194</v>
      </c>
      <c r="M1058" s="30">
        <f>EDATE(Loans[[#This Row],[LoanStartDate]],Loans[[#This Row],[LoanTenureMonths]])</f>
        <v>44263</v>
      </c>
      <c r="N1058" s="33">
        <f>IF(Loans[[#This Row],[LoanAmount]]=0,0,Loans[[#This Row],[CollateralValue]]/Loans[[#This Row],[LoanAmount]])</f>
        <v>1.18</v>
      </c>
      <c r="O1058" t="str">
        <f>IF(Loans[[#This Row],[CollateralCoverageRatio]]&lt;1,"Undersecured","Secured")</f>
        <v>Secured</v>
      </c>
      <c r="P1058" t="str">
        <f>_xlfn.XLOOKUP(Loans[[#This Row],[BranchCode]],BranchesTbl[BranchCode],BranchesTbl[BranchName])</f>
        <v>Kisumu</v>
      </c>
      <c r="Q1058">
        <f>_xlfn.XLOOKUP(Loans[[#This Row],[CustomerID]],CustomerTbl[CustomerID],CustomerTbl[RiskScore])</f>
        <v>521</v>
      </c>
      <c r="R1058" t="str">
        <f>IFERROR(INDEX(RiskTbl[Risk_Category],MATCH(Loans[[#This Row],[RiskScore]],RiskTbl[Score_Min],1)),"Unknown")</f>
        <v>High Risk</v>
      </c>
      <c r="S1058" t="str">
        <f>IF(OR(Loans[[#This Row],[LoanStatus]]="Default",Loans[[#This Row],[LoanStatus]]="Watchlist",Loans[[#This Row],[CollateralRisk]]="Undersecured",Loans[[#This Row],[RiskCategory]]="High Risk"),"High Risk Exposure","Normal")</f>
        <v>High Risk Exposure</v>
      </c>
      <c r="T1058" t="str" cm="1">
        <f t="array" ref="T1058">_xlfn.IFS(
Loans[[#This Row],[LoanStatus]]="Default","Critical",
OR(Loans[[#This Row],[LoanStatus]]="Watchlist",Loans[[#This Row],[CollateralRisk]]="Undersecured",Loans[[#This Row],[RiskCategory]]="High Risk"),"High",
TRUE,"Normal"
)</f>
        <v>Critical</v>
      </c>
    </row>
    <row r="1059" spans="1:20" x14ac:dyDescent="0.35">
      <c r="A1059" t="s">
        <v>1792</v>
      </c>
      <c r="B1059" t="s">
        <v>981</v>
      </c>
      <c r="C1059" t="s">
        <v>219</v>
      </c>
      <c r="D1059" t="s">
        <v>158</v>
      </c>
      <c r="E1059" s="34">
        <v>1000000</v>
      </c>
      <c r="F1059" s="29">
        <v>0.16750000000000001</v>
      </c>
      <c r="G1059" s="30">
        <v>44367</v>
      </c>
      <c r="H1059">
        <v>48</v>
      </c>
      <c r="I1059">
        <v>90</v>
      </c>
      <c r="J1059" s="34">
        <v>1230000</v>
      </c>
      <c r="K1059" t="s">
        <v>199</v>
      </c>
      <c r="L1059" s="34">
        <f>PMT(Loans[[#This Row],[InterestRate]]/12,Loans[[#This Row],[LoanTenureMonths]],-Loans[[#This Row],[LoanAmount]])</f>
        <v>28725.863507160379</v>
      </c>
      <c r="M1059" s="30">
        <f>EDATE(Loans[[#This Row],[LoanStartDate]],Loans[[#This Row],[LoanTenureMonths]])</f>
        <v>45828</v>
      </c>
      <c r="N1059" s="33">
        <f>IF(Loans[[#This Row],[LoanAmount]]=0,0,Loans[[#This Row],[CollateralValue]]/Loans[[#This Row],[LoanAmount]])</f>
        <v>1.23</v>
      </c>
      <c r="O1059" t="str">
        <f>IF(Loans[[#This Row],[CollateralCoverageRatio]]&lt;1,"Undersecured","Secured")</f>
        <v>Secured</v>
      </c>
      <c r="P1059" t="str">
        <f>_xlfn.XLOOKUP(Loans[[#This Row],[BranchCode]],BranchesTbl[BranchCode],BranchesTbl[BranchName])</f>
        <v>Meru</v>
      </c>
      <c r="Q1059">
        <f>_xlfn.XLOOKUP(Loans[[#This Row],[CustomerID]],CustomerTbl[CustomerID],CustomerTbl[RiskScore])</f>
        <v>450</v>
      </c>
      <c r="R1059" t="str">
        <f>IFERROR(INDEX(RiskTbl[Risk_Category],MATCH(Loans[[#This Row],[RiskScore]],RiskTbl[Score_Min],1)),"Unknown")</f>
        <v>High Risk</v>
      </c>
      <c r="S1059" t="str">
        <f>IF(OR(Loans[[#This Row],[LoanStatus]]="Default",Loans[[#This Row],[LoanStatus]]="Watchlist",Loans[[#This Row],[CollateralRisk]]="Undersecured",Loans[[#This Row],[RiskCategory]]="High Risk"),"High Risk Exposure","Normal")</f>
        <v>High Risk Exposure</v>
      </c>
      <c r="T1059" t="str" cm="1">
        <f t="array" ref="T1059">_xlfn.IFS(
Loans[[#This Row],[LoanStatus]]="Default","Critical",
OR(Loans[[#This Row],[LoanStatus]]="Watchlist",Loans[[#This Row],[CollateralRisk]]="Undersecured",Loans[[#This Row],[RiskCategory]]="High Risk"),"High",
TRUE,"Normal"
)</f>
        <v>High</v>
      </c>
    </row>
    <row r="1060" spans="1:20" x14ac:dyDescent="0.35">
      <c r="A1060" t="s">
        <v>1793</v>
      </c>
      <c r="B1060" t="s">
        <v>1527</v>
      </c>
      <c r="C1060" t="s">
        <v>187</v>
      </c>
      <c r="D1060" t="s">
        <v>156</v>
      </c>
      <c r="E1060" s="34">
        <v>1000000</v>
      </c>
      <c r="F1060" s="29">
        <v>0.23810000000000001</v>
      </c>
      <c r="G1060" s="30">
        <v>44237</v>
      </c>
      <c r="H1060">
        <v>72</v>
      </c>
      <c r="I1060">
        <v>90</v>
      </c>
      <c r="J1060" s="34">
        <v>1020000</v>
      </c>
      <c r="K1060" t="s">
        <v>199</v>
      </c>
      <c r="L1060" s="34">
        <f>PMT(Loans[[#This Row],[InterestRate]]/12,Loans[[#This Row],[LoanTenureMonths]],-Loans[[#This Row],[LoanAmount]])</f>
        <v>26211.610349341929</v>
      </c>
      <c r="M1060" s="30">
        <f>EDATE(Loans[[#This Row],[LoanStartDate]],Loans[[#This Row],[LoanTenureMonths]])</f>
        <v>46428</v>
      </c>
      <c r="N1060" s="33">
        <f>IF(Loans[[#This Row],[LoanAmount]]=0,0,Loans[[#This Row],[CollateralValue]]/Loans[[#This Row],[LoanAmount]])</f>
        <v>1.02</v>
      </c>
      <c r="O1060" t="str">
        <f>IF(Loans[[#This Row],[CollateralCoverageRatio]]&lt;1,"Undersecured","Secured")</f>
        <v>Secured</v>
      </c>
      <c r="P1060" t="str">
        <f>_xlfn.XLOOKUP(Loans[[#This Row],[BranchCode]],BranchesTbl[BranchCode],BranchesTbl[BranchName])</f>
        <v>Eldoret</v>
      </c>
      <c r="Q1060">
        <f>_xlfn.XLOOKUP(Loans[[#This Row],[CustomerID]],CustomerTbl[CustomerID],CustomerTbl[RiskScore])</f>
        <v>657</v>
      </c>
      <c r="R1060" t="str">
        <f>IFERROR(INDEX(RiskTbl[Risk_Category],MATCH(Loans[[#This Row],[RiskScore]],RiskTbl[Score_Min],1)),"Unknown")</f>
        <v>Medium Risk</v>
      </c>
      <c r="S1060" t="str">
        <f>IF(OR(Loans[[#This Row],[LoanStatus]]="Default",Loans[[#This Row],[LoanStatus]]="Watchlist",Loans[[#This Row],[CollateralRisk]]="Undersecured",Loans[[#This Row],[RiskCategory]]="High Risk"),"High Risk Exposure","Normal")</f>
        <v>High Risk Exposure</v>
      </c>
      <c r="T1060" t="str" cm="1">
        <f t="array" ref="T1060">_xlfn.IFS(
Loans[[#This Row],[LoanStatus]]="Default","Critical",
OR(Loans[[#This Row],[LoanStatus]]="Watchlist",Loans[[#This Row],[CollateralRisk]]="Undersecured",Loans[[#This Row],[RiskCategory]]="High Risk"),"High",
TRUE,"Normal"
)</f>
        <v>High</v>
      </c>
    </row>
    <row r="1061" spans="1:20" x14ac:dyDescent="0.35">
      <c r="A1061" t="s">
        <v>1794</v>
      </c>
      <c r="B1061" t="s">
        <v>415</v>
      </c>
      <c r="C1061" t="s">
        <v>239</v>
      </c>
      <c r="D1061" t="s">
        <v>157</v>
      </c>
      <c r="E1061" s="34">
        <v>6000000</v>
      </c>
      <c r="F1061" s="29">
        <v>9.6600000000000005E-2</v>
      </c>
      <c r="G1061" s="30">
        <v>44016</v>
      </c>
      <c r="H1061">
        <v>24</v>
      </c>
      <c r="I1061">
        <v>0</v>
      </c>
      <c r="J1061" s="34">
        <v>8280000</v>
      </c>
      <c r="K1061" t="s">
        <v>171</v>
      </c>
      <c r="L1061" s="34">
        <f>PMT(Loans[[#This Row],[InterestRate]]/12,Loans[[#This Row],[LoanTenureMonths]],-Loans[[#This Row],[LoanAmount]])</f>
        <v>275928.9445316334</v>
      </c>
      <c r="M1061" s="30">
        <f>EDATE(Loans[[#This Row],[LoanStartDate]],Loans[[#This Row],[LoanTenureMonths]])</f>
        <v>44746</v>
      </c>
      <c r="N1061" s="33">
        <f>IF(Loans[[#This Row],[LoanAmount]]=0,0,Loans[[#This Row],[CollateralValue]]/Loans[[#This Row],[LoanAmount]])</f>
        <v>1.38</v>
      </c>
      <c r="O1061" t="str">
        <f>IF(Loans[[#This Row],[CollateralCoverageRatio]]&lt;1,"Undersecured","Secured")</f>
        <v>Secured</v>
      </c>
      <c r="P1061" t="str">
        <f>_xlfn.XLOOKUP(Loans[[#This Row],[BranchCode]],BranchesTbl[BranchCode],BranchesTbl[BranchName])</f>
        <v>Machakos</v>
      </c>
      <c r="Q1061">
        <f>_xlfn.XLOOKUP(Loans[[#This Row],[CustomerID]],CustomerTbl[CustomerID],CustomerTbl[RiskScore])</f>
        <v>790</v>
      </c>
      <c r="R1061" t="str">
        <f>IFERROR(INDEX(RiskTbl[Risk_Category],MATCH(Loans[[#This Row],[RiskScore]],RiskTbl[Score_Min],1)),"Unknown")</f>
        <v>Very Low Risk</v>
      </c>
      <c r="S1061" t="str">
        <f>IF(OR(Loans[[#This Row],[LoanStatus]]="Default",Loans[[#This Row],[LoanStatus]]="Watchlist",Loans[[#This Row],[CollateralRisk]]="Undersecured",Loans[[#This Row],[RiskCategory]]="High Risk"),"High Risk Exposure","Normal")</f>
        <v>Normal</v>
      </c>
      <c r="T1061" t="str" cm="1">
        <f t="array" ref="T1061">_xlfn.IFS(
Loans[[#This Row],[LoanStatus]]="Default","Critical",
OR(Loans[[#This Row],[LoanStatus]]="Watchlist",Loans[[#This Row],[CollateralRisk]]="Undersecured",Loans[[#This Row],[RiskCategory]]="High Risk"),"High",
TRUE,"Normal"
)</f>
        <v>Normal</v>
      </c>
    </row>
    <row r="1062" spans="1:20" x14ac:dyDescent="0.35">
      <c r="A1062" t="s">
        <v>1795</v>
      </c>
      <c r="B1062" t="s">
        <v>221</v>
      </c>
      <c r="C1062" t="s">
        <v>267</v>
      </c>
      <c r="D1062" t="s">
        <v>155</v>
      </c>
      <c r="E1062" s="34">
        <v>500000</v>
      </c>
      <c r="F1062" s="29">
        <v>0.1694</v>
      </c>
      <c r="G1062" s="30">
        <v>44628</v>
      </c>
      <c r="H1062">
        <v>36</v>
      </c>
      <c r="I1062">
        <v>120</v>
      </c>
      <c r="J1062" s="34">
        <v>0</v>
      </c>
      <c r="K1062" t="s">
        <v>178</v>
      </c>
      <c r="L1062" s="34">
        <f>PMT(Loans[[#This Row],[InterestRate]]/12,Loans[[#This Row],[LoanTenureMonths]],-Loans[[#This Row],[LoanAmount]])</f>
        <v>17811.436818681595</v>
      </c>
      <c r="M1062" s="30">
        <f>EDATE(Loans[[#This Row],[LoanStartDate]],Loans[[#This Row],[LoanTenureMonths]])</f>
        <v>45724</v>
      </c>
      <c r="N1062" s="33">
        <f>IF(Loans[[#This Row],[LoanAmount]]=0,0,Loans[[#This Row],[CollateralValue]]/Loans[[#This Row],[LoanAmount]])</f>
        <v>0</v>
      </c>
      <c r="O1062" t="str">
        <f>IF(Loans[[#This Row],[CollateralCoverageRatio]]&lt;1,"Undersecured","Secured")</f>
        <v>Undersecured</v>
      </c>
      <c r="P1062" t="str">
        <f>_xlfn.XLOOKUP(Loans[[#This Row],[BranchCode]],BranchesTbl[BranchCode],BranchesTbl[BranchName])</f>
        <v>Malindi</v>
      </c>
      <c r="Q1062">
        <f>_xlfn.XLOOKUP(Loans[[#This Row],[CustomerID]],CustomerTbl[CustomerID],CustomerTbl[RiskScore])</f>
        <v>732</v>
      </c>
      <c r="R1062" t="str">
        <f>IFERROR(INDEX(RiskTbl[Risk_Category],MATCH(Loans[[#This Row],[RiskScore]],RiskTbl[Score_Min],1)),"Unknown")</f>
        <v>Low Risk</v>
      </c>
      <c r="S1062" t="str">
        <f>IF(OR(Loans[[#This Row],[LoanStatus]]="Default",Loans[[#This Row],[LoanStatus]]="Watchlist",Loans[[#This Row],[CollateralRisk]]="Undersecured",Loans[[#This Row],[RiskCategory]]="High Risk"),"High Risk Exposure","Normal")</f>
        <v>High Risk Exposure</v>
      </c>
      <c r="T1062" t="str" cm="1">
        <f t="array" ref="T1062">_xlfn.IFS(
Loans[[#This Row],[LoanStatus]]="Default","Critical",
OR(Loans[[#This Row],[LoanStatus]]="Watchlist",Loans[[#This Row],[CollateralRisk]]="Undersecured",Loans[[#This Row],[RiskCategory]]="High Risk"),"High",
TRUE,"Normal"
)</f>
        <v>Critical</v>
      </c>
    </row>
    <row r="1063" spans="1:20" x14ac:dyDescent="0.35">
      <c r="A1063" t="s">
        <v>1796</v>
      </c>
      <c r="B1063" t="s">
        <v>339</v>
      </c>
      <c r="C1063" t="s">
        <v>174</v>
      </c>
      <c r="D1063" t="s">
        <v>156</v>
      </c>
      <c r="E1063" s="34">
        <v>3000000</v>
      </c>
      <c r="F1063" s="29">
        <v>0.1774</v>
      </c>
      <c r="G1063" s="30">
        <v>44745</v>
      </c>
      <c r="H1063">
        <v>36</v>
      </c>
      <c r="I1063">
        <v>5</v>
      </c>
      <c r="J1063" s="34">
        <v>2610000</v>
      </c>
      <c r="K1063" t="s">
        <v>171</v>
      </c>
      <c r="L1063" s="34">
        <f>PMT(Loans[[#This Row],[InterestRate]]/12,Loans[[#This Row],[LoanTenureMonths]],-Loans[[#This Row],[LoanAmount]])</f>
        <v>108066.3016240569</v>
      </c>
      <c r="M1063" s="30">
        <f>EDATE(Loans[[#This Row],[LoanStartDate]],Loans[[#This Row],[LoanTenureMonths]])</f>
        <v>45841</v>
      </c>
      <c r="N1063" s="33">
        <f>IF(Loans[[#This Row],[LoanAmount]]=0,0,Loans[[#This Row],[CollateralValue]]/Loans[[#This Row],[LoanAmount]])</f>
        <v>0.87</v>
      </c>
      <c r="O1063" t="str">
        <f>IF(Loans[[#This Row],[CollateralCoverageRatio]]&lt;1,"Undersecured","Secured")</f>
        <v>Undersecured</v>
      </c>
      <c r="P1063" t="str">
        <f>_xlfn.XLOOKUP(Loans[[#This Row],[BranchCode]],BranchesTbl[BranchCode],BranchesTbl[BranchName])</f>
        <v>Westlands</v>
      </c>
      <c r="Q1063">
        <f>_xlfn.XLOOKUP(Loans[[#This Row],[CustomerID]],CustomerTbl[CustomerID],CustomerTbl[RiskScore])</f>
        <v>385</v>
      </c>
      <c r="R1063" t="str">
        <f>IFERROR(INDEX(RiskTbl[Risk_Category],MATCH(Loans[[#This Row],[RiskScore]],RiskTbl[Score_Min],1)),"Unknown")</f>
        <v>High Risk</v>
      </c>
      <c r="S1063" t="str">
        <f>IF(OR(Loans[[#This Row],[LoanStatus]]="Default",Loans[[#This Row],[LoanStatus]]="Watchlist",Loans[[#This Row],[CollateralRisk]]="Undersecured",Loans[[#This Row],[RiskCategory]]="High Risk"),"High Risk Exposure","Normal")</f>
        <v>High Risk Exposure</v>
      </c>
      <c r="T1063" t="str" cm="1">
        <f t="array" ref="T1063">_xlfn.IFS(
Loans[[#This Row],[LoanStatus]]="Default","Critical",
OR(Loans[[#This Row],[LoanStatus]]="Watchlist",Loans[[#This Row],[CollateralRisk]]="Undersecured",Loans[[#This Row],[RiskCategory]]="High Risk"),"High",
TRUE,"Normal"
)</f>
        <v>High</v>
      </c>
    </row>
    <row r="1064" spans="1:20" x14ac:dyDescent="0.35">
      <c r="A1064" t="s">
        <v>1797</v>
      </c>
      <c r="B1064" t="s">
        <v>997</v>
      </c>
      <c r="C1064" t="s">
        <v>196</v>
      </c>
      <c r="D1064" t="s">
        <v>155</v>
      </c>
      <c r="E1064" s="34">
        <v>100000</v>
      </c>
      <c r="F1064" s="29">
        <v>0.23350000000000001</v>
      </c>
      <c r="G1064" s="30">
        <v>43926</v>
      </c>
      <c r="H1064">
        <v>60</v>
      </c>
      <c r="I1064">
        <v>120</v>
      </c>
      <c r="J1064" s="34">
        <v>0</v>
      </c>
      <c r="K1064" t="s">
        <v>178</v>
      </c>
      <c r="L1064" s="34">
        <f>PMT(Loans[[#This Row],[InterestRate]]/12,Loans[[#This Row],[LoanTenureMonths]],-Loans[[#This Row],[LoanAmount]])</f>
        <v>2839.1922758243195</v>
      </c>
      <c r="M1064" s="30">
        <f>EDATE(Loans[[#This Row],[LoanStartDate]],Loans[[#This Row],[LoanTenureMonths]])</f>
        <v>45752</v>
      </c>
      <c r="N1064" s="33">
        <f>IF(Loans[[#This Row],[LoanAmount]]=0,0,Loans[[#This Row],[CollateralValue]]/Loans[[#This Row],[LoanAmount]])</f>
        <v>0</v>
      </c>
      <c r="O1064" t="str">
        <f>IF(Loans[[#This Row],[CollateralCoverageRatio]]&lt;1,"Undersecured","Secured")</f>
        <v>Undersecured</v>
      </c>
      <c r="P1064" t="str">
        <f>_xlfn.XLOOKUP(Loans[[#This Row],[BranchCode]],BranchesTbl[BranchCode],BranchesTbl[BranchName])</f>
        <v>Karen</v>
      </c>
      <c r="Q1064">
        <f>_xlfn.XLOOKUP(Loans[[#This Row],[CustomerID]],CustomerTbl[CustomerID],CustomerTbl[RiskScore])</f>
        <v>473</v>
      </c>
      <c r="R1064" t="str">
        <f>IFERROR(INDEX(RiskTbl[Risk_Category],MATCH(Loans[[#This Row],[RiskScore]],RiskTbl[Score_Min],1)),"Unknown")</f>
        <v>High Risk</v>
      </c>
      <c r="S1064" t="str">
        <f>IF(OR(Loans[[#This Row],[LoanStatus]]="Default",Loans[[#This Row],[LoanStatus]]="Watchlist",Loans[[#This Row],[CollateralRisk]]="Undersecured",Loans[[#This Row],[RiskCategory]]="High Risk"),"High Risk Exposure","Normal")</f>
        <v>High Risk Exposure</v>
      </c>
      <c r="T1064" t="str" cm="1">
        <f t="array" ref="T1064">_xlfn.IFS(
Loans[[#This Row],[LoanStatus]]="Default","Critical",
OR(Loans[[#This Row],[LoanStatus]]="Watchlist",Loans[[#This Row],[CollateralRisk]]="Undersecured",Loans[[#This Row],[RiskCategory]]="High Risk"),"High",
TRUE,"Normal"
)</f>
        <v>Critical</v>
      </c>
    </row>
    <row r="1065" spans="1:20" x14ac:dyDescent="0.35">
      <c r="A1065" t="s">
        <v>1798</v>
      </c>
      <c r="B1065" t="s">
        <v>777</v>
      </c>
      <c r="C1065" t="s">
        <v>187</v>
      </c>
      <c r="D1065" t="s">
        <v>156</v>
      </c>
      <c r="E1065" s="34">
        <v>6000000</v>
      </c>
      <c r="F1065" s="29">
        <v>0.1643</v>
      </c>
      <c r="G1065" s="30">
        <v>44580</v>
      </c>
      <c r="H1065">
        <v>24</v>
      </c>
      <c r="I1065">
        <v>45</v>
      </c>
      <c r="J1065" s="34">
        <v>6420000</v>
      </c>
      <c r="K1065" t="s">
        <v>199</v>
      </c>
      <c r="L1065" s="34">
        <f>PMT(Loans[[#This Row],[InterestRate]]/12,Loans[[#This Row],[LoanTenureMonths]],-Loans[[#This Row],[LoanAmount]])</f>
        <v>295012.90289826744</v>
      </c>
      <c r="M1065" s="30">
        <f>EDATE(Loans[[#This Row],[LoanStartDate]],Loans[[#This Row],[LoanTenureMonths]])</f>
        <v>45310</v>
      </c>
      <c r="N1065" s="33">
        <f>IF(Loans[[#This Row],[LoanAmount]]=0,0,Loans[[#This Row],[CollateralValue]]/Loans[[#This Row],[LoanAmount]])</f>
        <v>1.07</v>
      </c>
      <c r="O1065" t="str">
        <f>IF(Loans[[#This Row],[CollateralCoverageRatio]]&lt;1,"Undersecured","Secured")</f>
        <v>Secured</v>
      </c>
      <c r="P1065" t="str">
        <f>_xlfn.XLOOKUP(Loans[[#This Row],[BranchCode]],BranchesTbl[BranchCode],BranchesTbl[BranchName])</f>
        <v>Eldoret</v>
      </c>
      <c r="Q1065">
        <f>_xlfn.XLOOKUP(Loans[[#This Row],[CustomerID]],CustomerTbl[CustomerID],CustomerTbl[RiskScore])</f>
        <v>555</v>
      </c>
      <c r="R1065" t="str">
        <f>IFERROR(INDEX(RiskTbl[Risk_Category],MATCH(Loans[[#This Row],[RiskScore]],RiskTbl[Score_Min],1)),"Unknown")</f>
        <v>High Risk</v>
      </c>
      <c r="S1065" t="str">
        <f>IF(OR(Loans[[#This Row],[LoanStatus]]="Default",Loans[[#This Row],[LoanStatus]]="Watchlist",Loans[[#This Row],[CollateralRisk]]="Undersecured",Loans[[#This Row],[RiskCategory]]="High Risk"),"High Risk Exposure","Normal")</f>
        <v>High Risk Exposure</v>
      </c>
      <c r="T1065" t="str" cm="1">
        <f t="array" ref="T1065">_xlfn.IFS(
Loans[[#This Row],[LoanStatus]]="Default","Critical",
OR(Loans[[#This Row],[LoanStatus]]="Watchlist",Loans[[#This Row],[CollateralRisk]]="Undersecured",Loans[[#This Row],[RiskCategory]]="High Risk"),"High",
TRUE,"Normal"
)</f>
        <v>High</v>
      </c>
    </row>
    <row r="1066" spans="1:20" x14ac:dyDescent="0.35">
      <c r="A1066" t="s">
        <v>1799</v>
      </c>
      <c r="B1066" t="s">
        <v>1164</v>
      </c>
      <c r="C1066" t="s">
        <v>239</v>
      </c>
      <c r="D1066" t="s">
        <v>156</v>
      </c>
      <c r="E1066" s="34">
        <v>25000000</v>
      </c>
      <c r="F1066" s="29">
        <v>0.2072</v>
      </c>
      <c r="G1066" s="30">
        <v>45033</v>
      </c>
      <c r="H1066">
        <v>24</v>
      </c>
      <c r="I1066">
        <v>120</v>
      </c>
      <c r="J1066" s="34">
        <v>12500000</v>
      </c>
      <c r="K1066" t="s">
        <v>178</v>
      </c>
      <c r="L1066" s="34">
        <f>PMT(Loans[[#This Row],[InterestRate]]/12,Loans[[#This Row],[LoanTenureMonths]],-Loans[[#This Row],[LoanAmount]])</f>
        <v>1281205.6360764508</v>
      </c>
      <c r="M1066" s="30">
        <f>EDATE(Loans[[#This Row],[LoanStartDate]],Loans[[#This Row],[LoanTenureMonths]])</f>
        <v>45764</v>
      </c>
      <c r="N1066" s="33">
        <f>IF(Loans[[#This Row],[LoanAmount]]=0,0,Loans[[#This Row],[CollateralValue]]/Loans[[#This Row],[LoanAmount]])</f>
        <v>0.5</v>
      </c>
      <c r="O1066" t="str">
        <f>IF(Loans[[#This Row],[CollateralCoverageRatio]]&lt;1,"Undersecured","Secured")</f>
        <v>Undersecured</v>
      </c>
      <c r="P1066" t="str">
        <f>_xlfn.XLOOKUP(Loans[[#This Row],[BranchCode]],BranchesTbl[BranchCode],BranchesTbl[BranchName])</f>
        <v>Machakos</v>
      </c>
      <c r="Q1066">
        <f>_xlfn.XLOOKUP(Loans[[#This Row],[CustomerID]],CustomerTbl[CustomerID],CustomerTbl[RiskScore])</f>
        <v>332</v>
      </c>
      <c r="R1066" t="str">
        <f>IFERROR(INDEX(RiskTbl[Risk_Category],MATCH(Loans[[#This Row],[RiskScore]],RiskTbl[Score_Min],1)),"Unknown")</f>
        <v>High Risk</v>
      </c>
      <c r="S1066" t="str">
        <f>IF(OR(Loans[[#This Row],[LoanStatus]]="Default",Loans[[#This Row],[LoanStatus]]="Watchlist",Loans[[#This Row],[CollateralRisk]]="Undersecured",Loans[[#This Row],[RiskCategory]]="High Risk"),"High Risk Exposure","Normal")</f>
        <v>High Risk Exposure</v>
      </c>
      <c r="T1066" t="str" cm="1">
        <f t="array" ref="T1066">_xlfn.IFS(
Loans[[#This Row],[LoanStatus]]="Default","Critical",
OR(Loans[[#This Row],[LoanStatus]]="Watchlist",Loans[[#This Row],[CollateralRisk]]="Undersecured",Loans[[#This Row],[RiskCategory]]="High Risk"),"High",
TRUE,"Normal"
)</f>
        <v>Critical</v>
      </c>
    </row>
    <row r="1067" spans="1:20" x14ac:dyDescent="0.35">
      <c r="A1067" t="s">
        <v>1800</v>
      </c>
      <c r="B1067" t="s">
        <v>614</v>
      </c>
      <c r="C1067" t="s">
        <v>174</v>
      </c>
      <c r="D1067" t="s">
        <v>155</v>
      </c>
      <c r="E1067" s="34">
        <v>100000</v>
      </c>
      <c r="F1067" s="29">
        <v>0.22470000000000001</v>
      </c>
      <c r="G1067" s="30">
        <v>45409</v>
      </c>
      <c r="H1067">
        <v>60</v>
      </c>
      <c r="I1067">
        <v>45</v>
      </c>
      <c r="J1067" s="34">
        <v>0</v>
      </c>
      <c r="K1067" t="s">
        <v>199</v>
      </c>
      <c r="L1067" s="34">
        <f>PMT(Loans[[#This Row],[InterestRate]]/12,Loans[[#This Row],[LoanTenureMonths]],-Loans[[#This Row],[LoanAmount]])</f>
        <v>2788.6800941320339</v>
      </c>
      <c r="M1067" s="30">
        <f>EDATE(Loans[[#This Row],[LoanStartDate]],Loans[[#This Row],[LoanTenureMonths]])</f>
        <v>47235</v>
      </c>
      <c r="N1067" s="33">
        <f>IF(Loans[[#This Row],[LoanAmount]]=0,0,Loans[[#This Row],[CollateralValue]]/Loans[[#This Row],[LoanAmount]])</f>
        <v>0</v>
      </c>
      <c r="O1067" t="str">
        <f>IF(Loans[[#This Row],[CollateralCoverageRatio]]&lt;1,"Undersecured","Secured")</f>
        <v>Undersecured</v>
      </c>
      <c r="P1067" t="str">
        <f>_xlfn.XLOOKUP(Loans[[#This Row],[BranchCode]],BranchesTbl[BranchCode],BranchesTbl[BranchName])</f>
        <v>Westlands</v>
      </c>
      <c r="Q1067">
        <f>_xlfn.XLOOKUP(Loans[[#This Row],[CustomerID]],CustomerTbl[CustomerID],CustomerTbl[RiskScore])</f>
        <v>834</v>
      </c>
      <c r="R1067" t="str">
        <f>IFERROR(INDEX(RiskTbl[Risk_Category],MATCH(Loans[[#This Row],[RiskScore]],RiskTbl[Score_Min],1)),"Unknown")</f>
        <v>Prime</v>
      </c>
      <c r="S1067" t="str">
        <f>IF(OR(Loans[[#This Row],[LoanStatus]]="Default",Loans[[#This Row],[LoanStatus]]="Watchlist",Loans[[#This Row],[CollateralRisk]]="Undersecured",Loans[[#This Row],[RiskCategory]]="High Risk"),"High Risk Exposure","Normal")</f>
        <v>High Risk Exposure</v>
      </c>
      <c r="T1067" t="str" cm="1">
        <f t="array" ref="T1067">_xlfn.IFS(
Loans[[#This Row],[LoanStatus]]="Default","Critical",
OR(Loans[[#This Row],[LoanStatus]]="Watchlist",Loans[[#This Row],[CollateralRisk]]="Undersecured",Loans[[#This Row],[RiskCategory]]="High Risk"),"High",
TRUE,"Normal"
)</f>
        <v>High</v>
      </c>
    </row>
    <row r="1068" spans="1:20" x14ac:dyDescent="0.35">
      <c r="A1068" t="s">
        <v>1801</v>
      </c>
      <c r="B1068" t="s">
        <v>1292</v>
      </c>
      <c r="C1068" t="s">
        <v>174</v>
      </c>
      <c r="D1068" t="s">
        <v>158</v>
      </c>
      <c r="E1068" s="34">
        <v>6000000</v>
      </c>
      <c r="F1068" s="29">
        <v>0.19</v>
      </c>
      <c r="G1068" s="30">
        <v>44067</v>
      </c>
      <c r="H1068">
        <v>72</v>
      </c>
      <c r="I1068">
        <v>0</v>
      </c>
      <c r="J1068" s="34">
        <v>7320000</v>
      </c>
      <c r="K1068" t="s">
        <v>171</v>
      </c>
      <c r="L1068" s="34">
        <f>PMT(Loans[[#This Row],[InterestRate]]/12,Loans[[#This Row],[LoanTenureMonths]],-Loans[[#This Row],[LoanAmount]])</f>
        <v>140260.33786654528</v>
      </c>
      <c r="M1068" s="30">
        <f>EDATE(Loans[[#This Row],[LoanStartDate]],Loans[[#This Row],[LoanTenureMonths]])</f>
        <v>46258</v>
      </c>
      <c r="N1068" s="33">
        <f>IF(Loans[[#This Row],[LoanAmount]]=0,0,Loans[[#This Row],[CollateralValue]]/Loans[[#This Row],[LoanAmount]])</f>
        <v>1.22</v>
      </c>
      <c r="O1068" t="str">
        <f>IF(Loans[[#This Row],[CollateralCoverageRatio]]&lt;1,"Undersecured","Secured")</f>
        <v>Secured</v>
      </c>
      <c r="P1068" t="str">
        <f>_xlfn.XLOOKUP(Loans[[#This Row],[BranchCode]],BranchesTbl[BranchCode],BranchesTbl[BranchName])</f>
        <v>Westlands</v>
      </c>
      <c r="Q1068">
        <f>_xlfn.XLOOKUP(Loans[[#This Row],[CustomerID]],CustomerTbl[CustomerID],CustomerTbl[RiskScore])</f>
        <v>813</v>
      </c>
      <c r="R1068" t="str">
        <f>IFERROR(INDEX(RiskTbl[Risk_Category],MATCH(Loans[[#This Row],[RiskScore]],RiskTbl[Score_Min],1)),"Unknown")</f>
        <v>Prime</v>
      </c>
      <c r="S1068" t="str">
        <f>IF(OR(Loans[[#This Row],[LoanStatus]]="Default",Loans[[#This Row],[LoanStatus]]="Watchlist",Loans[[#This Row],[CollateralRisk]]="Undersecured",Loans[[#This Row],[RiskCategory]]="High Risk"),"High Risk Exposure","Normal")</f>
        <v>Normal</v>
      </c>
      <c r="T1068" t="str" cm="1">
        <f t="array" ref="T1068">_xlfn.IFS(
Loans[[#This Row],[LoanStatus]]="Default","Critical",
OR(Loans[[#This Row],[LoanStatus]]="Watchlist",Loans[[#This Row],[CollateralRisk]]="Undersecured",Loans[[#This Row],[RiskCategory]]="High Risk"),"High",
TRUE,"Normal"
)</f>
        <v>Normal</v>
      </c>
    </row>
    <row r="1069" spans="1:20" x14ac:dyDescent="0.35">
      <c r="A1069" t="s">
        <v>1802</v>
      </c>
      <c r="B1069" t="s">
        <v>910</v>
      </c>
      <c r="C1069" t="s">
        <v>219</v>
      </c>
      <c r="D1069" t="s">
        <v>155</v>
      </c>
      <c r="E1069" s="34">
        <v>100000</v>
      </c>
      <c r="F1069" s="29">
        <v>0.25190000000000001</v>
      </c>
      <c r="G1069" s="30">
        <v>45162</v>
      </c>
      <c r="H1069">
        <v>12</v>
      </c>
      <c r="I1069">
        <v>120</v>
      </c>
      <c r="J1069" s="34">
        <v>0</v>
      </c>
      <c r="K1069" t="s">
        <v>178</v>
      </c>
      <c r="L1069" s="34">
        <f>PMT(Loans[[#This Row],[InterestRate]]/12,Loans[[#This Row],[LoanTenureMonths]],-Loans[[#This Row],[LoanAmount]])</f>
        <v>9513.6428849035165</v>
      </c>
      <c r="M1069" s="30">
        <f>EDATE(Loans[[#This Row],[LoanStartDate]],Loans[[#This Row],[LoanTenureMonths]])</f>
        <v>45528</v>
      </c>
      <c r="N1069" s="33">
        <f>IF(Loans[[#This Row],[LoanAmount]]=0,0,Loans[[#This Row],[CollateralValue]]/Loans[[#This Row],[LoanAmount]])</f>
        <v>0</v>
      </c>
      <c r="O1069" t="str">
        <f>IF(Loans[[#This Row],[CollateralCoverageRatio]]&lt;1,"Undersecured","Secured")</f>
        <v>Undersecured</v>
      </c>
      <c r="P1069" t="str">
        <f>_xlfn.XLOOKUP(Loans[[#This Row],[BranchCode]],BranchesTbl[BranchCode],BranchesTbl[BranchName])</f>
        <v>Meru</v>
      </c>
      <c r="Q1069">
        <f>_xlfn.XLOOKUP(Loans[[#This Row],[CustomerID]],CustomerTbl[CustomerID],CustomerTbl[RiskScore])</f>
        <v>518</v>
      </c>
      <c r="R1069" t="str">
        <f>IFERROR(INDEX(RiskTbl[Risk_Category],MATCH(Loans[[#This Row],[RiskScore]],RiskTbl[Score_Min],1)),"Unknown")</f>
        <v>High Risk</v>
      </c>
      <c r="S1069" t="str">
        <f>IF(OR(Loans[[#This Row],[LoanStatus]]="Default",Loans[[#This Row],[LoanStatus]]="Watchlist",Loans[[#This Row],[CollateralRisk]]="Undersecured",Loans[[#This Row],[RiskCategory]]="High Risk"),"High Risk Exposure","Normal")</f>
        <v>High Risk Exposure</v>
      </c>
      <c r="T1069" t="str" cm="1">
        <f t="array" ref="T1069">_xlfn.IFS(
Loans[[#This Row],[LoanStatus]]="Default","Critical",
OR(Loans[[#This Row],[LoanStatus]]="Watchlist",Loans[[#This Row],[CollateralRisk]]="Undersecured",Loans[[#This Row],[RiskCategory]]="High Risk"),"High",
TRUE,"Normal"
)</f>
        <v>Critical</v>
      </c>
    </row>
    <row r="1070" spans="1:20" x14ac:dyDescent="0.35">
      <c r="A1070" t="s">
        <v>1803</v>
      </c>
      <c r="B1070" t="s">
        <v>718</v>
      </c>
      <c r="C1070" t="s">
        <v>193</v>
      </c>
      <c r="D1070" t="s">
        <v>155</v>
      </c>
      <c r="E1070" s="34">
        <v>500000</v>
      </c>
      <c r="F1070" s="29">
        <v>0.1638</v>
      </c>
      <c r="G1070" s="30">
        <v>44699</v>
      </c>
      <c r="H1070">
        <v>36</v>
      </c>
      <c r="I1070">
        <v>20</v>
      </c>
      <c r="J1070" s="34">
        <v>0</v>
      </c>
      <c r="K1070" t="s">
        <v>171</v>
      </c>
      <c r="L1070" s="34">
        <f>PMT(Loans[[#This Row],[InterestRate]]/12,Loans[[#This Row],[LoanTenureMonths]],-Loans[[#This Row],[LoanAmount]])</f>
        <v>17672.463901564333</v>
      </c>
      <c r="M1070" s="30">
        <f>EDATE(Loans[[#This Row],[LoanStartDate]],Loans[[#This Row],[LoanTenureMonths]])</f>
        <v>45795</v>
      </c>
      <c r="N1070" s="33">
        <f>IF(Loans[[#This Row],[LoanAmount]]=0,0,Loans[[#This Row],[CollateralValue]]/Loans[[#This Row],[LoanAmount]])</f>
        <v>0</v>
      </c>
      <c r="O1070" t="str">
        <f>IF(Loans[[#This Row],[CollateralCoverageRatio]]&lt;1,"Undersecured","Secured")</f>
        <v>Undersecured</v>
      </c>
      <c r="P1070" t="str">
        <f>_xlfn.XLOOKUP(Loans[[#This Row],[BranchCode]],BranchesTbl[BranchCode],BranchesTbl[BranchName])</f>
        <v>Mombasa</v>
      </c>
      <c r="Q1070">
        <f>_xlfn.XLOOKUP(Loans[[#This Row],[CustomerID]],CustomerTbl[CustomerID],CustomerTbl[RiskScore])</f>
        <v>751</v>
      </c>
      <c r="R1070" t="str">
        <f>IFERROR(INDEX(RiskTbl[Risk_Category],MATCH(Loans[[#This Row],[RiskScore]],RiskTbl[Score_Min],1)),"Unknown")</f>
        <v>Very Low Risk</v>
      </c>
      <c r="S1070" t="str">
        <f>IF(OR(Loans[[#This Row],[LoanStatus]]="Default",Loans[[#This Row],[LoanStatus]]="Watchlist",Loans[[#This Row],[CollateralRisk]]="Undersecured",Loans[[#This Row],[RiskCategory]]="High Risk"),"High Risk Exposure","Normal")</f>
        <v>High Risk Exposure</v>
      </c>
      <c r="T1070" t="str" cm="1">
        <f t="array" ref="T1070">_xlfn.IFS(
Loans[[#This Row],[LoanStatus]]="Default","Critical",
OR(Loans[[#This Row],[LoanStatus]]="Watchlist",Loans[[#This Row],[CollateralRisk]]="Undersecured",Loans[[#This Row],[RiskCategory]]="High Risk"),"High",
TRUE,"Normal"
)</f>
        <v>High</v>
      </c>
    </row>
    <row r="1071" spans="1:20" x14ac:dyDescent="0.35">
      <c r="A1071" t="s">
        <v>1804</v>
      </c>
      <c r="B1071" t="s">
        <v>1354</v>
      </c>
      <c r="C1071" t="s">
        <v>196</v>
      </c>
      <c r="D1071" t="s">
        <v>158</v>
      </c>
      <c r="E1071" s="34">
        <v>500000</v>
      </c>
      <c r="F1071" s="29">
        <v>0.1464</v>
      </c>
      <c r="G1071" s="30">
        <v>45265</v>
      </c>
      <c r="H1071">
        <v>36</v>
      </c>
      <c r="I1071">
        <v>10</v>
      </c>
      <c r="J1071" s="34">
        <v>660000</v>
      </c>
      <c r="K1071" t="s">
        <v>171</v>
      </c>
      <c r="L1071" s="34">
        <f>PMT(Loans[[#This Row],[InterestRate]]/12,Loans[[#This Row],[LoanTenureMonths]],-Loans[[#This Row],[LoanAmount]])</f>
        <v>17244.647340754236</v>
      </c>
      <c r="M1071" s="30">
        <f>EDATE(Loans[[#This Row],[LoanStartDate]],Loans[[#This Row],[LoanTenureMonths]])</f>
        <v>46361</v>
      </c>
      <c r="N1071" s="33">
        <f>IF(Loans[[#This Row],[LoanAmount]]=0,0,Loans[[#This Row],[CollateralValue]]/Loans[[#This Row],[LoanAmount]])</f>
        <v>1.32</v>
      </c>
      <c r="O1071" t="str">
        <f>IF(Loans[[#This Row],[CollateralCoverageRatio]]&lt;1,"Undersecured","Secured")</f>
        <v>Secured</v>
      </c>
      <c r="P1071" t="str">
        <f>_xlfn.XLOOKUP(Loans[[#This Row],[BranchCode]],BranchesTbl[BranchCode],BranchesTbl[BranchName])</f>
        <v>Karen</v>
      </c>
      <c r="Q1071">
        <f>_xlfn.XLOOKUP(Loans[[#This Row],[CustomerID]],CustomerTbl[CustomerID],CustomerTbl[RiskScore])</f>
        <v>708</v>
      </c>
      <c r="R1071" t="str">
        <f>IFERROR(INDEX(RiskTbl[Risk_Category],MATCH(Loans[[#This Row],[RiskScore]],RiskTbl[Score_Min],1)),"Unknown")</f>
        <v>Low Risk</v>
      </c>
      <c r="S1071" t="str">
        <f>IF(OR(Loans[[#This Row],[LoanStatus]]="Default",Loans[[#This Row],[LoanStatus]]="Watchlist",Loans[[#This Row],[CollateralRisk]]="Undersecured",Loans[[#This Row],[RiskCategory]]="High Risk"),"High Risk Exposure","Normal")</f>
        <v>Normal</v>
      </c>
      <c r="T1071" t="str" cm="1">
        <f t="array" ref="T1071">_xlfn.IFS(
Loans[[#This Row],[LoanStatus]]="Default","Critical",
OR(Loans[[#This Row],[LoanStatus]]="Watchlist",Loans[[#This Row],[CollateralRisk]]="Undersecured",Loans[[#This Row],[RiskCategory]]="High Risk"),"High",
TRUE,"Normal"
)</f>
        <v>Normal</v>
      </c>
    </row>
    <row r="1072" spans="1:20" x14ac:dyDescent="0.35">
      <c r="A1072" t="s">
        <v>1805</v>
      </c>
      <c r="B1072" t="s">
        <v>1806</v>
      </c>
      <c r="C1072" t="s">
        <v>174</v>
      </c>
      <c r="D1072" t="s">
        <v>158</v>
      </c>
      <c r="E1072" s="34">
        <v>500000</v>
      </c>
      <c r="F1072" s="29">
        <v>0.161</v>
      </c>
      <c r="G1072" s="30">
        <v>43864</v>
      </c>
      <c r="H1072">
        <v>72</v>
      </c>
      <c r="I1072">
        <v>0</v>
      </c>
      <c r="J1072" s="34">
        <v>500000</v>
      </c>
      <c r="K1072" t="s">
        <v>171</v>
      </c>
      <c r="L1072" s="34">
        <f>PMT(Loans[[#This Row],[InterestRate]]/12,Loans[[#This Row],[LoanTenureMonths]],-Loans[[#This Row],[LoanAmount]])</f>
        <v>10873.467664305948</v>
      </c>
      <c r="M1072" s="30">
        <f>EDATE(Loans[[#This Row],[LoanStartDate]],Loans[[#This Row],[LoanTenureMonths]])</f>
        <v>46056</v>
      </c>
      <c r="N1072" s="33">
        <f>IF(Loans[[#This Row],[LoanAmount]]=0,0,Loans[[#This Row],[CollateralValue]]/Loans[[#This Row],[LoanAmount]])</f>
        <v>1</v>
      </c>
      <c r="O1072" t="str">
        <f>IF(Loans[[#This Row],[CollateralCoverageRatio]]&lt;1,"Undersecured","Secured")</f>
        <v>Secured</v>
      </c>
      <c r="P1072" t="str">
        <f>_xlfn.XLOOKUP(Loans[[#This Row],[BranchCode]],BranchesTbl[BranchCode],BranchesTbl[BranchName])</f>
        <v>Westlands</v>
      </c>
      <c r="Q1072">
        <f>_xlfn.XLOOKUP(Loans[[#This Row],[CustomerID]],CustomerTbl[CustomerID],CustomerTbl[RiskScore])</f>
        <v>526</v>
      </c>
      <c r="R1072" t="str">
        <f>IFERROR(INDEX(RiskTbl[Risk_Category],MATCH(Loans[[#This Row],[RiskScore]],RiskTbl[Score_Min],1)),"Unknown")</f>
        <v>High Risk</v>
      </c>
      <c r="S1072" t="str">
        <f>IF(OR(Loans[[#This Row],[LoanStatus]]="Default",Loans[[#This Row],[LoanStatus]]="Watchlist",Loans[[#This Row],[CollateralRisk]]="Undersecured",Loans[[#This Row],[RiskCategory]]="High Risk"),"High Risk Exposure","Normal")</f>
        <v>High Risk Exposure</v>
      </c>
      <c r="T1072" t="str" cm="1">
        <f t="array" ref="T1072">_xlfn.IFS(
Loans[[#This Row],[LoanStatus]]="Default","Critical",
OR(Loans[[#This Row],[LoanStatus]]="Watchlist",Loans[[#This Row],[CollateralRisk]]="Undersecured",Loans[[#This Row],[RiskCategory]]="High Risk"),"High",
TRUE,"Normal"
)</f>
        <v>High</v>
      </c>
    </row>
    <row r="1073" spans="1:20" x14ac:dyDescent="0.35">
      <c r="A1073" t="s">
        <v>1807</v>
      </c>
      <c r="B1073" t="s">
        <v>1808</v>
      </c>
      <c r="C1073" t="s">
        <v>170</v>
      </c>
      <c r="D1073" t="s">
        <v>158</v>
      </c>
      <c r="E1073" s="34">
        <v>6000000</v>
      </c>
      <c r="F1073" s="29">
        <v>0.1479</v>
      </c>
      <c r="G1073" s="30">
        <v>45741</v>
      </c>
      <c r="H1073">
        <v>12</v>
      </c>
      <c r="I1073">
        <v>90</v>
      </c>
      <c r="J1073" s="34">
        <v>8100000</v>
      </c>
      <c r="K1073" t="s">
        <v>199</v>
      </c>
      <c r="L1073" s="34">
        <f>PMT(Loans[[#This Row],[InterestRate]]/12,Loans[[#This Row],[LoanTenureMonths]],-Loans[[#This Row],[LoanAmount]])</f>
        <v>540955.49600886286</v>
      </c>
      <c r="M1073" s="30">
        <f>EDATE(Loans[[#This Row],[LoanStartDate]],Loans[[#This Row],[LoanTenureMonths]])</f>
        <v>46106</v>
      </c>
      <c r="N1073" s="33">
        <f>IF(Loans[[#This Row],[LoanAmount]]=0,0,Loans[[#This Row],[CollateralValue]]/Loans[[#This Row],[LoanAmount]])</f>
        <v>1.35</v>
      </c>
      <c r="O1073" t="str">
        <f>IF(Loans[[#This Row],[CollateralCoverageRatio]]&lt;1,"Undersecured","Secured")</f>
        <v>Secured</v>
      </c>
      <c r="P1073" t="str">
        <f>_xlfn.XLOOKUP(Loans[[#This Row],[BranchCode]],BranchesTbl[BranchCode],BranchesTbl[BranchName])</f>
        <v>Thika</v>
      </c>
      <c r="Q1073">
        <f>_xlfn.XLOOKUP(Loans[[#This Row],[CustomerID]],CustomerTbl[CustomerID],CustomerTbl[RiskScore])</f>
        <v>688</v>
      </c>
      <c r="R1073" t="str">
        <f>IFERROR(INDEX(RiskTbl[Risk_Category],MATCH(Loans[[#This Row],[RiskScore]],RiskTbl[Score_Min],1)),"Unknown")</f>
        <v>Low Risk</v>
      </c>
      <c r="S1073" t="str">
        <f>IF(OR(Loans[[#This Row],[LoanStatus]]="Default",Loans[[#This Row],[LoanStatus]]="Watchlist",Loans[[#This Row],[CollateralRisk]]="Undersecured",Loans[[#This Row],[RiskCategory]]="High Risk"),"High Risk Exposure","Normal")</f>
        <v>High Risk Exposure</v>
      </c>
      <c r="T1073" t="str" cm="1">
        <f t="array" ref="T1073">_xlfn.IFS(
Loans[[#This Row],[LoanStatus]]="Default","Critical",
OR(Loans[[#This Row],[LoanStatus]]="Watchlist",Loans[[#This Row],[CollateralRisk]]="Undersecured",Loans[[#This Row],[RiskCategory]]="High Risk"),"High",
TRUE,"Normal"
)</f>
        <v>High</v>
      </c>
    </row>
    <row r="1074" spans="1:20" x14ac:dyDescent="0.35">
      <c r="A1074" t="s">
        <v>1809</v>
      </c>
      <c r="B1074" t="s">
        <v>536</v>
      </c>
      <c r="C1074" t="s">
        <v>239</v>
      </c>
      <c r="D1074" t="s">
        <v>158</v>
      </c>
      <c r="E1074" s="34">
        <v>6000000</v>
      </c>
      <c r="F1074" s="29">
        <v>0.1666</v>
      </c>
      <c r="G1074" s="30">
        <v>44502</v>
      </c>
      <c r="H1074">
        <v>24</v>
      </c>
      <c r="I1074">
        <v>90</v>
      </c>
      <c r="J1074" s="34">
        <v>3480000</v>
      </c>
      <c r="K1074" t="s">
        <v>199</v>
      </c>
      <c r="L1074" s="34">
        <f>PMT(Loans[[#This Row],[InterestRate]]/12,Loans[[#This Row],[LoanTenureMonths]],-Loans[[#This Row],[LoanAmount]])</f>
        <v>295674.30209072662</v>
      </c>
      <c r="M1074" s="30">
        <f>EDATE(Loans[[#This Row],[LoanStartDate]],Loans[[#This Row],[LoanTenureMonths]])</f>
        <v>45232</v>
      </c>
      <c r="N1074" s="33">
        <f>IF(Loans[[#This Row],[LoanAmount]]=0,0,Loans[[#This Row],[CollateralValue]]/Loans[[#This Row],[LoanAmount]])</f>
        <v>0.57999999999999996</v>
      </c>
      <c r="O1074" t="str">
        <f>IF(Loans[[#This Row],[CollateralCoverageRatio]]&lt;1,"Undersecured","Secured")</f>
        <v>Undersecured</v>
      </c>
      <c r="P1074" t="str">
        <f>_xlfn.XLOOKUP(Loans[[#This Row],[BranchCode]],BranchesTbl[BranchCode],BranchesTbl[BranchName])</f>
        <v>Machakos</v>
      </c>
      <c r="Q1074">
        <f>_xlfn.XLOOKUP(Loans[[#This Row],[CustomerID]],CustomerTbl[CustomerID],CustomerTbl[RiskScore])</f>
        <v>369</v>
      </c>
      <c r="R1074" t="str">
        <f>IFERROR(INDEX(RiskTbl[Risk_Category],MATCH(Loans[[#This Row],[RiskScore]],RiskTbl[Score_Min],1)),"Unknown")</f>
        <v>High Risk</v>
      </c>
      <c r="S1074" t="str">
        <f>IF(OR(Loans[[#This Row],[LoanStatus]]="Default",Loans[[#This Row],[LoanStatus]]="Watchlist",Loans[[#This Row],[CollateralRisk]]="Undersecured",Loans[[#This Row],[RiskCategory]]="High Risk"),"High Risk Exposure","Normal")</f>
        <v>High Risk Exposure</v>
      </c>
      <c r="T1074" t="str" cm="1">
        <f t="array" ref="T1074">_xlfn.IFS(
Loans[[#This Row],[LoanStatus]]="Default","Critical",
OR(Loans[[#This Row],[LoanStatus]]="Watchlist",Loans[[#This Row],[CollateralRisk]]="Undersecured",Loans[[#This Row],[RiskCategory]]="High Risk"),"High",
TRUE,"Normal"
)</f>
        <v>High</v>
      </c>
    </row>
    <row r="1075" spans="1:20" x14ac:dyDescent="0.35">
      <c r="A1075" t="s">
        <v>1810</v>
      </c>
      <c r="B1075" t="s">
        <v>988</v>
      </c>
      <c r="C1075" t="s">
        <v>196</v>
      </c>
      <c r="D1075" t="s">
        <v>156</v>
      </c>
      <c r="E1075" s="34">
        <v>6000000</v>
      </c>
      <c r="F1075" s="29">
        <v>0.23039999999999999</v>
      </c>
      <c r="G1075" s="30">
        <v>44940</v>
      </c>
      <c r="H1075">
        <v>12</v>
      </c>
      <c r="I1075">
        <v>0</v>
      </c>
      <c r="J1075" s="34">
        <v>5280000</v>
      </c>
      <c r="K1075" t="s">
        <v>171</v>
      </c>
      <c r="L1075" s="34">
        <f>PMT(Loans[[#This Row],[InterestRate]]/12,Loans[[#This Row],[LoanTenureMonths]],-Loans[[#This Row],[LoanAmount]])</f>
        <v>564573.76054169284</v>
      </c>
      <c r="M1075" s="30">
        <f>EDATE(Loans[[#This Row],[LoanStartDate]],Loans[[#This Row],[LoanTenureMonths]])</f>
        <v>45305</v>
      </c>
      <c r="N1075" s="33">
        <f>IF(Loans[[#This Row],[LoanAmount]]=0,0,Loans[[#This Row],[CollateralValue]]/Loans[[#This Row],[LoanAmount]])</f>
        <v>0.88</v>
      </c>
      <c r="O1075" t="str">
        <f>IF(Loans[[#This Row],[CollateralCoverageRatio]]&lt;1,"Undersecured","Secured")</f>
        <v>Undersecured</v>
      </c>
      <c r="P1075" t="str">
        <f>_xlfn.XLOOKUP(Loans[[#This Row],[BranchCode]],BranchesTbl[BranchCode],BranchesTbl[BranchName])</f>
        <v>Karen</v>
      </c>
      <c r="Q1075">
        <f>_xlfn.XLOOKUP(Loans[[#This Row],[CustomerID]],CustomerTbl[CustomerID],CustomerTbl[RiskScore])</f>
        <v>549</v>
      </c>
      <c r="R1075" t="str">
        <f>IFERROR(INDEX(RiskTbl[Risk_Category],MATCH(Loans[[#This Row],[RiskScore]],RiskTbl[Score_Min],1)),"Unknown")</f>
        <v>High Risk</v>
      </c>
      <c r="S1075" t="str">
        <f>IF(OR(Loans[[#This Row],[LoanStatus]]="Default",Loans[[#This Row],[LoanStatus]]="Watchlist",Loans[[#This Row],[CollateralRisk]]="Undersecured",Loans[[#This Row],[RiskCategory]]="High Risk"),"High Risk Exposure","Normal")</f>
        <v>High Risk Exposure</v>
      </c>
      <c r="T1075" t="str" cm="1">
        <f t="array" ref="T1075">_xlfn.IFS(
Loans[[#This Row],[LoanStatus]]="Default","Critical",
OR(Loans[[#This Row],[LoanStatus]]="Watchlist",Loans[[#This Row],[CollateralRisk]]="Undersecured",Loans[[#This Row],[RiskCategory]]="High Risk"),"High",
TRUE,"Normal"
)</f>
        <v>High</v>
      </c>
    </row>
    <row r="1076" spans="1:20" x14ac:dyDescent="0.35">
      <c r="A1076" t="s">
        <v>1811</v>
      </c>
      <c r="B1076" t="s">
        <v>1567</v>
      </c>
      <c r="C1076" t="s">
        <v>196</v>
      </c>
      <c r="D1076" t="s">
        <v>156</v>
      </c>
      <c r="E1076" s="34">
        <v>25000000</v>
      </c>
      <c r="F1076" s="29">
        <v>0.16569999999999999</v>
      </c>
      <c r="G1076" s="30">
        <v>44308</v>
      </c>
      <c r="H1076">
        <v>72</v>
      </c>
      <c r="I1076">
        <v>10</v>
      </c>
      <c r="J1076" s="34">
        <v>16500000</v>
      </c>
      <c r="K1076" t="s">
        <v>171</v>
      </c>
      <c r="L1076" s="34">
        <f>PMT(Loans[[#This Row],[InterestRate]]/12,Loans[[#This Row],[LoanTenureMonths]],-Loans[[#This Row],[LoanAmount]])</f>
        <v>550171.93814264587</v>
      </c>
      <c r="M1076" s="30">
        <f>EDATE(Loans[[#This Row],[LoanStartDate]],Loans[[#This Row],[LoanTenureMonths]])</f>
        <v>46499</v>
      </c>
      <c r="N1076" s="33">
        <f>IF(Loans[[#This Row],[LoanAmount]]=0,0,Loans[[#This Row],[CollateralValue]]/Loans[[#This Row],[LoanAmount]])</f>
        <v>0.66</v>
      </c>
      <c r="O1076" t="str">
        <f>IF(Loans[[#This Row],[CollateralCoverageRatio]]&lt;1,"Undersecured","Secured")</f>
        <v>Undersecured</v>
      </c>
      <c r="P1076" t="str">
        <f>_xlfn.XLOOKUP(Loans[[#This Row],[BranchCode]],BranchesTbl[BranchCode],BranchesTbl[BranchName])</f>
        <v>Karen</v>
      </c>
      <c r="Q1076">
        <f>_xlfn.XLOOKUP(Loans[[#This Row],[CustomerID]],CustomerTbl[CustomerID],CustomerTbl[RiskScore])</f>
        <v>502</v>
      </c>
      <c r="R1076" t="str">
        <f>IFERROR(INDEX(RiskTbl[Risk_Category],MATCH(Loans[[#This Row],[RiskScore]],RiskTbl[Score_Min],1)),"Unknown")</f>
        <v>High Risk</v>
      </c>
      <c r="S1076" t="str">
        <f>IF(OR(Loans[[#This Row],[LoanStatus]]="Default",Loans[[#This Row],[LoanStatus]]="Watchlist",Loans[[#This Row],[CollateralRisk]]="Undersecured",Loans[[#This Row],[RiskCategory]]="High Risk"),"High Risk Exposure","Normal")</f>
        <v>High Risk Exposure</v>
      </c>
      <c r="T1076" t="str" cm="1">
        <f t="array" ref="T1076">_xlfn.IFS(
Loans[[#This Row],[LoanStatus]]="Default","Critical",
OR(Loans[[#This Row],[LoanStatus]]="Watchlist",Loans[[#This Row],[CollateralRisk]]="Undersecured",Loans[[#This Row],[RiskCategory]]="High Risk"),"High",
TRUE,"Normal"
)</f>
        <v>High</v>
      </c>
    </row>
    <row r="1077" spans="1:20" x14ac:dyDescent="0.35">
      <c r="A1077" t="s">
        <v>1812</v>
      </c>
      <c r="B1077" t="s">
        <v>455</v>
      </c>
      <c r="C1077" t="s">
        <v>232</v>
      </c>
      <c r="D1077" t="s">
        <v>155</v>
      </c>
      <c r="E1077" s="34">
        <v>500000</v>
      </c>
      <c r="F1077" s="29">
        <v>0.16719999999999999</v>
      </c>
      <c r="G1077" s="30">
        <v>44581</v>
      </c>
      <c r="H1077">
        <v>24</v>
      </c>
      <c r="I1077">
        <v>0</v>
      </c>
      <c r="J1077" s="34">
        <v>0</v>
      </c>
      <c r="K1077" t="s">
        <v>171</v>
      </c>
      <c r="L1077" s="34">
        <f>PMT(Loans[[#This Row],[InterestRate]]/12,Loans[[#This Row],[LoanTenureMonths]],-Loans[[#This Row],[LoanAmount]])</f>
        <v>24653.915106179302</v>
      </c>
      <c r="M1077" s="30">
        <f>EDATE(Loans[[#This Row],[LoanStartDate]],Loans[[#This Row],[LoanTenureMonths]])</f>
        <v>45311</v>
      </c>
      <c r="N1077" s="33">
        <f>IF(Loans[[#This Row],[LoanAmount]]=0,0,Loans[[#This Row],[CollateralValue]]/Loans[[#This Row],[LoanAmount]])</f>
        <v>0</v>
      </c>
      <c r="O1077" t="str">
        <f>IF(Loans[[#This Row],[CollateralCoverageRatio]]&lt;1,"Undersecured","Secured")</f>
        <v>Undersecured</v>
      </c>
      <c r="P1077" t="str">
        <f>_xlfn.XLOOKUP(Loans[[#This Row],[BranchCode]],BranchesTbl[BranchCode],BranchesTbl[BranchName])</f>
        <v>Upper Hill</v>
      </c>
      <c r="Q1077">
        <f>_xlfn.XLOOKUP(Loans[[#This Row],[CustomerID]],CustomerTbl[CustomerID],CustomerTbl[RiskScore])</f>
        <v>597</v>
      </c>
      <c r="R1077" t="str">
        <f>IFERROR(INDEX(RiskTbl[Risk_Category],MATCH(Loans[[#This Row],[RiskScore]],RiskTbl[Score_Min],1)),"Unknown")</f>
        <v>Medium Risk</v>
      </c>
      <c r="S1077" t="str">
        <f>IF(OR(Loans[[#This Row],[LoanStatus]]="Default",Loans[[#This Row],[LoanStatus]]="Watchlist",Loans[[#This Row],[CollateralRisk]]="Undersecured",Loans[[#This Row],[RiskCategory]]="High Risk"),"High Risk Exposure","Normal")</f>
        <v>High Risk Exposure</v>
      </c>
      <c r="T1077" t="str" cm="1">
        <f t="array" ref="T1077">_xlfn.IFS(
Loans[[#This Row],[LoanStatus]]="Default","Critical",
OR(Loans[[#This Row],[LoanStatus]]="Watchlist",Loans[[#This Row],[CollateralRisk]]="Undersecured",Loans[[#This Row],[RiskCategory]]="High Risk"),"High",
TRUE,"Normal"
)</f>
        <v>High</v>
      </c>
    </row>
    <row r="1078" spans="1:20" x14ac:dyDescent="0.35">
      <c r="A1078" t="s">
        <v>1813</v>
      </c>
      <c r="B1078" t="s">
        <v>710</v>
      </c>
      <c r="C1078" t="s">
        <v>239</v>
      </c>
      <c r="D1078" t="s">
        <v>157</v>
      </c>
      <c r="E1078" s="34">
        <v>25000000</v>
      </c>
      <c r="F1078" s="29">
        <v>0.12039999999999999</v>
      </c>
      <c r="G1078" s="30">
        <v>45915</v>
      </c>
      <c r="H1078">
        <v>12</v>
      </c>
      <c r="I1078">
        <v>0</v>
      </c>
      <c r="J1078" s="34">
        <v>26750000</v>
      </c>
      <c r="K1078" t="s">
        <v>171</v>
      </c>
      <c r="L1078" s="34">
        <f>PMT(Loans[[#This Row],[InterestRate]]/12,Loans[[#This Row],[LoanTenureMonths]],-Loans[[#This Row],[LoanAmount]])</f>
        <v>2221687.5530238976</v>
      </c>
      <c r="M1078" s="30">
        <f>EDATE(Loans[[#This Row],[LoanStartDate]],Loans[[#This Row],[LoanTenureMonths]])</f>
        <v>46280</v>
      </c>
      <c r="N1078" s="33">
        <f>IF(Loans[[#This Row],[LoanAmount]]=0,0,Loans[[#This Row],[CollateralValue]]/Loans[[#This Row],[LoanAmount]])</f>
        <v>1.07</v>
      </c>
      <c r="O1078" t="str">
        <f>IF(Loans[[#This Row],[CollateralCoverageRatio]]&lt;1,"Undersecured","Secured")</f>
        <v>Secured</v>
      </c>
      <c r="P1078" t="str">
        <f>_xlfn.XLOOKUP(Loans[[#This Row],[BranchCode]],BranchesTbl[BranchCode],BranchesTbl[BranchName])</f>
        <v>Machakos</v>
      </c>
      <c r="Q1078">
        <f>_xlfn.XLOOKUP(Loans[[#This Row],[CustomerID]],CustomerTbl[CustomerID],CustomerTbl[RiskScore])</f>
        <v>775</v>
      </c>
      <c r="R1078" t="str">
        <f>IFERROR(INDEX(RiskTbl[Risk_Category],MATCH(Loans[[#This Row],[RiskScore]],RiskTbl[Score_Min],1)),"Unknown")</f>
        <v>Very Low Risk</v>
      </c>
      <c r="S1078" t="str">
        <f>IF(OR(Loans[[#This Row],[LoanStatus]]="Default",Loans[[#This Row],[LoanStatus]]="Watchlist",Loans[[#This Row],[CollateralRisk]]="Undersecured",Loans[[#This Row],[RiskCategory]]="High Risk"),"High Risk Exposure","Normal")</f>
        <v>Normal</v>
      </c>
      <c r="T1078" t="str" cm="1">
        <f t="array" ref="T1078">_xlfn.IFS(
Loans[[#This Row],[LoanStatus]]="Default","Critical",
OR(Loans[[#This Row],[LoanStatus]]="Watchlist",Loans[[#This Row],[CollateralRisk]]="Undersecured",Loans[[#This Row],[RiskCategory]]="High Risk"),"High",
TRUE,"Normal"
)</f>
        <v>Normal</v>
      </c>
    </row>
    <row r="1079" spans="1:20" x14ac:dyDescent="0.35">
      <c r="A1079" t="s">
        <v>1814</v>
      </c>
      <c r="B1079" t="s">
        <v>1815</v>
      </c>
      <c r="C1079" t="s">
        <v>190</v>
      </c>
      <c r="D1079" t="s">
        <v>157</v>
      </c>
      <c r="E1079" s="34">
        <v>80000000</v>
      </c>
      <c r="F1079" s="29">
        <v>9.2499999999999999E-2</v>
      </c>
      <c r="G1079" s="30">
        <v>44187</v>
      </c>
      <c r="H1079">
        <v>60</v>
      </c>
      <c r="I1079">
        <v>0</v>
      </c>
      <c r="J1079" s="34">
        <v>108000000</v>
      </c>
      <c r="K1079" t="s">
        <v>171</v>
      </c>
      <c r="L1079" s="34">
        <f>PMT(Loans[[#This Row],[InterestRate]]/12,Loans[[#This Row],[LoanTenureMonths]],-Loans[[#This Row],[LoanAmount]])</f>
        <v>1670391.8635787333</v>
      </c>
      <c r="M1079" s="30">
        <f>EDATE(Loans[[#This Row],[LoanStartDate]],Loans[[#This Row],[LoanTenureMonths]])</f>
        <v>46013</v>
      </c>
      <c r="N1079" s="33">
        <f>IF(Loans[[#This Row],[LoanAmount]]=0,0,Loans[[#This Row],[CollateralValue]]/Loans[[#This Row],[LoanAmount]])</f>
        <v>1.35</v>
      </c>
      <c r="O1079" t="str">
        <f>IF(Loans[[#This Row],[CollateralCoverageRatio]]&lt;1,"Undersecured","Secured")</f>
        <v>Secured</v>
      </c>
      <c r="P1079" t="str">
        <f>_xlfn.XLOOKUP(Loans[[#This Row],[BranchCode]],BranchesTbl[BranchCode],BranchesTbl[BranchName])</f>
        <v>Nyeri</v>
      </c>
      <c r="Q1079">
        <f>_xlfn.XLOOKUP(Loans[[#This Row],[CustomerID]],CustomerTbl[CustomerID],CustomerTbl[RiskScore])</f>
        <v>766</v>
      </c>
      <c r="R1079" t="str">
        <f>IFERROR(INDEX(RiskTbl[Risk_Category],MATCH(Loans[[#This Row],[RiskScore]],RiskTbl[Score_Min],1)),"Unknown")</f>
        <v>Very Low Risk</v>
      </c>
      <c r="S1079" t="str">
        <f>IF(OR(Loans[[#This Row],[LoanStatus]]="Default",Loans[[#This Row],[LoanStatus]]="Watchlist",Loans[[#This Row],[CollateralRisk]]="Undersecured",Loans[[#This Row],[RiskCategory]]="High Risk"),"High Risk Exposure","Normal")</f>
        <v>Normal</v>
      </c>
      <c r="T1079" t="str" cm="1">
        <f t="array" ref="T1079">_xlfn.IFS(
Loans[[#This Row],[LoanStatus]]="Default","Critical",
OR(Loans[[#This Row],[LoanStatus]]="Watchlist",Loans[[#This Row],[CollateralRisk]]="Undersecured",Loans[[#This Row],[RiskCategory]]="High Risk"),"High",
TRUE,"Normal"
)</f>
        <v>Normal</v>
      </c>
    </row>
    <row r="1080" spans="1:20" x14ac:dyDescent="0.35">
      <c r="A1080" t="s">
        <v>1816</v>
      </c>
      <c r="B1080" t="s">
        <v>1068</v>
      </c>
      <c r="C1080" t="s">
        <v>239</v>
      </c>
      <c r="D1080" t="s">
        <v>157</v>
      </c>
      <c r="E1080" s="34">
        <v>6000000</v>
      </c>
      <c r="F1080" s="29">
        <v>0.1087</v>
      </c>
      <c r="G1080" s="30">
        <v>45495</v>
      </c>
      <c r="H1080">
        <v>60</v>
      </c>
      <c r="I1080">
        <v>0</v>
      </c>
      <c r="J1080" s="34">
        <v>6600000</v>
      </c>
      <c r="K1080" t="s">
        <v>171</v>
      </c>
      <c r="L1080" s="34">
        <f>PMT(Loans[[#This Row],[InterestRate]]/12,Loans[[#This Row],[LoanTenureMonths]],-Loans[[#This Row],[LoanAmount]])</f>
        <v>130065.88261941129</v>
      </c>
      <c r="M1080" s="30">
        <f>EDATE(Loans[[#This Row],[LoanStartDate]],Loans[[#This Row],[LoanTenureMonths]])</f>
        <v>47321</v>
      </c>
      <c r="N1080" s="33">
        <f>IF(Loans[[#This Row],[LoanAmount]]=0,0,Loans[[#This Row],[CollateralValue]]/Loans[[#This Row],[LoanAmount]])</f>
        <v>1.1000000000000001</v>
      </c>
      <c r="O1080" t="str">
        <f>IF(Loans[[#This Row],[CollateralCoverageRatio]]&lt;1,"Undersecured","Secured")</f>
        <v>Secured</v>
      </c>
      <c r="P1080" t="str">
        <f>_xlfn.XLOOKUP(Loans[[#This Row],[BranchCode]],BranchesTbl[BranchCode],BranchesTbl[BranchName])</f>
        <v>Machakos</v>
      </c>
      <c r="Q1080">
        <f>_xlfn.XLOOKUP(Loans[[#This Row],[CustomerID]],CustomerTbl[CustomerID],CustomerTbl[RiskScore])</f>
        <v>629</v>
      </c>
      <c r="R1080" t="str">
        <f>IFERROR(INDEX(RiskTbl[Risk_Category],MATCH(Loans[[#This Row],[RiskScore]],RiskTbl[Score_Min],1)),"Unknown")</f>
        <v>Medium Risk</v>
      </c>
      <c r="S1080" t="str">
        <f>IF(OR(Loans[[#This Row],[LoanStatus]]="Default",Loans[[#This Row],[LoanStatus]]="Watchlist",Loans[[#This Row],[CollateralRisk]]="Undersecured",Loans[[#This Row],[RiskCategory]]="High Risk"),"High Risk Exposure","Normal")</f>
        <v>Normal</v>
      </c>
      <c r="T1080" t="str" cm="1">
        <f t="array" ref="T1080">_xlfn.IFS(
Loans[[#This Row],[LoanStatus]]="Default","Critical",
OR(Loans[[#This Row],[LoanStatus]]="Watchlist",Loans[[#This Row],[CollateralRisk]]="Undersecured",Loans[[#This Row],[RiskCategory]]="High Risk"),"High",
TRUE,"Normal"
)</f>
        <v>Normal</v>
      </c>
    </row>
    <row r="1081" spans="1:20" x14ac:dyDescent="0.35">
      <c r="A1081" t="s">
        <v>1817</v>
      </c>
      <c r="B1081" t="s">
        <v>841</v>
      </c>
      <c r="C1081" t="s">
        <v>196</v>
      </c>
      <c r="D1081" t="s">
        <v>156</v>
      </c>
      <c r="E1081" s="34">
        <v>3000000</v>
      </c>
      <c r="F1081" s="29">
        <v>0.15429999999999999</v>
      </c>
      <c r="G1081" s="30">
        <v>44368</v>
      </c>
      <c r="H1081">
        <v>12</v>
      </c>
      <c r="I1081">
        <v>0</v>
      </c>
      <c r="J1081" s="34">
        <v>1740000</v>
      </c>
      <c r="K1081" t="s">
        <v>171</v>
      </c>
      <c r="L1081" s="34">
        <f>PMT(Loans[[#This Row],[InterestRate]]/12,Loans[[#This Row],[LoanTenureMonths]],-Loans[[#This Row],[LoanAmount]])</f>
        <v>271384.02449641895</v>
      </c>
      <c r="M1081" s="30">
        <f>EDATE(Loans[[#This Row],[LoanStartDate]],Loans[[#This Row],[LoanTenureMonths]])</f>
        <v>44733</v>
      </c>
      <c r="N1081" s="33">
        <f>IF(Loans[[#This Row],[LoanAmount]]=0,0,Loans[[#This Row],[CollateralValue]]/Loans[[#This Row],[LoanAmount]])</f>
        <v>0.57999999999999996</v>
      </c>
      <c r="O1081" t="str">
        <f>IF(Loans[[#This Row],[CollateralCoverageRatio]]&lt;1,"Undersecured","Secured")</f>
        <v>Undersecured</v>
      </c>
      <c r="P1081" t="str">
        <f>_xlfn.XLOOKUP(Loans[[#This Row],[BranchCode]],BranchesTbl[BranchCode],BranchesTbl[BranchName])</f>
        <v>Karen</v>
      </c>
      <c r="Q1081">
        <f>_xlfn.XLOOKUP(Loans[[#This Row],[CustomerID]],CustomerTbl[CustomerID],CustomerTbl[RiskScore])</f>
        <v>810</v>
      </c>
      <c r="R1081" t="str">
        <f>IFERROR(INDEX(RiskTbl[Risk_Category],MATCH(Loans[[#This Row],[RiskScore]],RiskTbl[Score_Min],1)),"Unknown")</f>
        <v>Prime</v>
      </c>
      <c r="S1081" t="str">
        <f>IF(OR(Loans[[#This Row],[LoanStatus]]="Default",Loans[[#This Row],[LoanStatus]]="Watchlist",Loans[[#This Row],[CollateralRisk]]="Undersecured",Loans[[#This Row],[RiskCategory]]="High Risk"),"High Risk Exposure","Normal")</f>
        <v>High Risk Exposure</v>
      </c>
      <c r="T1081" t="str" cm="1">
        <f t="array" ref="T1081">_xlfn.IFS(
Loans[[#This Row],[LoanStatus]]="Default","Critical",
OR(Loans[[#This Row],[LoanStatus]]="Watchlist",Loans[[#This Row],[CollateralRisk]]="Undersecured",Loans[[#This Row],[RiskCategory]]="High Risk"),"High",
TRUE,"Normal"
)</f>
        <v>High</v>
      </c>
    </row>
    <row r="1082" spans="1:20" x14ac:dyDescent="0.35">
      <c r="A1082" t="s">
        <v>1818</v>
      </c>
      <c r="B1082" t="s">
        <v>1819</v>
      </c>
      <c r="C1082" t="s">
        <v>193</v>
      </c>
      <c r="D1082" t="s">
        <v>155</v>
      </c>
      <c r="E1082" s="34">
        <v>1000000</v>
      </c>
      <c r="F1082" s="29">
        <v>0.2356</v>
      </c>
      <c r="G1082" s="30">
        <v>45404</v>
      </c>
      <c r="H1082">
        <v>36</v>
      </c>
      <c r="I1082">
        <v>10</v>
      </c>
      <c r="J1082" s="34">
        <v>0</v>
      </c>
      <c r="K1082" t="s">
        <v>171</v>
      </c>
      <c r="L1082" s="34">
        <f>PMT(Loans[[#This Row],[InterestRate]]/12,Loans[[#This Row],[LoanTenureMonths]],-Loans[[#This Row],[LoanAmount]])</f>
        <v>39002.200354179557</v>
      </c>
      <c r="M1082" s="30">
        <f>EDATE(Loans[[#This Row],[LoanStartDate]],Loans[[#This Row],[LoanTenureMonths]])</f>
        <v>46499</v>
      </c>
      <c r="N1082" s="33">
        <f>IF(Loans[[#This Row],[LoanAmount]]=0,0,Loans[[#This Row],[CollateralValue]]/Loans[[#This Row],[LoanAmount]])</f>
        <v>0</v>
      </c>
      <c r="O1082" t="str">
        <f>IF(Loans[[#This Row],[CollateralCoverageRatio]]&lt;1,"Undersecured","Secured")</f>
        <v>Undersecured</v>
      </c>
      <c r="P1082" t="str">
        <f>_xlfn.XLOOKUP(Loans[[#This Row],[BranchCode]],BranchesTbl[BranchCode],BranchesTbl[BranchName])</f>
        <v>Mombasa</v>
      </c>
      <c r="Q1082">
        <f>_xlfn.XLOOKUP(Loans[[#This Row],[CustomerID]],CustomerTbl[CustomerID],CustomerTbl[RiskScore])</f>
        <v>447</v>
      </c>
      <c r="R1082" t="str">
        <f>IFERROR(INDEX(RiskTbl[Risk_Category],MATCH(Loans[[#This Row],[RiskScore]],RiskTbl[Score_Min],1)),"Unknown")</f>
        <v>High Risk</v>
      </c>
      <c r="S1082" t="str">
        <f>IF(OR(Loans[[#This Row],[LoanStatus]]="Default",Loans[[#This Row],[LoanStatus]]="Watchlist",Loans[[#This Row],[CollateralRisk]]="Undersecured",Loans[[#This Row],[RiskCategory]]="High Risk"),"High Risk Exposure","Normal")</f>
        <v>High Risk Exposure</v>
      </c>
      <c r="T1082" t="str" cm="1">
        <f t="array" ref="T1082">_xlfn.IFS(
Loans[[#This Row],[LoanStatus]]="Default","Critical",
OR(Loans[[#This Row],[LoanStatus]]="Watchlist",Loans[[#This Row],[CollateralRisk]]="Undersecured",Loans[[#This Row],[RiskCategory]]="High Risk"),"High",
TRUE,"Normal"
)</f>
        <v>High</v>
      </c>
    </row>
    <row r="1083" spans="1:20" x14ac:dyDescent="0.35">
      <c r="A1083" t="s">
        <v>1820</v>
      </c>
      <c r="B1083" t="s">
        <v>238</v>
      </c>
      <c r="C1083" t="s">
        <v>187</v>
      </c>
      <c r="D1083" t="s">
        <v>156</v>
      </c>
      <c r="E1083" s="34">
        <v>25000000</v>
      </c>
      <c r="F1083" s="29">
        <v>0.22600000000000001</v>
      </c>
      <c r="G1083" s="30">
        <v>45639</v>
      </c>
      <c r="H1083">
        <v>60</v>
      </c>
      <c r="I1083">
        <v>90</v>
      </c>
      <c r="J1083" s="34">
        <v>25500000</v>
      </c>
      <c r="K1083" t="s">
        <v>199</v>
      </c>
      <c r="L1083" s="34">
        <f>PMT(Loans[[#This Row],[InterestRate]]/12,Loans[[#This Row],[LoanTenureMonths]],-Loans[[#This Row],[LoanAmount]])</f>
        <v>699028.27906335134</v>
      </c>
      <c r="M1083" s="30">
        <f>EDATE(Loans[[#This Row],[LoanStartDate]],Loans[[#This Row],[LoanTenureMonths]])</f>
        <v>47465</v>
      </c>
      <c r="N1083" s="33">
        <f>IF(Loans[[#This Row],[LoanAmount]]=0,0,Loans[[#This Row],[CollateralValue]]/Loans[[#This Row],[LoanAmount]])</f>
        <v>1.02</v>
      </c>
      <c r="O1083" t="str">
        <f>IF(Loans[[#This Row],[CollateralCoverageRatio]]&lt;1,"Undersecured","Secured")</f>
        <v>Secured</v>
      </c>
      <c r="P1083" t="str">
        <f>_xlfn.XLOOKUP(Loans[[#This Row],[BranchCode]],BranchesTbl[BranchCode],BranchesTbl[BranchName])</f>
        <v>Eldoret</v>
      </c>
      <c r="Q1083">
        <f>_xlfn.XLOOKUP(Loans[[#This Row],[CustomerID]],CustomerTbl[CustomerID],CustomerTbl[RiskScore])</f>
        <v>748</v>
      </c>
      <c r="R1083" t="str">
        <f>IFERROR(INDEX(RiskTbl[Risk_Category],MATCH(Loans[[#This Row],[RiskScore]],RiskTbl[Score_Min],1)),"Unknown")</f>
        <v>Very Low Risk</v>
      </c>
      <c r="S1083" t="str">
        <f>IF(OR(Loans[[#This Row],[LoanStatus]]="Default",Loans[[#This Row],[LoanStatus]]="Watchlist",Loans[[#This Row],[CollateralRisk]]="Undersecured",Loans[[#This Row],[RiskCategory]]="High Risk"),"High Risk Exposure","Normal")</f>
        <v>High Risk Exposure</v>
      </c>
      <c r="T1083" t="str" cm="1">
        <f t="array" ref="T1083">_xlfn.IFS(
Loans[[#This Row],[LoanStatus]]="Default","Critical",
OR(Loans[[#This Row],[LoanStatus]]="Watchlist",Loans[[#This Row],[CollateralRisk]]="Undersecured",Loans[[#This Row],[RiskCategory]]="High Risk"),"High",
TRUE,"Normal"
)</f>
        <v>High</v>
      </c>
    </row>
    <row r="1084" spans="1:20" x14ac:dyDescent="0.35">
      <c r="A1084" t="s">
        <v>1821</v>
      </c>
      <c r="B1084" t="s">
        <v>1618</v>
      </c>
      <c r="C1084" t="s">
        <v>206</v>
      </c>
      <c r="D1084" t="s">
        <v>155</v>
      </c>
      <c r="E1084" s="34">
        <v>500000</v>
      </c>
      <c r="F1084" s="29">
        <v>0.183</v>
      </c>
      <c r="G1084" s="30">
        <v>45154</v>
      </c>
      <c r="H1084">
        <v>60</v>
      </c>
      <c r="I1084">
        <v>5</v>
      </c>
      <c r="J1084" s="34">
        <v>0</v>
      </c>
      <c r="K1084" t="s">
        <v>171</v>
      </c>
      <c r="L1084" s="34">
        <f>PMT(Loans[[#This Row],[InterestRate]]/12,Loans[[#This Row],[LoanTenureMonths]],-Loans[[#This Row],[LoanAmount]])</f>
        <v>12778.454404424139</v>
      </c>
      <c r="M1084" s="30">
        <f>EDATE(Loans[[#This Row],[LoanStartDate]],Loans[[#This Row],[LoanTenureMonths]])</f>
        <v>46981</v>
      </c>
      <c r="N1084" s="33">
        <f>IF(Loans[[#This Row],[LoanAmount]]=0,0,Loans[[#This Row],[CollateralValue]]/Loans[[#This Row],[LoanAmount]])</f>
        <v>0</v>
      </c>
      <c r="O1084" t="str">
        <f>IF(Loans[[#This Row],[CollateralCoverageRatio]]&lt;1,"Undersecured","Secured")</f>
        <v>Undersecured</v>
      </c>
      <c r="P1084" t="str">
        <f>_xlfn.XLOOKUP(Loans[[#This Row],[BranchCode]],BranchesTbl[BranchCode],BranchesTbl[BranchName])</f>
        <v>Nyahururu</v>
      </c>
      <c r="Q1084">
        <f>_xlfn.XLOOKUP(Loans[[#This Row],[CustomerID]],CustomerTbl[CustomerID],CustomerTbl[RiskScore])</f>
        <v>758</v>
      </c>
      <c r="R1084" t="str">
        <f>IFERROR(INDEX(RiskTbl[Risk_Category],MATCH(Loans[[#This Row],[RiskScore]],RiskTbl[Score_Min],1)),"Unknown")</f>
        <v>Very Low Risk</v>
      </c>
      <c r="S1084" t="str">
        <f>IF(OR(Loans[[#This Row],[LoanStatus]]="Default",Loans[[#This Row],[LoanStatus]]="Watchlist",Loans[[#This Row],[CollateralRisk]]="Undersecured",Loans[[#This Row],[RiskCategory]]="High Risk"),"High Risk Exposure","Normal")</f>
        <v>High Risk Exposure</v>
      </c>
      <c r="T1084" t="str" cm="1">
        <f t="array" ref="T1084">_xlfn.IFS(
Loans[[#This Row],[LoanStatus]]="Default","Critical",
OR(Loans[[#This Row],[LoanStatus]]="Watchlist",Loans[[#This Row],[CollateralRisk]]="Undersecured",Loans[[#This Row],[RiskCategory]]="High Risk"),"High",
TRUE,"Normal"
)</f>
        <v>High</v>
      </c>
    </row>
    <row r="1085" spans="1:20" x14ac:dyDescent="0.35">
      <c r="A1085" t="s">
        <v>1822</v>
      </c>
      <c r="B1085" t="s">
        <v>1400</v>
      </c>
      <c r="C1085" t="s">
        <v>196</v>
      </c>
      <c r="D1085" t="s">
        <v>158</v>
      </c>
      <c r="E1085" s="34">
        <v>6000000</v>
      </c>
      <c r="F1085" s="29">
        <v>0.15479999999999999</v>
      </c>
      <c r="G1085" s="30">
        <v>44663</v>
      </c>
      <c r="H1085">
        <v>24</v>
      </c>
      <c r="I1085">
        <v>90</v>
      </c>
      <c r="J1085" s="34">
        <v>8100000</v>
      </c>
      <c r="K1085" t="s">
        <v>199</v>
      </c>
      <c r="L1085" s="34">
        <f>PMT(Loans[[#This Row],[InterestRate]]/12,Loans[[#This Row],[LoanTenureMonths]],-Loans[[#This Row],[LoanAmount]])</f>
        <v>292290.08257526706</v>
      </c>
      <c r="M1085" s="30">
        <f>EDATE(Loans[[#This Row],[LoanStartDate]],Loans[[#This Row],[LoanTenureMonths]])</f>
        <v>45394</v>
      </c>
      <c r="N1085" s="33">
        <f>IF(Loans[[#This Row],[LoanAmount]]=0,0,Loans[[#This Row],[CollateralValue]]/Loans[[#This Row],[LoanAmount]])</f>
        <v>1.35</v>
      </c>
      <c r="O1085" t="str">
        <f>IF(Loans[[#This Row],[CollateralCoverageRatio]]&lt;1,"Undersecured","Secured")</f>
        <v>Secured</v>
      </c>
      <c r="P1085" t="str">
        <f>_xlfn.XLOOKUP(Loans[[#This Row],[BranchCode]],BranchesTbl[BranchCode],BranchesTbl[BranchName])</f>
        <v>Karen</v>
      </c>
      <c r="Q1085">
        <f>_xlfn.XLOOKUP(Loans[[#This Row],[CustomerID]],CustomerTbl[CustomerID],CustomerTbl[RiskScore])</f>
        <v>673</v>
      </c>
      <c r="R1085" t="str">
        <f>IFERROR(INDEX(RiskTbl[Risk_Category],MATCH(Loans[[#This Row],[RiskScore]],RiskTbl[Score_Min],1)),"Unknown")</f>
        <v>Low Risk</v>
      </c>
      <c r="S1085" t="str">
        <f>IF(OR(Loans[[#This Row],[LoanStatus]]="Default",Loans[[#This Row],[LoanStatus]]="Watchlist",Loans[[#This Row],[CollateralRisk]]="Undersecured",Loans[[#This Row],[RiskCategory]]="High Risk"),"High Risk Exposure","Normal")</f>
        <v>High Risk Exposure</v>
      </c>
      <c r="T1085" t="str" cm="1">
        <f t="array" ref="T1085">_xlfn.IFS(
Loans[[#This Row],[LoanStatus]]="Default","Critical",
OR(Loans[[#This Row],[LoanStatus]]="Watchlist",Loans[[#This Row],[CollateralRisk]]="Undersecured",Loans[[#This Row],[RiskCategory]]="High Risk"),"High",
TRUE,"Normal"
)</f>
        <v>High</v>
      </c>
    </row>
    <row r="1086" spans="1:20" x14ac:dyDescent="0.35">
      <c r="A1086" t="s">
        <v>1823</v>
      </c>
      <c r="B1086" t="s">
        <v>538</v>
      </c>
      <c r="C1086" t="s">
        <v>190</v>
      </c>
      <c r="D1086" t="s">
        <v>157</v>
      </c>
      <c r="E1086" s="34">
        <v>80000000</v>
      </c>
      <c r="F1086" s="29">
        <v>0.10589999999999999</v>
      </c>
      <c r="G1086" s="30">
        <v>44471</v>
      </c>
      <c r="H1086">
        <v>12</v>
      </c>
      <c r="I1086">
        <v>20</v>
      </c>
      <c r="J1086" s="34">
        <v>55200000</v>
      </c>
      <c r="K1086" t="s">
        <v>171</v>
      </c>
      <c r="L1086" s="34">
        <f>PMT(Loans[[#This Row],[InterestRate]]/12,Loans[[#This Row],[LoanTenureMonths]],-Loans[[#This Row],[LoanAmount]])</f>
        <v>7055242.2260023113</v>
      </c>
      <c r="M1086" s="30">
        <f>EDATE(Loans[[#This Row],[LoanStartDate]],Loans[[#This Row],[LoanTenureMonths]])</f>
        <v>44836</v>
      </c>
      <c r="N1086" s="33">
        <f>IF(Loans[[#This Row],[LoanAmount]]=0,0,Loans[[#This Row],[CollateralValue]]/Loans[[#This Row],[LoanAmount]])</f>
        <v>0.69</v>
      </c>
      <c r="O1086" t="str">
        <f>IF(Loans[[#This Row],[CollateralCoverageRatio]]&lt;1,"Undersecured","Secured")</f>
        <v>Undersecured</v>
      </c>
      <c r="P1086" t="str">
        <f>_xlfn.XLOOKUP(Loans[[#This Row],[BranchCode]],BranchesTbl[BranchCode],BranchesTbl[BranchName])</f>
        <v>Nyeri</v>
      </c>
      <c r="Q1086">
        <f>_xlfn.XLOOKUP(Loans[[#This Row],[CustomerID]],CustomerTbl[CustomerID],CustomerTbl[RiskScore])</f>
        <v>325</v>
      </c>
      <c r="R1086" t="str">
        <f>IFERROR(INDEX(RiskTbl[Risk_Category],MATCH(Loans[[#This Row],[RiskScore]],RiskTbl[Score_Min],1)),"Unknown")</f>
        <v>High Risk</v>
      </c>
      <c r="S1086" t="str">
        <f>IF(OR(Loans[[#This Row],[LoanStatus]]="Default",Loans[[#This Row],[LoanStatus]]="Watchlist",Loans[[#This Row],[CollateralRisk]]="Undersecured",Loans[[#This Row],[RiskCategory]]="High Risk"),"High Risk Exposure","Normal")</f>
        <v>High Risk Exposure</v>
      </c>
      <c r="T1086" t="str" cm="1">
        <f t="array" ref="T1086">_xlfn.IFS(
Loans[[#This Row],[LoanStatus]]="Default","Critical",
OR(Loans[[#This Row],[LoanStatus]]="Watchlist",Loans[[#This Row],[CollateralRisk]]="Undersecured",Loans[[#This Row],[RiskCategory]]="High Risk"),"High",
TRUE,"Normal"
)</f>
        <v>High</v>
      </c>
    </row>
    <row r="1087" spans="1:20" x14ac:dyDescent="0.35">
      <c r="A1087" t="s">
        <v>1824</v>
      </c>
      <c r="B1087" t="s">
        <v>1083</v>
      </c>
      <c r="C1087" t="s">
        <v>267</v>
      </c>
      <c r="D1087" t="s">
        <v>155</v>
      </c>
      <c r="E1087" s="34">
        <v>250000</v>
      </c>
      <c r="F1087" s="29">
        <v>0.2024</v>
      </c>
      <c r="G1087" s="30">
        <v>45352</v>
      </c>
      <c r="H1087">
        <v>12</v>
      </c>
      <c r="I1087">
        <v>120</v>
      </c>
      <c r="J1087" s="34">
        <v>0</v>
      </c>
      <c r="K1087" t="s">
        <v>178</v>
      </c>
      <c r="L1087" s="34">
        <f>PMT(Loans[[#This Row],[InterestRate]]/12,Loans[[#This Row],[LoanTenureMonths]],-Loans[[#This Row],[LoanAmount]])</f>
        <v>23187.352010239942</v>
      </c>
      <c r="M1087" s="30">
        <f>EDATE(Loans[[#This Row],[LoanStartDate]],Loans[[#This Row],[LoanTenureMonths]])</f>
        <v>45717</v>
      </c>
      <c r="N1087" s="33">
        <f>IF(Loans[[#This Row],[LoanAmount]]=0,0,Loans[[#This Row],[CollateralValue]]/Loans[[#This Row],[LoanAmount]])</f>
        <v>0</v>
      </c>
      <c r="O1087" t="str">
        <f>IF(Loans[[#This Row],[CollateralCoverageRatio]]&lt;1,"Undersecured","Secured")</f>
        <v>Undersecured</v>
      </c>
      <c r="P1087" t="str">
        <f>_xlfn.XLOOKUP(Loans[[#This Row],[BranchCode]],BranchesTbl[BranchCode],BranchesTbl[BranchName])</f>
        <v>Malindi</v>
      </c>
      <c r="Q1087">
        <f>_xlfn.XLOOKUP(Loans[[#This Row],[CustomerID]],CustomerTbl[CustomerID],CustomerTbl[RiskScore])</f>
        <v>707</v>
      </c>
      <c r="R1087" t="str">
        <f>IFERROR(INDEX(RiskTbl[Risk_Category],MATCH(Loans[[#This Row],[RiskScore]],RiskTbl[Score_Min],1)),"Unknown")</f>
        <v>Low Risk</v>
      </c>
      <c r="S1087" t="str">
        <f>IF(OR(Loans[[#This Row],[LoanStatus]]="Default",Loans[[#This Row],[LoanStatus]]="Watchlist",Loans[[#This Row],[CollateralRisk]]="Undersecured",Loans[[#This Row],[RiskCategory]]="High Risk"),"High Risk Exposure","Normal")</f>
        <v>High Risk Exposure</v>
      </c>
      <c r="T1087" t="str" cm="1">
        <f t="array" ref="T1087">_xlfn.IFS(
Loans[[#This Row],[LoanStatus]]="Default","Critical",
OR(Loans[[#This Row],[LoanStatus]]="Watchlist",Loans[[#This Row],[CollateralRisk]]="Undersecured",Loans[[#This Row],[RiskCategory]]="High Risk"),"High",
TRUE,"Normal"
)</f>
        <v>Critical</v>
      </c>
    </row>
    <row r="1088" spans="1:20" x14ac:dyDescent="0.35">
      <c r="A1088" t="s">
        <v>1825</v>
      </c>
      <c r="B1088" t="s">
        <v>1826</v>
      </c>
      <c r="C1088" t="s">
        <v>170</v>
      </c>
      <c r="D1088" t="s">
        <v>155</v>
      </c>
      <c r="E1088" s="34">
        <v>100000</v>
      </c>
      <c r="F1088" s="29">
        <v>0.21959999999999999</v>
      </c>
      <c r="G1088" s="30">
        <v>45306</v>
      </c>
      <c r="H1088">
        <v>60</v>
      </c>
      <c r="I1088">
        <v>0</v>
      </c>
      <c r="J1088" s="34">
        <v>0</v>
      </c>
      <c r="K1088" t="s">
        <v>171</v>
      </c>
      <c r="L1088" s="34">
        <f>PMT(Loans[[#This Row],[InterestRate]]/12,Loans[[#This Row],[LoanTenureMonths]],-Loans[[#This Row],[LoanAmount]])</f>
        <v>2759.617414767411</v>
      </c>
      <c r="M1088" s="30">
        <f>EDATE(Loans[[#This Row],[LoanStartDate]],Loans[[#This Row],[LoanTenureMonths]])</f>
        <v>47133</v>
      </c>
      <c r="N1088" s="33">
        <f>IF(Loans[[#This Row],[LoanAmount]]=0,0,Loans[[#This Row],[CollateralValue]]/Loans[[#This Row],[LoanAmount]])</f>
        <v>0</v>
      </c>
      <c r="O1088" t="str">
        <f>IF(Loans[[#This Row],[CollateralCoverageRatio]]&lt;1,"Undersecured","Secured")</f>
        <v>Undersecured</v>
      </c>
      <c r="P1088" t="str">
        <f>_xlfn.XLOOKUP(Loans[[#This Row],[BranchCode]],BranchesTbl[BranchCode],BranchesTbl[BranchName])</f>
        <v>Thika</v>
      </c>
      <c r="Q1088">
        <f>_xlfn.XLOOKUP(Loans[[#This Row],[CustomerID]],CustomerTbl[CustomerID],CustomerTbl[RiskScore])</f>
        <v>498</v>
      </c>
      <c r="R1088" t="str">
        <f>IFERROR(INDEX(RiskTbl[Risk_Category],MATCH(Loans[[#This Row],[RiskScore]],RiskTbl[Score_Min],1)),"Unknown")</f>
        <v>High Risk</v>
      </c>
      <c r="S1088" t="str">
        <f>IF(OR(Loans[[#This Row],[LoanStatus]]="Default",Loans[[#This Row],[LoanStatus]]="Watchlist",Loans[[#This Row],[CollateralRisk]]="Undersecured",Loans[[#This Row],[RiskCategory]]="High Risk"),"High Risk Exposure","Normal")</f>
        <v>High Risk Exposure</v>
      </c>
      <c r="T1088" t="str" cm="1">
        <f t="array" ref="T1088">_xlfn.IFS(
Loans[[#This Row],[LoanStatus]]="Default","Critical",
OR(Loans[[#This Row],[LoanStatus]]="Watchlist",Loans[[#This Row],[CollateralRisk]]="Undersecured",Loans[[#This Row],[RiskCategory]]="High Risk"),"High",
TRUE,"Normal"
)</f>
        <v>High</v>
      </c>
    </row>
    <row r="1089" spans="1:20" x14ac:dyDescent="0.35">
      <c r="A1089" t="s">
        <v>1827</v>
      </c>
      <c r="B1089" t="s">
        <v>254</v>
      </c>
      <c r="C1089" t="s">
        <v>239</v>
      </c>
      <c r="D1089" t="s">
        <v>156</v>
      </c>
      <c r="E1089" s="34">
        <v>1000000</v>
      </c>
      <c r="F1089" s="29">
        <v>0.1492</v>
      </c>
      <c r="G1089" s="30">
        <v>45111</v>
      </c>
      <c r="H1089">
        <v>60</v>
      </c>
      <c r="I1089">
        <v>0</v>
      </c>
      <c r="J1089" s="34">
        <v>1170000</v>
      </c>
      <c r="K1089" t="s">
        <v>171</v>
      </c>
      <c r="L1089" s="34">
        <f>PMT(Loans[[#This Row],[InterestRate]]/12,Loans[[#This Row],[LoanTenureMonths]],-Loans[[#This Row],[LoanAmount]])</f>
        <v>23747.957741655202</v>
      </c>
      <c r="M1089" s="30">
        <f>EDATE(Loans[[#This Row],[LoanStartDate]],Loans[[#This Row],[LoanTenureMonths]])</f>
        <v>46938</v>
      </c>
      <c r="N1089" s="33">
        <f>IF(Loans[[#This Row],[LoanAmount]]=0,0,Loans[[#This Row],[CollateralValue]]/Loans[[#This Row],[LoanAmount]])</f>
        <v>1.17</v>
      </c>
      <c r="O1089" t="str">
        <f>IF(Loans[[#This Row],[CollateralCoverageRatio]]&lt;1,"Undersecured","Secured")</f>
        <v>Secured</v>
      </c>
      <c r="P1089" t="str">
        <f>_xlfn.XLOOKUP(Loans[[#This Row],[BranchCode]],BranchesTbl[BranchCode],BranchesTbl[BranchName])</f>
        <v>Machakos</v>
      </c>
      <c r="Q1089">
        <f>_xlfn.XLOOKUP(Loans[[#This Row],[CustomerID]],CustomerTbl[CustomerID],CustomerTbl[RiskScore])</f>
        <v>535</v>
      </c>
      <c r="R1089" t="str">
        <f>IFERROR(INDEX(RiskTbl[Risk_Category],MATCH(Loans[[#This Row],[RiskScore]],RiskTbl[Score_Min],1)),"Unknown")</f>
        <v>High Risk</v>
      </c>
      <c r="S1089" t="str">
        <f>IF(OR(Loans[[#This Row],[LoanStatus]]="Default",Loans[[#This Row],[LoanStatus]]="Watchlist",Loans[[#This Row],[CollateralRisk]]="Undersecured",Loans[[#This Row],[RiskCategory]]="High Risk"),"High Risk Exposure","Normal")</f>
        <v>High Risk Exposure</v>
      </c>
      <c r="T1089" t="str" cm="1">
        <f t="array" ref="T1089">_xlfn.IFS(
Loans[[#This Row],[LoanStatus]]="Default","Critical",
OR(Loans[[#This Row],[LoanStatus]]="Watchlist",Loans[[#This Row],[CollateralRisk]]="Undersecured",Loans[[#This Row],[RiskCategory]]="High Risk"),"High",
TRUE,"Normal"
)</f>
        <v>High</v>
      </c>
    </row>
    <row r="1090" spans="1:20" x14ac:dyDescent="0.35">
      <c r="A1090" t="s">
        <v>1828</v>
      </c>
      <c r="B1090" t="s">
        <v>481</v>
      </c>
      <c r="C1090" t="s">
        <v>239</v>
      </c>
      <c r="D1090" t="s">
        <v>155</v>
      </c>
      <c r="E1090" s="34">
        <v>250000</v>
      </c>
      <c r="F1090" s="29">
        <v>0.22869999999999999</v>
      </c>
      <c r="G1090" s="30">
        <v>44179</v>
      </c>
      <c r="H1090">
        <v>24</v>
      </c>
      <c r="I1090">
        <v>90</v>
      </c>
      <c r="J1090" s="34">
        <v>0</v>
      </c>
      <c r="K1090" t="s">
        <v>199</v>
      </c>
      <c r="L1090" s="34">
        <f>PMT(Loans[[#This Row],[InterestRate]]/12,Loans[[#This Row],[LoanTenureMonths]],-Loans[[#This Row],[LoanAmount]])</f>
        <v>13077.196724549178</v>
      </c>
      <c r="M1090" s="30">
        <f>EDATE(Loans[[#This Row],[LoanStartDate]],Loans[[#This Row],[LoanTenureMonths]])</f>
        <v>44909</v>
      </c>
      <c r="N1090" s="33">
        <f>IF(Loans[[#This Row],[LoanAmount]]=0,0,Loans[[#This Row],[CollateralValue]]/Loans[[#This Row],[LoanAmount]])</f>
        <v>0</v>
      </c>
      <c r="O1090" t="str">
        <f>IF(Loans[[#This Row],[CollateralCoverageRatio]]&lt;1,"Undersecured","Secured")</f>
        <v>Undersecured</v>
      </c>
      <c r="P1090" t="str">
        <f>_xlfn.XLOOKUP(Loans[[#This Row],[BranchCode]],BranchesTbl[BranchCode],BranchesTbl[BranchName])</f>
        <v>Machakos</v>
      </c>
      <c r="Q1090">
        <f>_xlfn.XLOOKUP(Loans[[#This Row],[CustomerID]],CustomerTbl[CustomerID],CustomerTbl[RiskScore])</f>
        <v>383</v>
      </c>
      <c r="R1090" t="str">
        <f>IFERROR(INDEX(RiskTbl[Risk_Category],MATCH(Loans[[#This Row],[RiskScore]],RiskTbl[Score_Min],1)),"Unknown")</f>
        <v>High Risk</v>
      </c>
      <c r="S1090" t="str">
        <f>IF(OR(Loans[[#This Row],[LoanStatus]]="Default",Loans[[#This Row],[LoanStatus]]="Watchlist",Loans[[#This Row],[CollateralRisk]]="Undersecured",Loans[[#This Row],[RiskCategory]]="High Risk"),"High Risk Exposure","Normal")</f>
        <v>High Risk Exposure</v>
      </c>
      <c r="T1090" t="str" cm="1">
        <f t="array" ref="T1090">_xlfn.IFS(
Loans[[#This Row],[LoanStatus]]="Default","Critical",
OR(Loans[[#This Row],[LoanStatus]]="Watchlist",Loans[[#This Row],[CollateralRisk]]="Undersecured",Loans[[#This Row],[RiskCategory]]="High Risk"),"High",
TRUE,"Normal"
)</f>
        <v>High</v>
      </c>
    </row>
    <row r="1091" spans="1:20" x14ac:dyDescent="0.35">
      <c r="A1091" t="s">
        <v>1829</v>
      </c>
      <c r="B1091" t="s">
        <v>1220</v>
      </c>
      <c r="C1091" t="s">
        <v>196</v>
      </c>
      <c r="D1091" t="s">
        <v>155</v>
      </c>
      <c r="E1091" s="34">
        <v>250000</v>
      </c>
      <c r="F1091" s="29">
        <v>0.17169999999999999</v>
      </c>
      <c r="G1091" s="30">
        <v>45207</v>
      </c>
      <c r="H1091">
        <v>24</v>
      </c>
      <c r="I1091">
        <v>90</v>
      </c>
      <c r="J1091" s="34">
        <v>0</v>
      </c>
      <c r="K1091" t="s">
        <v>199</v>
      </c>
      <c r="L1091" s="34">
        <f>PMT(Loans[[#This Row],[InterestRate]]/12,Loans[[#This Row],[LoanTenureMonths]],-Loans[[#This Row],[LoanAmount]])</f>
        <v>12380.996834153571</v>
      </c>
      <c r="M1091" s="30">
        <f>EDATE(Loans[[#This Row],[LoanStartDate]],Loans[[#This Row],[LoanTenureMonths]])</f>
        <v>45938</v>
      </c>
      <c r="N1091" s="33">
        <f>IF(Loans[[#This Row],[LoanAmount]]=0,0,Loans[[#This Row],[CollateralValue]]/Loans[[#This Row],[LoanAmount]])</f>
        <v>0</v>
      </c>
      <c r="O1091" t="str">
        <f>IF(Loans[[#This Row],[CollateralCoverageRatio]]&lt;1,"Undersecured","Secured")</f>
        <v>Undersecured</v>
      </c>
      <c r="P1091" t="str">
        <f>_xlfn.XLOOKUP(Loans[[#This Row],[BranchCode]],BranchesTbl[BranchCode],BranchesTbl[BranchName])</f>
        <v>Karen</v>
      </c>
      <c r="Q1091">
        <f>_xlfn.XLOOKUP(Loans[[#This Row],[CustomerID]],CustomerTbl[CustomerID],CustomerTbl[RiskScore])</f>
        <v>463</v>
      </c>
      <c r="R1091" t="str">
        <f>IFERROR(INDEX(RiskTbl[Risk_Category],MATCH(Loans[[#This Row],[RiskScore]],RiskTbl[Score_Min],1)),"Unknown")</f>
        <v>High Risk</v>
      </c>
      <c r="S1091" t="str">
        <f>IF(OR(Loans[[#This Row],[LoanStatus]]="Default",Loans[[#This Row],[LoanStatus]]="Watchlist",Loans[[#This Row],[CollateralRisk]]="Undersecured",Loans[[#This Row],[RiskCategory]]="High Risk"),"High Risk Exposure","Normal")</f>
        <v>High Risk Exposure</v>
      </c>
      <c r="T1091" t="str" cm="1">
        <f t="array" ref="T1091">_xlfn.IFS(
Loans[[#This Row],[LoanStatus]]="Default","Critical",
OR(Loans[[#This Row],[LoanStatus]]="Watchlist",Loans[[#This Row],[CollateralRisk]]="Undersecured",Loans[[#This Row],[RiskCategory]]="High Risk"),"High",
TRUE,"Normal"
)</f>
        <v>High</v>
      </c>
    </row>
    <row r="1092" spans="1:20" x14ac:dyDescent="0.35">
      <c r="A1092" t="s">
        <v>1830</v>
      </c>
      <c r="B1092" t="s">
        <v>665</v>
      </c>
      <c r="C1092" t="s">
        <v>239</v>
      </c>
      <c r="D1092" t="s">
        <v>158</v>
      </c>
      <c r="E1092" s="34">
        <v>6000000</v>
      </c>
      <c r="F1092" s="29">
        <v>0.1552</v>
      </c>
      <c r="G1092" s="30">
        <v>44646</v>
      </c>
      <c r="H1092">
        <v>60</v>
      </c>
      <c r="I1092">
        <v>0</v>
      </c>
      <c r="J1092" s="34">
        <v>6900000</v>
      </c>
      <c r="K1092" t="s">
        <v>171</v>
      </c>
      <c r="L1092" s="34">
        <f>PMT(Loans[[#This Row],[InterestRate]]/12,Loans[[#This Row],[LoanTenureMonths]],-Loans[[#This Row],[LoanAmount]])</f>
        <v>144382.52970658307</v>
      </c>
      <c r="M1092" s="30">
        <f>EDATE(Loans[[#This Row],[LoanStartDate]],Loans[[#This Row],[LoanTenureMonths]])</f>
        <v>46472</v>
      </c>
      <c r="N1092" s="33">
        <f>IF(Loans[[#This Row],[LoanAmount]]=0,0,Loans[[#This Row],[CollateralValue]]/Loans[[#This Row],[LoanAmount]])</f>
        <v>1.1499999999999999</v>
      </c>
      <c r="O1092" t="str">
        <f>IF(Loans[[#This Row],[CollateralCoverageRatio]]&lt;1,"Undersecured","Secured")</f>
        <v>Secured</v>
      </c>
      <c r="P1092" t="str">
        <f>_xlfn.XLOOKUP(Loans[[#This Row],[BranchCode]],BranchesTbl[BranchCode],BranchesTbl[BranchName])</f>
        <v>Machakos</v>
      </c>
      <c r="Q1092">
        <f>_xlfn.XLOOKUP(Loans[[#This Row],[CustomerID]],CustomerTbl[CustomerID],CustomerTbl[RiskScore])</f>
        <v>376</v>
      </c>
      <c r="R1092" t="str">
        <f>IFERROR(INDEX(RiskTbl[Risk_Category],MATCH(Loans[[#This Row],[RiskScore]],RiskTbl[Score_Min],1)),"Unknown")</f>
        <v>High Risk</v>
      </c>
      <c r="S1092" t="str">
        <f>IF(OR(Loans[[#This Row],[LoanStatus]]="Default",Loans[[#This Row],[LoanStatus]]="Watchlist",Loans[[#This Row],[CollateralRisk]]="Undersecured",Loans[[#This Row],[RiskCategory]]="High Risk"),"High Risk Exposure","Normal")</f>
        <v>High Risk Exposure</v>
      </c>
      <c r="T1092" t="str" cm="1">
        <f t="array" ref="T1092">_xlfn.IFS(
Loans[[#This Row],[LoanStatus]]="Default","Critical",
OR(Loans[[#This Row],[LoanStatus]]="Watchlist",Loans[[#This Row],[CollateralRisk]]="Undersecured",Loans[[#This Row],[RiskCategory]]="High Risk"),"High",
TRUE,"Normal"
)</f>
        <v>High</v>
      </c>
    </row>
    <row r="1093" spans="1:20" x14ac:dyDescent="0.35">
      <c r="A1093" t="s">
        <v>1831</v>
      </c>
      <c r="B1093" t="s">
        <v>260</v>
      </c>
      <c r="C1093" t="s">
        <v>187</v>
      </c>
      <c r="D1093" t="s">
        <v>155</v>
      </c>
      <c r="E1093" s="34">
        <v>100000</v>
      </c>
      <c r="F1093" s="29">
        <v>0.25190000000000001</v>
      </c>
      <c r="G1093" s="30">
        <v>45971</v>
      </c>
      <c r="H1093">
        <v>36</v>
      </c>
      <c r="I1093">
        <v>0</v>
      </c>
      <c r="J1093" s="34">
        <v>0</v>
      </c>
      <c r="K1093" t="s">
        <v>171</v>
      </c>
      <c r="L1093" s="34">
        <f>PMT(Loans[[#This Row],[InterestRate]]/12,Loans[[#This Row],[LoanTenureMonths]],-Loans[[#This Row],[LoanAmount]])</f>
        <v>3986.0383478659164</v>
      </c>
      <c r="M1093" s="30">
        <f>EDATE(Loans[[#This Row],[LoanStartDate]],Loans[[#This Row],[LoanTenureMonths]])</f>
        <v>47067</v>
      </c>
      <c r="N1093" s="33">
        <f>IF(Loans[[#This Row],[LoanAmount]]=0,0,Loans[[#This Row],[CollateralValue]]/Loans[[#This Row],[LoanAmount]])</f>
        <v>0</v>
      </c>
      <c r="O1093" t="str">
        <f>IF(Loans[[#This Row],[CollateralCoverageRatio]]&lt;1,"Undersecured","Secured")</f>
        <v>Undersecured</v>
      </c>
      <c r="P1093" t="str">
        <f>_xlfn.XLOOKUP(Loans[[#This Row],[BranchCode]],BranchesTbl[BranchCode],BranchesTbl[BranchName])</f>
        <v>Eldoret</v>
      </c>
      <c r="Q1093">
        <f>_xlfn.XLOOKUP(Loans[[#This Row],[CustomerID]],CustomerTbl[CustomerID],CustomerTbl[RiskScore])</f>
        <v>350</v>
      </c>
      <c r="R1093" t="str">
        <f>IFERROR(INDEX(RiskTbl[Risk_Category],MATCH(Loans[[#This Row],[RiskScore]],RiskTbl[Score_Min],1)),"Unknown")</f>
        <v>High Risk</v>
      </c>
      <c r="S1093" t="str">
        <f>IF(OR(Loans[[#This Row],[LoanStatus]]="Default",Loans[[#This Row],[LoanStatus]]="Watchlist",Loans[[#This Row],[CollateralRisk]]="Undersecured",Loans[[#This Row],[RiskCategory]]="High Risk"),"High Risk Exposure","Normal")</f>
        <v>High Risk Exposure</v>
      </c>
      <c r="T1093" t="str" cm="1">
        <f t="array" ref="T1093">_xlfn.IFS(
Loans[[#This Row],[LoanStatus]]="Default","Critical",
OR(Loans[[#This Row],[LoanStatus]]="Watchlist",Loans[[#This Row],[CollateralRisk]]="Undersecured",Loans[[#This Row],[RiskCategory]]="High Risk"),"High",
TRUE,"Normal"
)</f>
        <v>High</v>
      </c>
    </row>
    <row r="1094" spans="1:20" x14ac:dyDescent="0.35">
      <c r="A1094" t="s">
        <v>1832</v>
      </c>
      <c r="B1094" t="s">
        <v>1368</v>
      </c>
      <c r="C1094" t="s">
        <v>239</v>
      </c>
      <c r="D1094" t="s">
        <v>155</v>
      </c>
      <c r="E1094" s="34">
        <v>1000000</v>
      </c>
      <c r="F1094" s="29">
        <v>0.17069999999999999</v>
      </c>
      <c r="G1094" s="30">
        <v>45364</v>
      </c>
      <c r="H1094">
        <v>72</v>
      </c>
      <c r="I1094">
        <v>45</v>
      </c>
      <c r="J1094" s="34">
        <v>0</v>
      </c>
      <c r="K1094" t="s">
        <v>199</v>
      </c>
      <c r="L1094" s="34">
        <f>PMT(Loans[[#This Row],[InterestRate]]/12,Loans[[#This Row],[LoanTenureMonths]],-Loans[[#This Row],[LoanAmount]])</f>
        <v>22285.208581888433</v>
      </c>
      <c r="M1094" s="30">
        <f>EDATE(Loans[[#This Row],[LoanStartDate]],Loans[[#This Row],[LoanTenureMonths]])</f>
        <v>47555</v>
      </c>
      <c r="N1094" s="33">
        <f>IF(Loans[[#This Row],[LoanAmount]]=0,0,Loans[[#This Row],[CollateralValue]]/Loans[[#This Row],[LoanAmount]])</f>
        <v>0</v>
      </c>
      <c r="O1094" t="str">
        <f>IF(Loans[[#This Row],[CollateralCoverageRatio]]&lt;1,"Undersecured","Secured")</f>
        <v>Undersecured</v>
      </c>
      <c r="P1094" t="str">
        <f>_xlfn.XLOOKUP(Loans[[#This Row],[BranchCode]],BranchesTbl[BranchCode],BranchesTbl[BranchName])</f>
        <v>Machakos</v>
      </c>
      <c r="Q1094">
        <f>_xlfn.XLOOKUP(Loans[[#This Row],[CustomerID]],CustomerTbl[CustomerID],CustomerTbl[RiskScore])</f>
        <v>735</v>
      </c>
      <c r="R1094" t="str">
        <f>IFERROR(INDEX(RiskTbl[Risk_Category],MATCH(Loans[[#This Row],[RiskScore]],RiskTbl[Score_Min],1)),"Unknown")</f>
        <v>Low Risk</v>
      </c>
      <c r="S1094" t="str">
        <f>IF(OR(Loans[[#This Row],[LoanStatus]]="Default",Loans[[#This Row],[LoanStatus]]="Watchlist",Loans[[#This Row],[CollateralRisk]]="Undersecured",Loans[[#This Row],[RiskCategory]]="High Risk"),"High Risk Exposure","Normal")</f>
        <v>High Risk Exposure</v>
      </c>
      <c r="T1094" t="str" cm="1">
        <f t="array" ref="T1094">_xlfn.IFS(
Loans[[#This Row],[LoanStatus]]="Default","Critical",
OR(Loans[[#This Row],[LoanStatus]]="Watchlist",Loans[[#This Row],[CollateralRisk]]="Undersecured",Loans[[#This Row],[RiskCategory]]="High Risk"),"High",
TRUE,"Normal"
)</f>
        <v>High</v>
      </c>
    </row>
    <row r="1095" spans="1:20" x14ac:dyDescent="0.35">
      <c r="A1095" t="s">
        <v>1833</v>
      </c>
      <c r="B1095" t="s">
        <v>1454</v>
      </c>
      <c r="C1095" t="s">
        <v>177</v>
      </c>
      <c r="D1095" t="s">
        <v>158</v>
      </c>
      <c r="E1095" s="34">
        <v>1000000</v>
      </c>
      <c r="F1095" s="29">
        <v>0.13189999999999999</v>
      </c>
      <c r="G1095" s="30">
        <v>45767</v>
      </c>
      <c r="H1095">
        <v>48</v>
      </c>
      <c r="I1095">
        <v>0</v>
      </c>
      <c r="J1095" s="34">
        <v>720000</v>
      </c>
      <c r="K1095" t="s">
        <v>171</v>
      </c>
      <c r="L1095" s="34">
        <f>PMT(Loans[[#This Row],[InterestRate]]/12,Loans[[#This Row],[LoanTenureMonths]],-Loans[[#This Row],[LoanAmount]])</f>
        <v>26921.893687453859</v>
      </c>
      <c r="M1095" s="30">
        <f>EDATE(Loans[[#This Row],[LoanStartDate]],Loans[[#This Row],[LoanTenureMonths]])</f>
        <v>47228</v>
      </c>
      <c r="N1095" s="33">
        <f>IF(Loans[[#This Row],[LoanAmount]]=0,0,Loans[[#This Row],[CollateralValue]]/Loans[[#This Row],[LoanAmount]])</f>
        <v>0.72</v>
      </c>
      <c r="O1095" t="str">
        <f>IF(Loans[[#This Row],[CollateralCoverageRatio]]&lt;1,"Undersecured","Secured")</f>
        <v>Undersecured</v>
      </c>
      <c r="P1095" t="str">
        <f>_xlfn.XLOOKUP(Loans[[#This Row],[BranchCode]],BranchesTbl[BranchCode],BranchesTbl[BranchName])</f>
        <v>Naivasha</v>
      </c>
      <c r="Q1095">
        <f>_xlfn.XLOOKUP(Loans[[#This Row],[CustomerID]],CustomerTbl[CustomerID],CustomerTbl[RiskScore])</f>
        <v>502</v>
      </c>
      <c r="R1095" t="str">
        <f>IFERROR(INDEX(RiskTbl[Risk_Category],MATCH(Loans[[#This Row],[RiskScore]],RiskTbl[Score_Min],1)),"Unknown")</f>
        <v>High Risk</v>
      </c>
      <c r="S1095" t="str">
        <f>IF(OR(Loans[[#This Row],[LoanStatus]]="Default",Loans[[#This Row],[LoanStatus]]="Watchlist",Loans[[#This Row],[CollateralRisk]]="Undersecured",Loans[[#This Row],[RiskCategory]]="High Risk"),"High Risk Exposure","Normal")</f>
        <v>High Risk Exposure</v>
      </c>
      <c r="T1095" t="str" cm="1">
        <f t="array" ref="T1095">_xlfn.IFS(
Loans[[#This Row],[LoanStatus]]="Default","Critical",
OR(Loans[[#This Row],[LoanStatus]]="Watchlist",Loans[[#This Row],[CollateralRisk]]="Undersecured",Loans[[#This Row],[RiskCategory]]="High Risk"),"High",
TRUE,"Normal"
)</f>
        <v>High</v>
      </c>
    </row>
    <row r="1096" spans="1:20" x14ac:dyDescent="0.35">
      <c r="A1096" t="s">
        <v>1834</v>
      </c>
      <c r="B1096" t="s">
        <v>1146</v>
      </c>
      <c r="C1096" t="s">
        <v>174</v>
      </c>
      <c r="D1096" t="s">
        <v>157</v>
      </c>
      <c r="E1096" s="34">
        <v>80000000</v>
      </c>
      <c r="F1096" s="29">
        <v>9.4799999999999995E-2</v>
      </c>
      <c r="G1096" s="30">
        <v>45296</v>
      </c>
      <c r="H1096">
        <v>36</v>
      </c>
      <c r="I1096">
        <v>20</v>
      </c>
      <c r="J1096" s="34">
        <v>72800000</v>
      </c>
      <c r="K1096" t="s">
        <v>171</v>
      </c>
      <c r="L1096" s="34">
        <f>PMT(Loans[[#This Row],[InterestRate]]/12,Loans[[#This Row],[LoanTenureMonths]],-Loans[[#This Row],[LoanAmount]])</f>
        <v>2561888.1165171484</v>
      </c>
      <c r="M1096" s="30">
        <f>EDATE(Loans[[#This Row],[LoanStartDate]],Loans[[#This Row],[LoanTenureMonths]])</f>
        <v>46392</v>
      </c>
      <c r="N1096" s="33">
        <f>IF(Loans[[#This Row],[LoanAmount]]=0,0,Loans[[#This Row],[CollateralValue]]/Loans[[#This Row],[LoanAmount]])</f>
        <v>0.91</v>
      </c>
      <c r="O1096" t="str">
        <f>IF(Loans[[#This Row],[CollateralCoverageRatio]]&lt;1,"Undersecured","Secured")</f>
        <v>Undersecured</v>
      </c>
      <c r="P1096" t="str">
        <f>_xlfn.XLOOKUP(Loans[[#This Row],[BranchCode]],BranchesTbl[BranchCode],BranchesTbl[BranchName])</f>
        <v>Westlands</v>
      </c>
      <c r="Q1096">
        <f>_xlfn.XLOOKUP(Loans[[#This Row],[CustomerID]],CustomerTbl[CustomerID],CustomerTbl[RiskScore])</f>
        <v>514</v>
      </c>
      <c r="R1096" t="str">
        <f>IFERROR(INDEX(RiskTbl[Risk_Category],MATCH(Loans[[#This Row],[RiskScore]],RiskTbl[Score_Min],1)),"Unknown")</f>
        <v>High Risk</v>
      </c>
      <c r="S1096" t="str">
        <f>IF(OR(Loans[[#This Row],[LoanStatus]]="Default",Loans[[#This Row],[LoanStatus]]="Watchlist",Loans[[#This Row],[CollateralRisk]]="Undersecured",Loans[[#This Row],[RiskCategory]]="High Risk"),"High Risk Exposure","Normal")</f>
        <v>High Risk Exposure</v>
      </c>
      <c r="T1096" t="str" cm="1">
        <f t="array" ref="T1096">_xlfn.IFS(
Loans[[#This Row],[LoanStatus]]="Default","Critical",
OR(Loans[[#This Row],[LoanStatus]]="Watchlist",Loans[[#This Row],[CollateralRisk]]="Undersecured",Loans[[#This Row],[RiskCategory]]="High Risk"),"High",
TRUE,"Normal"
)</f>
        <v>High</v>
      </c>
    </row>
    <row r="1097" spans="1:20" x14ac:dyDescent="0.35">
      <c r="A1097" t="s">
        <v>1835</v>
      </c>
      <c r="B1097" t="s">
        <v>912</v>
      </c>
      <c r="C1097" t="s">
        <v>184</v>
      </c>
      <c r="D1097" t="s">
        <v>156</v>
      </c>
      <c r="E1097" s="34">
        <v>1000000</v>
      </c>
      <c r="F1097" s="29">
        <v>0.1517</v>
      </c>
      <c r="G1097" s="30">
        <v>44788</v>
      </c>
      <c r="H1097">
        <v>60</v>
      </c>
      <c r="I1097">
        <v>0</v>
      </c>
      <c r="J1097" s="34">
        <v>520000</v>
      </c>
      <c r="K1097" t="s">
        <v>171</v>
      </c>
      <c r="L1097" s="34">
        <f>PMT(Loans[[#This Row],[InterestRate]]/12,Loans[[#This Row],[LoanTenureMonths]],-Loans[[#This Row],[LoanAmount]])</f>
        <v>23879.258303828345</v>
      </c>
      <c r="M1097" s="30">
        <f>EDATE(Loans[[#This Row],[LoanStartDate]],Loans[[#This Row],[LoanTenureMonths]])</f>
        <v>46614</v>
      </c>
      <c r="N1097" s="33">
        <f>IF(Loans[[#This Row],[LoanAmount]]=0,0,Loans[[#This Row],[CollateralValue]]/Loans[[#This Row],[LoanAmount]])</f>
        <v>0.52</v>
      </c>
      <c r="O1097" t="str">
        <f>IF(Loans[[#This Row],[CollateralCoverageRatio]]&lt;1,"Undersecured","Secured")</f>
        <v>Undersecured</v>
      </c>
      <c r="P1097" t="str">
        <f>_xlfn.XLOOKUP(Loans[[#This Row],[BranchCode]],BranchesTbl[BranchCode],BranchesTbl[BranchName])</f>
        <v>Kisumu</v>
      </c>
      <c r="Q1097">
        <f>_xlfn.XLOOKUP(Loans[[#This Row],[CustomerID]],CustomerTbl[CustomerID],CustomerTbl[RiskScore])</f>
        <v>698</v>
      </c>
      <c r="R1097" t="str">
        <f>IFERROR(INDEX(RiskTbl[Risk_Category],MATCH(Loans[[#This Row],[RiskScore]],RiskTbl[Score_Min],1)),"Unknown")</f>
        <v>Low Risk</v>
      </c>
      <c r="S1097" t="str">
        <f>IF(OR(Loans[[#This Row],[LoanStatus]]="Default",Loans[[#This Row],[LoanStatus]]="Watchlist",Loans[[#This Row],[CollateralRisk]]="Undersecured",Loans[[#This Row],[RiskCategory]]="High Risk"),"High Risk Exposure","Normal")</f>
        <v>High Risk Exposure</v>
      </c>
      <c r="T1097" t="str" cm="1">
        <f t="array" ref="T1097">_xlfn.IFS(
Loans[[#This Row],[LoanStatus]]="Default","Critical",
OR(Loans[[#This Row],[LoanStatus]]="Watchlist",Loans[[#This Row],[CollateralRisk]]="Undersecured",Loans[[#This Row],[RiskCategory]]="High Risk"),"High",
TRUE,"Normal"
)</f>
        <v>High</v>
      </c>
    </row>
    <row r="1098" spans="1:20" x14ac:dyDescent="0.35">
      <c r="A1098" t="s">
        <v>1836</v>
      </c>
      <c r="B1098" t="s">
        <v>434</v>
      </c>
      <c r="C1098" t="s">
        <v>190</v>
      </c>
      <c r="D1098" t="s">
        <v>157</v>
      </c>
      <c r="E1098" s="34">
        <v>6000000</v>
      </c>
      <c r="F1098" s="29">
        <v>9.3200000000000005E-2</v>
      </c>
      <c r="G1098" s="30">
        <v>44659</v>
      </c>
      <c r="H1098">
        <v>60</v>
      </c>
      <c r="I1098">
        <v>45</v>
      </c>
      <c r="J1098" s="34">
        <v>7260000</v>
      </c>
      <c r="K1098" t="s">
        <v>199</v>
      </c>
      <c r="L1098" s="34">
        <f>PMT(Loans[[#This Row],[InterestRate]]/12,Loans[[#This Row],[LoanTenureMonths]],-Loans[[#This Row],[LoanAmount]])</f>
        <v>125484.03380704313</v>
      </c>
      <c r="M1098" s="30">
        <f>EDATE(Loans[[#This Row],[LoanStartDate]],Loans[[#This Row],[LoanTenureMonths]])</f>
        <v>46485</v>
      </c>
      <c r="N1098" s="33">
        <f>IF(Loans[[#This Row],[LoanAmount]]=0,0,Loans[[#This Row],[CollateralValue]]/Loans[[#This Row],[LoanAmount]])</f>
        <v>1.21</v>
      </c>
      <c r="O1098" t="str">
        <f>IF(Loans[[#This Row],[CollateralCoverageRatio]]&lt;1,"Undersecured","Secured")</f>
        <v>Secured</v>
      </c>
      <c r="P1098" t="str">
        <f>_xlfn.XLOOKUP(Loans[[#This Row],[BranchCode]],BranchesTbl[BranchCode],BranchesTbl[BranchName])</f>
        <v>Nyeri</v>
      </c>
      <c r="Q1098">
        <f>_xlfn.XLOOKUP(Loans[[#This Row],[CustomerID]],CustomerTbl[CustomerID],CustomerTbl[RiskScore])</f>
        <v>642</v>
      </c>
      <c r="R1098" t="str">
        <f>IFERROR(INDEX(RiskTbl[Risk_Category],MATCH(Loans[[#This Row],[RiskScore]],RiskTbl[Score_Min],1)),"Unknown")</f>
        <v>Medium Risk</v>
      </c>
      <c r="S1098" t="str">
        <f>IF(OR(Loans[[#This Row],[LoanStatus]]="Default",Loans[[#This Row],[LoanStatus]]="Watchlist",Loans[[#This Row],[CollateralRisk]]="Undersecured",Loans[[#This Row],[RiskCategory]]="High Risk"),"High Risk Exposure","Normal")</f>
        <v>High Risk Exposure</v>
      </c>
      <c r="T1098" t="str" cm="1">
        <f t="array" ref="T1098">_xlfn.IFS(
Loans[[#This Row],[LoanStatus]]="Default","Critical",
OR(Loans[[#This Row],[LoanStatus]]="Watchlist",Loans[[#This Row],[CollateralRisk]]="Undersecured",Loans[[#This Row],[RiskCategory]]="High Risk"),"High",
TRUE,"Normal"
)</f>
        <v>High</v>
      </c>
    </row>
    <row r="1099" spans="1:20" x14ac:dyDescent="0.35">
      <c r="A1099" t="s">
        <v>1837</v>
      </c>
      <c r="B1099" t="s">
        <v>298</v>
      </c>
      <c r="C1099" t="s">
        <v>181</v>
      </c>
      <c r="D1099" t="s">
        <v>156</v>
      </c>
      <c r="E1099" s="34">
        <v>25000000</v>
      </c>
      <c r="F1099" s="29">
        <v>0.2157</v>
      </c>
      <c r="G1099" s="30">
        <v>44294</v>
      </c>
      <c r="H1099">
        <v>24</v>
      </c>
      <c r="I1099">
        <v>90</v>
      </c>
      <c r="J1099" s="34">
        <v>34250000</v>
      </c>
      <c r="K1099" t="s">
        <v>199</v>
      </c>
      <c r="L1099" s="34">
        <f>PMT(Loans[[#This Row],[InterestRate]]/12,Loans[[#This Row],[LoanTenureMonths]],-Loans[[#This Row],[LoanAmount]])</f>
        <v>1291651.3283548569</v>
      </c>
      <c r="M1099" s="30">
        <f>EDATE(Loans[[#This Row],[LoanStartDate]],Loans[[#This Row],[LoanTenureMonths]])</f>
        <v>45024</v>
      </c>
      <c r="N1099" s="33">
        <f>IF(Loans[[#This Row],[LoanAmount]]=0,0,Loans[[#This Row],[CollateralValue]]/Loans[[#This Row],[LoanAmount]])</f>
        <v>1.37</v>
      </c>
      <c r="O1099" t="str">
        <f>IF(Loans[[#This Row],[CollateralCoverageRatio]]&lt;1,"Undersecured","Secured")</f>
        <v>Secured</v>
      </c>
      <c r="P1099" t="str">
        <f>_xlfn.XLOOKUP(Loans[[#This Row],[BranchCode]],BranchesTbl[BranchCode],BranchesTbl[BranchName])</f>
        <v>Kitale</v>
      </c>
      <c r="Q1099">
        <f>_xlfn.XLOOKUP(Loans[[#This Row],[CustomerID]],CustomerTbl[CustomerID],CustomerTbl[RiskScore])</f>
        <v>324</v>
      </c>
      <c r="R1099" t="str">
        <f>IFERROR(INDEX(RiskTbl[Risk_Category],MATCH(Loans[[#This Row],[RiskScore]],RiskTbl[Score_Min],1)),"Unknown")</f>
        <v>High Risk</v>
      </c>
      <c r="S1099" t="str">
        <f>IF(OR(Loans[[#This Row],[LoanStatus]]="Default",Loans[[#This Row],[LoanStatus]]="Watchlist",Loans[[#This Row],[CollateralRisk]]="Undersecured",Loans[[#This Row],[RiskCategory]]="High Risk"),"High Risk Exposure","Normal")</f>
        <v>High Risk Exposure</v>
      </c>
      <c r="T1099" t="str" cm="1">
        <f t="array" ref="T1099">_xlfn.IFS(
Loans[[#This Row],[LoanStatus]]="Default","Critical",
OR(Loans[[#This Row],[LoanStatus]]="Watchlist",Loans[[#This Row],[CollateralRisk]]="Undersecured",Loans[[#This Row],[RiskCategory]]="High Risk"),"High",
TRUE,"Normal"
)</f>
        <v>High</v>
      </c>
    </row>
    <row r="1100" spans="1:20" x14ac:dyDescent="0.35">
      <c r="A1100" t="s">
        <v>1838</v>
      </c>
      <c r="B1100" t="s">
        <v>415</v>
      </c>
      <c r="C1100" t="s">
        <v>174</v>
      </c>
      <c r="D1100" t="s">
        <v>157</v>
      </c>
      <c r="E1100" s="34">
        <v>6000000</v>
      </c>
      <c r="F1100" s="29">
        <v>0.13089999999999999</v>
      </c>
      <c r="G1100" s="30">
        <v>44058</v>
      </c>
      <c r="H1100">
        <v>60</v>
      </c>
      <c r="I1100">
        <v>0</v>
      </c>
      <c r="J1100" s="34">
        <v>4440000</v>
      </c>
      <c r="K1100" t="s">
        <v>171</v>
      </c>
      <c r="L1100" s="34">
        <f>PMT(Loans[[#This Row],[InterestRate]]/12,Loans[[#This Row],[LoanTenureMonths]],-Loans[[#This Row],[LoanAmount]])</f>
        <v>136795.02878416455</v>
      </c>
      <c r="M1100" s="30">
        <f>EDATE(Loans[[#This Row],[LoanStartDate]],Loans[[#This Row],[LoanTenureMonths]])</f>
        <v>45884</v>
      </c>
      <c r="N1100" s="33">
        <f>IF(Loans[[#This Row],[LoanAmount]]=0,0,Loans[[#This Row],[CollateralValue]]/Loans[[#This Row],[LoanAmount]])</f>
        <v>0.74</v>
      </c>
      <c r="O1100" t="str">
        <f>IF(Loans[[#This Row],[CollateralCoverageRatio]]&lt;1,"Undersecured","Secured")</f>
        <v>Undersecured</v>
      </c>
      <c r="P1100" t="str">
        <f>_xlfn.XLOOKUP(Loans[[#This Row],[BranchCode]],BranchesTbl[BranchCode],BranchesTbl[BranchName])</f>
        <v>Westlands</v>
      </c>
      <c r="Q1100">
        <f>_xlfn.XLOOKUP(Loans[[#This Row],[CustomerID]],CustomerTbl[CustomerID],CustomerTbl[RiskScore])</f>
        <v>790</v>
      </c>
      <c r="R1100" t="str">
        <f>IFERROR(INDEX(RiskTbl[Risk_Category],MATCH(Loans[[#This Row],[RiskScore]],RiskTbl[Score_Min],1)),"Unknown")</f>
        <v>Very Low Risk</v>
      </c>
      <c r="S1100" t="str">
        <f>IF(OR(Loans[[#This Row],[LoanStatus]]="Default",Loans[[#This Row],[LoanStatus]]="Watchlist",Loans[[#This Row],[CollateralRisk]]="Undersecured",Loans[[#This Row],[RiskCategory]]="High Risk"),"High Risk Exposure","Normal")</f>
        <v>High Risk Exposure</v>
      </c>
      <c r="T1100" t="str" cm="1">
        <f t="array" ref="T1100">_xlfn.IFS(
Loans[[#This Row],[LoanStatus]]="Default","Critical",
OR(Loans[[#This Row],[LoanStatus]]="Watchlist",Loans[[#This Row],[CollateralRisk]]="Undersecured",Loans[[#This Row],[RiskCategory]]="High Risk"),"High",
TRUE,"Normal"
)</f>
        <v>High</v>
      </c>
    </row>
    <row r="1101" spans="1:20" x14ac:dyDescent="0.35">
      <c r="A1101" t="s">
        <v>1839</v>
      </c>
      <c r="B1101" t="s">
        <v>1840</v>
      </c>
      <c r="C1101" t="s">
        <v>184</v>
      </c>
      <c r="D1101" t="s">
        <v>156</v>
      </c>
      <c r="E1101" s="34">
        <v>1000000</v>
      </c>
      <c r="F1101" s="29">
        <v>0.20549999999999999</v>
      </c>
      <c r="G1101" s="30">
        <v>45522</v>
      </c>
      <c r="H1101">
        <v>12</v>
      </c>
      <c r="I1101">
        <v>10</v>
      </c>
      <c r="J1101" s="34">
        <v>1140000</v>
      </c>
      <c r="K1101" t="s">
        <v>171</v>
      </c>
      <c r="L1101" s="34">
        <f>PMT(Loans[[#This Row],[InterestRate]]/12,Loans[[#This Row],[LoanTenureMonths]],-Loans[[#This Row],[LoanAmount]])</f>
        <v>92897.937513020763</v>
      </c>
      <c r="M1101" s="30">
        <f>EDATE(Loans[[#This Row],[LoanStartDate]],Loans[[#This Row],[LoanTenureMonths]])</f>
        <v>45887</v>
      </c>
      <c r="N1101" s="33">
        <f>IF(Loans[[#This Row],[LoanAmount]]=0,0,Loans[[#This Row],[CollateralValue]]/Loans[[#This Row],[LoanAmount]])</f>
        <v>1.1399999999999999</v>
      </c>
      <c r="O1101" t="str">
        <f>IF(Loans[[#This Row],[CollateralCoverageRatio]]&lt;1,"Undersecured","Secured")</f>
        <v>Secured</v>
      </c>
      <c r="P1101" t="str">
        <f>_xlfn.XLOOKUP(Loans[[#This Row],[BranchCode]],BranchesTbl[BranchCode],BranchesTbl[BranchName])</f>
        <v>Kisumu</v>
      </c>
      <c r="Q1101">
        <f>_xlfn.XLOOKUP(Loans[[#This Row],[CustomerID]],CustomerTbl[CustomerID],CustomerTbl[RiskScore])</f>
        <v>724</v>
      </c>
      <c r="R1101" t="str">
        <f>IFERROR(INDEX(RiskTbl[Risk_Category],MATCH(Loans[[#This Row],[RiskScore]],RiskTbl[Score_Min],1)),"Unknown")</f>
        <v>Low Risk</v>
      </c>
      <c r="S1101" t="str">
        <f>IF(OR(Loans[[#This Row],[LoanStatus]]="Default",Loans[[#This Row],[LoanStatus]]="Watchlist",Loans[[#This Row],[CollateralRisk]]="Undersecured",Loans[[#This Row],[RiskCategory]]="High Risk"),"High Risk Exposure","Normal")</f>
        <v>Normal</v>
      </c>
      <c r="T1101" t="str" cm="1">
        <f t="array" ref="T1101">_xlfn.IFS(
Loans[[#This Row],[LoanStatus]]="Default","Critical",
OR(Loans[[#This Row],[LoanStatus]]="Watchlist",Loans[[#This Row],[CollateralRisk]]="Undersecured",Loans[[#This Row],[RiskCategory]]="High Risk"),"High",
TRUE,"Normal"
)</f>
        <v>Normal</v>
      </c>
    </row>
    <row r="1102" spans="1:20" x14ac:dyDescent="0.35">
      <c r="A1102" t="s">
        <v>1841</v>
      </c>
      <c r="B1102" t="s">
        <v>1842</v>
      </c>
      <c r="C1102" t="s">
        <v>190</v>
      </c>
      <c r="D1102" t="s">
        <v>156</v>
      </c>
      <c r="E1102" s="34">
        <v>25000000</v>
      </c>
      <c r="F1102" s="29">
        <v>0.17699999999999999</v>
      </c>
      <c r="G1102" s="30">
        <v>44558</v>
      </c>
      <c r="H1102">
        <v>60</v>
      </c>
      <c r="I1102">
        <v>20</v>
      </c>
      <c r="J1102" s="34">
        <v>21250000</v>
      </c>
      <c r="K1102" t="s">
        <v>171</v>
      </c>
      <c r="L1102" s="34">
        <f>PMT(Loans[[#This Row],[InterestRate]]/12,Loans[[#This Row],[LoanTenureMonths]],-Loans[[#This Row],[LoanAmount]])</f>
        <v>630762.76364111248</v>
      </c>
      <c r="M1102" s="30">
        <f>EDATE(Loans[[#This Row],[LoanStartDate]],Loans[[#This Row],[LoanTenureMonths]])</f>
        <v>46384</v>
      </c>
      <c r="N1102" s="33">
        <f>IF(Loans[[#This Row],[LoanAmount]]=0,0,Loans[[#This Row],[CollateralValue]]/Loans[[#This Row],[LoanAmount]])</f>
        <v>0.85</v>
      </c>
      <c r="O1102" t="str">
        <f>IF(Loans[[#This Row],[CollateralCoverageRatio]]&lt;1,"Undersecured","Secured")</f>
        <v>Undersecured</v>
      </c>
      <c r="P1102" t="str">
        <f>_xlfn.XLOOKUP(Loans[[#This Row],[BranchCode]],BranchesTbl[BranchCode],BranchesTbl[BranchName])</f>
        <v>Nyeri</v>
      </c>
      <c r="Q1102">
        <f>_xlfn.XLOOKUP(Loans[[#This Row],[CustomerID]],CustomerTbl[CustomerID],CustomerTbl[RiskScore])</f>
        <v>808</v>
      </c>
      <c r="R1102" t="str">
        <f>IFERROR(INDEX(RiskTbl[Risk_Category],MATCH(Loans[[#This Row],[RiskScore]],RiskTbl[Score_Min],1)),"Unknown")</f>
        <v>Prime</v>
      </c>
      <c r="S1102" t="str">
        <f>IF(OR(Loans[[#This Row],[LoanStatus]]="Default",Loans[[#This Row],[LoanStatus]]="Watchlist",Loans[[#This Row],[CollateralRisk]]="Undersecured",Loans[[#This Row],[RiskCategory]]="High Risk"),"High Risk Exposure","Normal")</f>
        <v>High Risk Exposure</v>
      </c>
      <c r="T1102" t="str" cm="1">
        <f t="array" ref="T1102">_xlfn.IFS(
Loans[[#This Row],[LoanStatus]]="Default","Critical",
OR(Loans[[#This Row],[LoanStatus]]="Watchlist",Loans[[#This Row],[CollateralRisk]]="Undersecured",Loans[[#This Row],[RiskCategory]]="High Risk"),"High",
TRUE,"Normal"
)</f>
        <v>High</v>
      </c>
    </row>
    <row r="1103" spans="1:20" x14ac:dyDescent="0.35">
      <c r="A1103" t="s">
        <v>1843</v>
      </c>
      <c r="B1103" t="s">
        <v>1098</v>
      </c>
      <c r="C1103" t="s">
        <v>184</v>
      </c>
      <c r="D1103" t="s">
        <v>158</v>
      </c>
      <c r="E1103" s="34">
        <v>6000000</v>
      </c>
      <c r="F1103" s="29">
        <v>0.1275</v>
      </c>
      <c r="G1103" s="30">
        <v>45775</v>
      </c>
      <c r="H1103">
        <v>72</v>
      </c>
      <c r="I1103">
        <v>0</v>
      </c>
      <c r="J1103" s="34">
        <v>7140000</v>
      </c>
      <c r="K1103" t="s">
        <v>171</v>
      </c>
      <c r="L1103" s="34">
        <f>PMT(Loans[[#This Row],[InterestRate]]/12,Loans[[#This Row],[LoanTenureMonths]],-Loans[[#This Row],[LoanAmount]])</f>
        <v>119654.40014776078</v>
      </c>
      <c r="M1103" s="30">
        <f>EDATE(Loans[[#This Row],[LoanStartDate]],Loans[[#This Row],[LoanTenureMonths]])</f>
        <v>47966</v>
      </c>
      <c r="N1103" s="33">
        <f>IF(Loans[[#This Row],[LoanAmount]]=0,0,Loans[[#This Row],[CollateralValue]]/Loans[[#This Row],[LoanAmount]])</f>
        <v>1.19</v>
      </c>
      <c r="O1103" t="str">
        <f>IF(Loans[[#This Row],[CollateralCoverageRatio]]&lt;1,"Undersecured","Secured")</f>
        <v>Secured</v>
      </c>
      <c r="P1103" t="str">
        <f>_xlfn.XLOOKUP(Loans[[#This Row],[BranchCode]],BranchesTbl[BranchCode],BranchesTbl[BranchName])</f>
        <v>Kisumu</v>
      </c>
      <c r="Q1103">
        <f>_xlfn.XLOOKUP(Loans[[#This Row],[CustomerID]],CustomerTbl[CustomerID],CustomerTbl[RiskScore])</f>
        <v>839</v>
      </c>
      <c r="R1103" t="str">
        <f>IFERROR(INDEX(RiskTbl[Risk_Category],MATCH(Loans[[#This Row],[RiskScore]],RiskTbl[Score_Min],1)),"Unknown")</f>
        <v>Prime</v>
      </c>
      <c r="S1103" t="str">
        <f>IF(OR(Loans[[#This Row],[LoanStatus]]="Default",Loans[[#This Row],[LoanStatus]]="Watchlist",Loans[[#This Row],[CollateralRisk]]="Undersecured",Loans[[#This Row],[RiskCategory]]="High Risk"),"High Risk Exposure","Normal")</f>
        <v>Normal</v>
      </c>
      <c r="T1103" t="str" cm="1">
        <f t="array" ref="T1103">_xlfn.IFS(
Loans[[#This Row],[LoanStatus]]="Default","Critical",
OR(Loans[[#This Row],[LoanStatus]]="Watchlist",Loans[[#This Row],[CollateralRisk]]="Undersecured",Loans[[#This Row],[RiskCategory]]="High Risk"),"High",
TRUE,"Normal"
)</f>
        <v>Normal</v>
      </c>
    </row>
    <row r="1104" spans="1:20" x14ac:dyDescent="0.35">
      <c r="A1104" t="s">
        <v>1844</v>
      </c>
      <c r="B1104" t="s">
        <v>1098</v>
      </c>
      <c r="C1104" t="s">
        <v>219</v>
      </c>
      <c r="D1104" t="s">
        <v>155</v>
      </c>
      <c r="E1104" s="34">
        <v>250000</v>
      </c>
      <c r="F1104" s="29">
        <v>0.21329999999999999</v>
      </c>
      <c r="G1104" s="30">
        <v>43996</v>
      </c>
      <c r="H1104">
        <v>48</v>
      </c>
      <c r="I1104">
        <v>10</v>
      </c>
      <c r="J1104" s="34">
        <v>0</v>
      </c>
      <c r="K1104" t="s">
        <v>171</v>
      </c>
      <c r="L1104" s="34">
        <f>PMT(Loans[[#This Row],[InterestRate]]/12,Loans[[#This Row],[LoanTenureMonths]],-Loans[[#This Row],[LoanAmount]])</f>
        <v>7785.866228907179</v>
      </c>
      <c r="M1104" s="30">
        <f>EDATE(Loans[[#This Row],[LoanStartDate]],Loans[[#This Row],[LoanTenureMonths]])</f>
        <v>45457</v>
      </c>
      <c r="N1104" s="33">
        <f>IF(Loans[[#This Row],[LoanAmount]]=0,0,Loans[[#This Row],[CollateralValue]]/Loans[[#This Row],[LoanAmount]])</f>
        <v>0</v>
      </c>
      <c r="O1104" t="str">
        <f>IF(Loans[[#This Row],[CollateralCoverageRatio]]&lt;1,"Undersecured","Secured")</f>
        <v>Undersecured</v>
      </c>
      <c r="P1104" t="str">
        <f>_xlfn.XLOOKUP(Loans[[#This Row],[BranchCode]],BranchesTbl[BranchCode],BranchesTbl[BranchName])</f>
        <v>Meru</v>
      </c>
      <c r="Q1104">
        <f>_xlfn.XLOOKUP(Loans[[#This Row],[CustomerID]],CustomerTbl[CustomerID],CustomerTbl[RiskScore])</f>
        <v>839</v>
      </c>
      <c r="R1104" t="str">
        <f>IFERROR(INDEX(RiskTbl[Risk_Category],MATCH(Loans[[#This Row],[RiskScore]],RiskTbl[Score_Min],1)),"Unknown")</f>
        <v>Prime</v>
      </c>
      <c r="S1104" t="str">
        <f>IF(OR(Loans[[#This Row],[LoanStatus]]="Default",Loans[[#This Row],[LoanStatus]]="Watchlist",Loans[[#This Row],[CollateralRisk]]="Undersecured",Loans[[#This Row],[RiskCategory]]="High Risk"),"High Risk Exposure","Normal")</f>
        <v>High Risk Exposure</v>
      </c>
      <c r="T1104" t="str" cm="1">
        <f t="array" ref="T1104">_xlfn.IFS(
Loans[[#This Row],[LoanStatus]]="Default","Critical",
OR(Loans[[#This Row],[LoanStatus]]="Watchlist",Loans[[#This Row],[CollateralRisk]]="Undersecured",Loans[[#This Row],[RiskCategory]]="High Risk"),"High",
TRUE,"Normal"
)</f>
        <v>High</v>
      </c>
    </row>
    <row r="1105" spans="1:20" x14ac:dyDescent="0.35">
      <c r="A1105" t="s">
        <v>1845</v>
      </c>
      <c r="B1105" t="s">
        <v>1846</v>
      </c>
      <c r="C1105" t="s">
        <v>190</v>
      </c>
      <c r="D1105" t="s">
        <v>157</v>
      </c>
      <c r="E1105" s="34">
        <v>80000000</v>
      </c>
      <c r="F1105" s="29">
        <v>0.13830000000000001</v>
      </c>
      <c r="G1105" s="30">
        <v>45727</v>
      </c>
      <c r="H1105">
        <v>24</v>
      </c>
      <c r="I1105">
        <v>45</v>
      </c>
      <c r="J1105" s="34">
        <v>113600000</v>
      </c>
      <c r="K1105" t="s">
        <v>199</v>
      </c>
      <c r="L1105" s="34">
        <f>PMT(Loans[[#This Row],[InterestRate]]/12,Loans[[#This Row],[LoanTenureMonths]],-Loans[[#This Row],[LoanAmount]])</f>
        <v>3834608.9604159389</v>
      </c>
      <c r="M1105" s="30">
        <f>EDATE(Loans[[#This Row],[LoanStartDate]],Loans[[#This Row],[LoanTenureMonths]])</f>
        <v>46457</v>
      </c>
      <c r="N1105" s="33">
        <f>IF(Loans[[#This Row],[LoanAmount]]=0,0,Loans[[#This Row],[CollateralValue]]/Loans[[#This Row],[LoanAmount]])</f>
        <v>1.42</v>
      </c>
      <c r="O1105" t="str">
        <f>IF(Loans[[#This Row],[CollateralCoverageRatio]]&lt;1,"Undersecured","Secured")</f>
        <v>Secured</v>
      </c>
      <c r="P1105" t="str">
        <f>_xlfn.XLOOKUP(Loans[[#This Row],[BranchCode]],BranchesTbl[BranchCode],BranchesTbl[BranchName])</f>
        <v>Nyeri</v>
      </c>
      <c r="Q1105">
        <f>_xlfn.XLOOKUP(Loans[[#This Row],[CustomerID]],CustomerTbl[CustomerID],CustomerTbl[RiskScore])</f>
        <v>354</v>
      </c>
      <c r="R1105" t="str">
        <f>IFERROR(INDEX(RiskTbl[Risk_Category],MATCH(Loans[[#This Row],[RiskScore]],RiskTbl[Score_Min],1)),"Unknown")</f>
        <v>High Risk</v>
      </c>
      <c r="S1105" t="str">
        <f>IF(OR(Loans[[#This Row],[LoanStatus]]="Default",Loans[[#This Row],[LoanStatus]]="Watchlist",Loans[[#This Row],[CollateralRisk]]="Undersecured",Loans[[#This Row],[RiskCategory]]="High Risk"),"High Risk Exposure","Normal")</f>
        <v>High Risk Exposure</v>
      </c>
      <c r="T1105" t="str" cm="1">
        <f t="array" ref="T1105">_xlfn.IFS(
Loans[[#This Row],[LoanStatus]]="Default","Critical",
OR(Loans[[#This Row],[LoanStatus]]="Watchlist",Loans[[#This Row],[CollateralRisk]]="Undersecured",Loans[[#This Row],[RiskCategory]]="High Risk"),"High",
TRUE,"Normal"
)</f>
        <v>High</v>
      </c>
    </row>
    <row r="1106" spans="1:20" x14ac:dyDescent="0.35">
      <c r="A1106" t="s">
        <v>1847</v>
      </c>
      <c r="B1106" t="s">
        <v>824</v>
      </c>
      <c r="C1106" t="s">
        <v>206</v>
      </c>
      <c r="D1106" t="s">
        <v>156</v>
      </c>
      <c r="E1106" s="34">
        <v>3000000</v>
      </c>
      <c r="F1106" s="29">
        <v>0.21390000000000001</v>
      </c>
      <c r="G1106" s="30">
        <v>44417</v>
      </c>
      <c r="H1106">
        <v>60</v>
      </c>
      <c r="I1106">
        <v>0</v>
      </c>
      <c r="J1106" s="34">
        <v>2430000</v>
      </c>
      <c r="K1106" t="s">
        <v>171</v>
      </c>
      <c r="L1106" s="34">
        <f>PMT(Loans[[#This Row],[InterestRate]]/12,Loans[[#This Row],[LoanTenureMonths]],-Loans[[#This Row],[LoanAmount]])</f>
        <v>81819.61859063986</v>
      </c>
      <c r="M1106" s="30">
        <f>EDATE(Loans[[#This Row],[LoanStartDate]],Loans[[#This Row],[LoanTenureMonths]])</f>
        <v>46243</v>
      </c>
      <c r="N1106" s="33">
        <f>IF(Loans[[#This Row],[LoanAmount]]=0,0,Loans[[#This Row],[CollateralValue]]/Loans[[#This Row],[LoanAmount]])</f>
        <v>0.81</v>
      </c>
      <c r="O1106" t="str">
        <f>IF(Loans[[#This Row],[CollateralCoverageRatio]]&lt;1,"Undersecured","Secured")</f>
        <v>Undersecured</v>
      </c>
      <c r="P1106" t="str">
        <f>_xlfn.XLOOKUP(Loans[[#This Row],[BranchCode]],BranchesTbl[BranchCode],BranchesTbl[BranchName])</f>
        <v>Nyahururu</v>
      </c>
      <c r="Q1106">
        <f>_xlfn.XLOOKUP(Loans[[#This Row],[CustomerID]],CustomerTbl[CustomerID],CustomerTbl[RiskScore])</f>
        <v>835</v>
      </c>
      <c r="R1106" t="str">
        <f>IFERROR(INDEX(RiskTbl[Risk_Category],MATCH(Loans[[#This Row],[RiskScore]],RiskTbl[Score_Min],1)),"Unknown")</f>
        <v>Prime</v>
      </c>
      <c r="S1106" t="str">
        <f>IF(OR(Loans[[#This Row],[LoanStatus]]="Default",Loans[[#This Row],[LoanStatus]]="Watchlist",Loans[[#This Row],[CollateralRisk]]="Undersecured",Loans[[#This Row],[RiskCategory]]="High Risk"),"High Risk Exposure","Normal")</f>
        <v>High Risk Exposure</v>
      </c>
      <c r="T1106" t="str" cm="1">
        <f t="array" ref="T1106">_xlfn.IFS(
Loans[[#This Row],[LoanStatus]]="Default","Critical",
OR(Loans[[#This Row],[LoanStatus]]="Watchlist",Loans[[#This Row],[CollateralRisk]]="Undersecured",Loans[[#This Row],[RiskCategory]]="High Risk"),"High",
TRUE,"Normal"
)</f>
        <v>High</v>
      </c>
    </row>
    <row r="1107" spans="1:20" x14ac:dyDescent="0.35">
      <c r="A1107" t="s">
        <v>1848</v>
      </c>
      <c r="B1107" t="s">
        <v>647</v>
      </c>
      <c r="C1107" t="s">
        <v>239</v>
      </c>
      <c r="D1107" t="s">
        <v>155</v>
      </c>
      <c r="E1107" s="34">
        <v>500000</v>
      </c>
      <c r="F1107" s="29">
        <v>0.19320000000000001</v>
      </c>
      <c r="G1107" s="30">
        <v>45174</v>
      </c>
      <c r="H1107">
        <v>24</v>
      </c>
      <c r="I1107">
        <v>10</v>
      </c>
      <c r="J1107" s="34">
        <v>0</v>
      </c>
      <c r="K1107" t="s">
        <v>171</v>
      </c>
      <c r="L1107" s="34">
        <f>PMT(Loans[[#This Row],[InterestRate]]/12,Loans[[#This Row],[LoanTenureMonths]],-Loans[[#This Row],[LoanAmount]])</f>
        <v>25282.113186922325</v>
      </c>
      <c r="M1107" s="30">
        <f>EDATE(Loans[[#This Row],[LoanStartDate]],Loans[[#This Row],[LoanTenureMonths]])</f>
        <v>45905</v>
      </c>
      <c r="N1107" s="33">
        <f>IF(Loans[[#This Row],[LoanAmount]]=0,0,Loans[[#This Row],[CollateralValue]]/Loans[[#This Row],[LoanAmount]])</f>
        <v>0</v>
      </c>
      <c r="O1107" t="str">
        <f>IF(Loans[[#This Row],[CollateralCoverageRatio]]&lt;1,"Undersecured","Secured")</f>
        <v>Undersecured</v>
      </c>
      <c r="P1107" t="str">
        <f>_xlfn.XLOOKUP(Loans[[#This Row],[BranchCode]],BranchesTbl[BranchCode],BranchesTbl[BranchName])</f>
        <v>Machakos</v>
      </c>
      <c r="Q1107">
        <f>_xlfn.XLOOKUP(Loans[[#This Row],[CustomerID]],CustomerTbl[CustomerID],CustomerTbl[RiskScore])</f>
        <v>599</v>
      </c>
      <c r="R1107" t="str">
        <f>IFERROR(INDEX(RiskTbl[Risk_Category],MATCH(Loans[[#This Row],[RiskScore]],RiskTbl[Score_Min],1)),"Unknown")</f>
        <v>Medium Risk</v>
      </c>
      <c r="S1107" t="str">
        <f>IF(OR(Loans[[#This Row],[LoanStatus]]="Default",Loans[[#This Row],[LoanStatus]]="Watchlist",Loans[[#This Row],[CollateralRisk]]="Undersecured",Loans[[#This Row],[RiskCategory]]="High Risk"),"High Risk Exposure","Normal")</f>
        <v>High Risk Exposure</v>
      </c>
      <c r="T1107" t="str" cm="1">
        <f t="array" ref="T1107">_xlfn.IFS(
Loans[[#This Row],[LoanStatus]]="Default","Critical",
OR(Loans[[#This Row],[LoanStatus]]="Watchlist",Loans[[#This Row],[CollateralRisk]]="Undersecured",Loans[[#This Row],[RiskCategory]]="High Risk"),"High",
TRUE,"Normal"
)</f>
        <v>High</v>
      </c>
    </row>
    <row r="1108" spans="1:20" x14ac:dyDescent="0.35">
      <c r="A1108" t="s">
        <v>1849</v>
      </c>
      <c r="B1108" t="s">
        <v>1246</v>
      </c>
      <c r="C1108" t="s">
        <v>232</v>
      </c>
      <c r="D1108" t="s">
        <v>157</v>
      </c>
      <c r="E1108" s="34">
        <v>80000000</v>
      </c>
      <c r="F1108" s="29">
        <v>0.13170000000000001</v>
      </c>
      <c r="G1108" s="30">
        <v>46007</v>
      </c>
      <c r="H1108">
        <v>12</v>
      </c>
      <c r="I1108">
        <v>0</v>
      </c>
      <c r="J1108" s="34">
        <v>119200000</v>
      </c>
      <c r="K1108" t="s">
        <v>171</v>
      </c>
      <c r="L1108" s="34">
        <f>PMT(Loans[[#This Row],[InterestRate]]/12,Loans[[#This Row],[LoanTenureMonths]],-Loans[[#This Row],[LoanAmount]])</f>
        <v>7151764.2643615063</v>
      </c>
      <c r="M1108" s="30">
        <f>EDATE(Loans[[#This Row],[LoanStartDate]],Loans[[#This Row],[LoanTenureMonths]])</f>
        <v>46372</v>
      </c>
      <c r="N1108" s="33">
        <f>IF(Loans[[#This Row],[LoanAmount]]=0,0,Loans[[#This Row],[CollateralValue]]/Loans[[#This Row],[LoanAmount]])</f>
        <v>1.49</v>
      </c>
      <c r="O1108" t="str">
        <f>IF(Loans[[#This Row],[CollateralCoverageRatio]]&lt;1,"Undersecured","Secured")</f>
        <v>Secured</v>
      </c>
      <c r="P1108" t="str">
        <f>_xlfn.XLOOKUP(Loans[[#This Row],[BranchCode]],BranchesTbl[BranchCode],BranchesTbl[BranchName])</f>
        <v>Upper Hill</v>
      </c>
      <c r="Q1108">
        <f>_xlfn.XLOOKUP(Loans[[#This Row],[CustomerID]],CustomerTbl[CustomerID],CustomerTbl[RiskScore])</f>
        <v>309</v>
      </c>
      <c r="R1108" t="str">
        <f>IFERROR(INDEX(RiskTbl[Risk_Category],MATCH(Loans[[#This Row],[RiskScore]],RiskTbl[Score_Min],1)),"Unknown")</f>
        <v>High Risk</v>
      </c>
      <c r="S1108" t="str">
        <f>IF(OR(Loans[[#This Row],[LoanStatus]]="Default",Loans[[#This Row],[LoanStatus]]="Watchlist",Loans[[#This Row],[CollateralRisk]]="Undersecured",Loans[[#This Row],[RiskCategory]]="High Risk"),"High Risk Exposure","Normal")</f>
        <v>High Risk Exposure</v>
      </c>
      <c r="T1108" t="str" cm="1">
        <f t="array" ref="T1108">_xlfn.IFS(
Loans[[#This Row],[LoanStatus]]="Default","Critical",
OR(Loans[[#This Row],[LoanStatus]]="Watchlist",Loans[[#This Row],[CollateralRisk]]="Undersecured",Loans[[#This Row],[RiskCategory]]="High Risk"),"High",
TRUE,"Normal"
)</f>
        <v>High</v>
      </c>
    </row>
    <row r="1109" spans="1:20" x14ac:dyDescent="0.35">
      <c r="A1109" t="s">
        <v>1850</v>
      </c>
      <c r="B1109" t="s">
        <v>1137</v>
      </c>
      <c r="C1109" t="s">
        <v>190</v>
      </c>
      <c r="D1109" t="s">
        <v>157</v>
      </c>
      <c r="E1109" s="34">
        <v>25000000</v>
      </c>
      <c r="F1109" s="29">
        <v>9.3399999999999997E-2</v>
      </c>
      <c r="G1109" s="30">
        <v>43838</v>
      </c>
      <c r="H1109">
        <v>48</v>
      </c>
      <c r="I1109">
        <v>90</v>
      </c>
      <c r="J1109" s="34">
        <v>21750000</v>
      </c>
      <c r="K1109" t="s">
        <v>199</v>
      </c>
      <c r="L1109" s="34">
        <f>PMT(Loans[[#This Row],[InterestRate]]/12,Loans[[#This Row],[LoanTenureMonths]],-Loans[[#This Row],[LoanAmount]])</f>
        <v>626169.98026890412</v>
      </c>
      <c r="M1109" s="30">
        <f>EDATE(Loans[[#This Row],[LoanStartDate]],Loans[[#This Row],[LoanTenureMonths]])</f>
        <v>45299</v>
      </c>
      <c r="N1109" s="33">
        <f>IF(Loans[[#This Row],[LoanAmount]]=0,0,Loans[[#This Row],[CollateralValue]]/Loans[[#This Row],[LoanAmount]])</f>
        <v>0.87</v>
      </c>
      <c r="O1109" t="str">
        <f>IF(Loans[[#This Row],[CollateralCoverageRatio]]&lt;1,"Undersecured","Secured")</f>
        <v>Undersecured</v>
      </c>
      <c r="P1109" t="str">
        <f>_xlfn.XLOOKUP(Loans[[#This Row],[BranchCode]],BranchesTbl[BranchCode],BranchesTbl[BranchName])</f>
        <v>Nyeri</v>
      </c>
      <c r="Q1109">
        <f>_xlfn.XLOOKUP(Loans[[#This Row],[CustomerID]],CustomerTbl[CustomerID],CustomerTbl[RiskScore])</f>
        <v>725</v>
      </c>
      <c r="R1109" t="str">
        <f>IFERROR(INDEX(RiskTbl[Risk_Category],MATCH(Loans[[#This Row],[RiskScore]],RiskTbl[Score_Min],1)),"Unknown")</f>
        <v>Low Risk</v>
      </c>
      <c r="S1109" t="str">
        <f>IF(OR(Loans[[#This Row],[LoanStatus]]="Default",Loans[[#This Row],[LoanStatus]]="Watchlist",Loans[[#This Row],[CollateralRisk]]="Undersecured",Loans[[#This Row],[RiskCategory]]="High Risk"),"High Risk Exposure","Normal")</f>
        <v>High Risk Exposure</v>
      </c>
      <c r="T1109" t="str" cm="1">
        <f t="array" ref="T1109">_xlfn.IFS(
Loans[[#This Row],[LoanStatus]]="Default","Critical",
OR(Loans[[#This Row],[LoanStatus]]="Watchlist",Loans[[#This Row],[CollateralRisk]]="Undersecured",Loans[[#This Row],[RiskCategory]]="High Risk"),"High",
TRUE,"Normal"
)</f>
        <v>High</v>
      </c>
    </row>
    <row r="1110" spans="1:20" x14ac:dyDescent="0.35">
      <c r="A1110" t="s">
        <v>1851</v>
      </c>
      <c r="B1110" t="s">
        <v>1409</v>
      </c>
      <c r="C1110" t="s">
        <v>206</v>
      </c>
      <c r="D1110" t="s">
        <v>155</v>
      </c>
      <c r="E1110" s="34">
        <v>250000</v>
      </c>
      <c r="F1110" s="29">
        <v>0.2717</v>
      </c>
      <c r="G1110" s="30">
        <v>45841</v>
      </c>
      <c r="H1110">
        <v>48</v>
      </c>
      <c r="I1110">
        <v>90</v>
      </c>
      <c r="J1110" s="34">
        <v>0</v>
      </c>
      <c r="K1110" t="s">
        <v>199</v>
      </c>
      <c r="L1110" s="34">
        <f>PMT(Loans[[#This Row],[InterestRate]]/12,Loans[[#This Row],[LoanTenureMonths]],-Loans[[#This Row],[LoanAmount]])</f>
        <v>8594.7149488695413</v>
      </c>
      <c r="M1110" s="30">
        <f>EDATE(Loans[[#This Row],[LoanStartDate]],Loans[[#This Row],[LoanTenureMonths]])</f>
        <v>47302</v>
      </c>
      <c r="N1110" s="33">
        <f>IF(Loans[[#This Row],[LoanAmount]]=0,0,Loans[[#This Row],[CollateralValue]]/Loans[[#This Row],[LoanAmount]])</f>
        <v>0</v>
      </c>
      <c r="O1110" t="str">
        <f>IF(Loans[[#This Row],[CollateralCoverageRatio]]&lt;1,"Undersecured","Secured")</f>
        <v>Undersecured</v>
      </c>
      <c r="P1110" t="str">
        <f>_xlfn.XLOOKUP(Loans[[#This Row],[BranchCode]],BranchesTbl[BranchCode],BranchesTbl[BranchName])</f>
        <v>Nyahururu</v>
      </c>
      <c r="Q1110">
        <f>_xlfn.XLOOKUP(Loans[[#This Row],[CustomerID]],CustomerTbl[CustomerID],CustomerTbl[RiskScore])</f>
        <v>499</v>
      </c>
      <c r="R1110" t="str">
        <f>IFERROR(INDEX(RiskTbl[Risk_Category],MATCH(Loans[[#This Row],[RiskScore]],RiskTbl[Score_Min],1)),"Unknown")</f>
        <v>High Risk</v>
      </c>
      <c r="S1110" t="str">
        <f>IF(OR(Loans[[#This Row],[LoanStatus]]="Default",Loans[[#This Row],[LoanStatus]]="Watchlist",Loans[[#This Row],[CollateralRisk]]="Undersecured",Loans[[#This Row],[RiskCategory]]="High Risk"),"High Risk Exposure","Normal")</f>
        <v>High Risk Exposure</v>
      </c>
      <c r="T1110" t="str" cm="1">
        <f t="array" ref="T1110">_xlfn.IFS(
Loans[[#This Row],[LoanStatus]]="Default","Critical",
OR(Loans[[#This Row],[LoanStatus]]="Watchlist",Loans[[#This Row],[CollateralRisk]]="Undersecured",Loans[[#This Row],[RiskCategory]]="High Risk"),"High",
TRUE,"Normal"
)</f>
        <v>High</v>
      </c>
    </row>
    <row r="1111" spans="1:20" x14ac:dyDescent="0.35">
      <c r="A1111" t="s">
        <v>1852</v>
      </c>
      <c r="B1111" t="s">
        <v>579</v>
      </c>
      <c r="C1111" t="s">
        <v>170</v>
      </c>
      <c r="D1111" t="s">
        <v>158</v>
      </c>
      <c r="E1111" s="34">
        <v>6000000</v>
      </c>
      <c r="F1111" s="29">
        <v>0.17430000000000001</v>
      </c>
      <c r="G1111" s="30">
        <v>44224</v>
      </c>
      <c r="H1111">
        <v>72</v>
      </c>
      <c r="I1111">
        <v>45</v>
      </c>
      <c r="J1111" s="34">
        <v>7140000</v>
      </c>
      <c r="K1111" t="s">
        <v>199</v>
      </c>
      <c r="L1111" s="34">
        <f>PMT(Loans[[#This Row],[InterestRate]]/12,Loans[[#This Row],[LoanTenureMonths]],-Loans[[#This Row],[LoanAmount]])</f>
        <v>134920.48449231856</v>
      </c>
      <c r="M1111" s="30">
        <f>EDATE(Loans[[#This Row],[LoanStartDate]],Loans[[#This Row],[LoanTenureMonths]])</f>
        <v>46415</v>
      </c>
      <c r="N1111" s="33">
        <f>IF(Loans[[#This Row],[LoanAmount]]=0,0,Loans[[#This Row],[CollateralValue]]/Loans[[#This Row],[LoanAmount]])</f>
        <v>1.19</v>
      </c>
      <c r="O1111" t="str">
        <f>IF(Loans[[#This Row],[CollateralCoverageRatio]]&lt;1,"Undersecured","Secured")</f>
        <v>Secured</v>
      </c>
      <c r="P1111" t="str">
        <f>_xlfn.XLOOKUP(Loans[[#This Row],[BranchCode]],BranchesTbl[BranchCode],BranchesTbl[BranchName])</f>
        <v>Thika</v>
      </c>
      <c r="Q1111">
        <f>_xlfn.XLOOKUP(Loans[[#This Row],[CustomerID]],CustomerTbl[CustomerID],CustomerTbl[RiskScore])</f>
        <v>334</v>
      </c>
      <c r="R1111" t="str">
        <f>IFERROR(INDEX(RiskTbl[Risk_Category],MATCH(Loans[[#This Row],[RiskScore]],RiskTbl[Score_Min],1)),"Unknown")</f>
        <v>High Risk</v>
      </c>
      <c r="S1111" t="str">
        <f>IF(OR(Loans[[#This Row],[LoanStatus]]="Default",Loans[[#This Row],[LoanStatus]]="Watchlist",Loans[[#This Row],[CollateralRisk]]="Undersecured",Loans[[#This Row],[RiskCategory]]="High Risk"),"High Risk Exposure","Normal")</f>
        <v>High Risk Exposure</v>
      </c>
      <c r="T1111" t="str" cm="1">
        <f t="array" ref="T1111">_xlfn.IFS(
Loans[[#This Row],[LoanStatus]]="Default","Critical",
OR(Loans[[#This Row],[LoanStatus]]="Watchlist",Loans[[#This Row],[CollateralRisk]]="Undersecured",Loans[[#This Row],[RiskCategory]]="High Risk"),"High",
TRUE,"Normal"
)</f>
        <v>High</v>
      </c>
    </row>
    <row r="1112" spans="1:20" x14ac:dyDescent="0.35">
      <c r="A1112" t="s">
        <v>1853</v>
      </c>
      <c r="B1112" t="s">
        <v>881</v>
      </c>
      <c r="C1112" t="s">
        <v>267</v>
      </c>
      <c r="D1112" t="s">
        <v>156</v>
      </c>
      <c r="E1112" s="34">
        <v>1000000</v>
      </c>
      <c r="F1112" s="29">
        <v>0.14180000000000001</v>
      </c>
      <c r="G1112" s="30">
        <v>45956</v>
      </c>
      <c r="H1112">
        <v>24</v>
      </c>
      <c r="I1112">
        <v>0</v>
      </c>
      <c r="J1112" s="34">
        <v>1310000</v>
      </c>
      <c r="K1112" t="s">
        <v>171</v>
      </c>
      <c r="L1112" s="34">
        <f>PMT(Loans[[#This Row],[InterestRate]]/12,Loans[[#This Row],[LoanTenureMonths]],-Loans[[#This Row],[LoanAmount]])</f>
        <v>48097.961549516578</v>
      </c>
      <c r="M1112" s="30">
        <f>EDATE(Loans[[#This Row],[LoanStartDate]],Loans[[#This Row],[LoanTenureMonths]])</f>
        <v>46686</v>
      </c>
      <c r="N1112" s="33">
        <f>IF(Loans[[#This Row],[LoanAmount]]=0,0,Loans[[#This Row],[CollateralValue]]/Loans[[#This Row],[LoanAmount]])</f>
        <v>1.31</v>
      </c>
      <c r="O1112" t="str">
        <f>IF(Loans[[#This Row],[CollateralCoverageRatio]]&lt;1,"Undersecured","Secured")</f>
        <v>Secured</v>
      </c>
      <c r="P1112" t="str">
        <f>_xlfn.XLOOKUP(Loans[[#This Row],[BranchCode]],BranchesTbl[BranchCode],BranchesTbl[BranchName])</f>
        <v>Malindi</v>
      </c>
      <c r="Q1112">
        <f>_xlfn.XLOOKUP(Loans[[#This Row],[CustomerID]],CustomerTbl[CustomerID],CustomerTbl[RiskScore])</f>
        <v>708</v>
      </c>
      <c r="R1112" t="str">
        <f>IFERROR(INDEX(RiskTbl[Risk_Category],MATCH(Loans[[#This Row],[RiskScore]],RiskTbl[Score_Min],1)),"Unknown")</f>
        <v>Low Risk</v>
      </c>
      <c r="S1112" t="str">
        <f>IF(OR(Loans[[#This Row],[LoanStatus]]="Default",Loans[[#This Row],[LoanStatus]]="Watchlist",Loans[[#This Row],[CollateralRisk]]="Undersecured",Loans[[#This Row],[RiskCategory]]="High Risk"),"High Risk Exposure","Normal")</f>
        <v>Normal</v>
      </c>
      <c r="T1112" t="str" cm="1">
        <f t="array" ref="T1112">_xlfn.IFS(
Loans[[#This Row],[LoanStatus]]="Default","Critical",
OR(Loans[[#This Row],[LoanStatus]]="Watchlist",Loans[[#This Row],[CollateralRisk]]="Undersecured",Loans[[#This Row],[RiskCategory]]="High Risk"),"High",
TRUE,"Normal"
)</f>
        <v>Normal</v>
      </c>
    </row>
    <row r="1113" spans="1:20" x14ac:dyDescent="0.35">
      <c r="A1113" t="s">
        <v>1854</v>
      </c>
      <c r="B1113" t="s">
        <v>428</v>
      </c>
      <c r="C1113" t="s">
        <v>239</v>
      </c>
      <c r="D1113" t="s">
        <v>156</v>
      </c>
      <c r="E1113" s="34">
        <v>25000000</v>
      </c>
      <c r="F1113" s="29">
        <v>0.1895</v>
      </c>
      <c r="G1113" s="30">
        <v>44990</v>
      </c>
      <c r="H1113">
        <v>36</v>
      </c>
      <c r="I1113">
        <v>0</v>
      </c>
      <c r="J1113" s="34">
        <v>37500000</v>
      </c>
      <c r="K1113" t="s">
        <v>171</v>
      </c>
      <c r="L1113" s="34">
        <f>PMT(Loans[[#This Row],[InterestRate]]/12,Loans[[#This Row],[LoanTenureMonths]],-Loans[[#This Row],[LoanAmount]])</f>
        <v>915768.62756564852</v>
      </c>
      <c r="M1113" s="30">
        <f>EDATE(Loans[[#This Row],[LoanStartDate]],Loans[[#This Row],[LoanTenureMonths]])</f>
        <v>46086</v>
      </c>
      <c r="N1113" s="33">
        <f>IF(Loans[[#This Row],[LoanAmount]]=0,0,Loans[[#This Row],[CollateralValue]]/Loans[[#This Row],[LoanAmount]])</f>
        <v>1.5</v>
      </c>
      <c r="O1113" t="str">
        <f>IF(Loans[[#This Row],[CollateralCoverageRatio]]&lt;1,"Undersecured","Secured")</f>
        <v>Secured</v>
      </c>
      <c r="P1113" t="str">
        <f>_xlfn.XLOOKUP(Loans[[#This Row],[BranchCode]],BranchesTbl[BranchCode],BranchesTbl[BranchName])</f>
        <v>Machakos</v>
      </c>
      <c r="Q1113">
        <f>_xlfn.XLOOKUP(Loans[[#This Row],[CustomerID]],CustomerTbl[CustomerID],CustomerTbl[RiskScore])</f>
        <v>502</v>
      </c>
      <c r="R1113" t="str">
        <f>IFERROR(INDEX(RiskTbl[Risk_Category],MATCH(Loans[[#This Row],[RiskScore]],RiskTbl[Score_Min],1)),"Unknown")</f>
        <v>High Risk</v>
      </c>
      <c r="S1113" t="str">
        <f>IF(OR(Loans[[#This Row],[LoanStatus]]="Default",Loans[[#This Row],[LoanStatus]]="Watchlist",Loans[[#This Row],[CollateralRisk]]="Undersecured",Loans[[#This Row],[RiskCategory]]="High Risk"),"High Risk Exposure","Normal")</f>
        <v>High Risk Exposure</v>
      </c>
      <c r="T1113" t="str" cm="1">
        <f t="array" ref="T1113">_xlfn.IFS(
Loans[[#This Row],[LoanStatus]]="Default","Critical",
OR(Loans[[#This Row],[LoanStatus]]="Watchlist",Loans[[#This Row],[CollateralRisk]]="Undersecured",Loans[[#This Row],[RiskCategory]]="High Risk"),"High",
TRUE,"Normal"
)</f>
        <v>High</v>
      </c>
    </row>
    <row r="1114" spans="1:20" x14ac:dyDescent="0.35">
      <c r="A1114" t="s">
        <v>1855</v>
      </c>
      <c r="B1114" t="s">
        <v>208</v>
      </c>
      <c r="C1114" t="s">
        <v>184</v>
      </c>
      <c r="D1114" t="s">
        <v>158</v>
      </c>
      <c r="E1114" s="34">
        <v>3000000</v>
      </c>
      <c r="F1114" s="29">
        <v>0.1648</v>
      </c>
      <c r="G1114" s="30">
        <v>44115</v>
      </c>
      <c r="H1114">
        <v>72</v>
      </c>
      <c r="I1114">
        <v>0</v>
      </c>
      <c r="J1114" s="34">
        <v>1770000</v>
      </c>
      <c r="K1114" t="s">
        <v>171</v>
      </c>
      <c r="L1114" s="34">
        <f>PMT(Loans[[#This Row],[InterestRate]]/12,Loans[[#This Row],[LoanTenureMonths]],-Loans[[#This Row],[LoanAmount]])</f>
        <v>65870.923023994124</v>
      </c>
      <c r="M1114" s="30">
        <f>EDATE(Loans[[#This Row],[LoanStartDate]],Loans[[#This Row],[LoanTenureMonths]])</f>
        <v>46306</v>
      </c>
      <c r="N1114" s="33">
        <f>IF(Loans[[#This Row],[LoanAmount]]=0,0,Loans[[#This Row],[CollateralValue]]/Loans[[#This Row],[LoanAmount]])</f>
        <v>0.59</v>
      </c>
      <c r="O1114" t="str">
        <f>IF(Loans[[#This Row],[CollateralCoverageRatio]]&lt;1,"Undersecured","Secured")</f>
        <v>Undersecured</v>
      </c>
      <c r="P1114" t="str">
        <f>_xlfn.XLOOKUP(Loans[[#This Row],[BranchCode]],BranchesTbl[BranchCode],BranchesTbl[BranchName])</f>
        <v>Kisumu</v>
      </c>
      <c r="Q1114">
        <f>_xlfn.XLOOKUP(Loans[[#This Row],[CustomerID]],CustomerTbl[CustomerID],CustomerTbl[RiskScore])</f>
        <v>307</v>
      </c>
      <c r="R1114" t="str">
        <f>IFERROR(INDEX(RiskTbl[Risk_Category],MATCH(Loans[[#This Row],[RiskScore]],RiskTbl[Score_Min],1)),"Unknown")</f>
        <v>High Risk</v>
      </c>
      <c r="S1114" t="str">
        <f>IF(OR(Loans[[#This Row],[LoanStatus]]="Default",Loans[[#This Row],[LoanStatus]]="Watchlist",Loans[[#This Row],[CollateralRisk]]="Undersecured",Loans[[#This Row],[RiskCategory]]="High Risk"),"High Risk Exposure","Normal")</f>
        <v>High Risk Exposure</v>
      </c>
      <c r="T1114" t="str" cm="1">
        <f t="array" ref="T1114">_xlfn.IFS(
Loans[[#This Row],[LoanStatus]]="Default","Critical",
OR(Loans[[#This Row],[LoanStatus]]="Watchlist",Loans[[#This Row],[CollateralRisk]]="Undersecured",Loans[[#This Row],[RiskCategory]]="High Risk"),"High",
TRUE,"Normal"
)</f>
        <v>High</v>
      </c>
    </row>
    <row r="1115" spans="1:20" x14ac:dyDescent="0.35">
      <c r="A1115" t="s">
        <v>1856</v>
      </c>
      <c r="B1115" t="s">
        <v>402</v>
      </c>
      <c r="C1115" t="s">
        <v>196</v>
      </c>
      <c r="D1115" t="s">
        <v>155</v>
      </c>
      <c r="E1115" s="34">
        <v>500000</v>
      </c>
      <c r="F1115" s="29">
        <v>0.23039999999999999</v>
      </c>
      <c r="G1115" s="30">
        <v>45398</v>
      </c>
      <c r="H1115">
        <v>24</v>
      </c>
      <c r="I1115">
        <v>45</v>
      </c>
      <c r="J1115" s="34">
        <v>0</v>
      </c>
      <c r="K1115" t="s">
        <v>199</v>
      </c>
      <c r="L1115" s="34">
        <f>PMT(Loans[[#This Row],[InterestRate]]/12,Loans[[#This Row],[LoanTenureMonths]],-Loans[[#This Row],[LoanAmount]])</f>
        <v>26196.583523344536</v>
      </c>
      <c r="M1115" s="30">
        <f>EDATE(Loans[[#This Row],[LoanStartDate]],Loans[[#This Row],[LoanTenureMonths]])</f>
        <v>46128</v>
      </c>
      <c r="N1115" s="33">
        <f>IF(Loans[[#This Row],[LoanAmount]]=0,0,Loans[[#This Row],[CollateralValue]]/Loans[[#This Row],[LoanAmount]])</f>
        <v>0</v>
      </c>
      <c r="O1115" t="str">
        <f>IF(Loans[[#This Row],[CollateralCoverageRatio]]&lt;1,"Undersecured","Secured")</f>
        <v>Undersecured</v>
      </c>
      <c r="P1115" t="str">
        <f>_xlfn.XLOOKUP(Loans[[#This Row],[BranchCode]],BranchesTbl[BranchCode],BranchesTbl[BranchName])</f>
        <v>Karen</v>
      </c>
      <c r="Q1115">
        <f>_xlfn.XLOOKUP(Loans[[#This Row],[CustomerID]],CustomerTbl[CustomerID],CustomerTbl[RiskScore])</f>
        <v>376</v>
      </c>
      <c r="R1115" t="str">
        <f>IFERROR(INDEX(RiskTbl[Risk_Category],MATCH(Loans[[#This Row],[RiskScore]],RiskTbl[Score_Min],1)),"Unknown")</f>
        <v>High Risk</v>
      </c>
      <c r="S1115" t="str">
        <f>IF(OR(Loans[[#This Row],[LoanStatus]]="Default",Loans[[#This Row],[LoanStatus]]="Watchlist",Loans[[#This Row],[CollateralRisk]]="Undersecured",Loans[[#This Row],[RiskCategory]]="High Risk"),"High Risk Exposure","Normal")</f>
        <v>High Risk Exposure</v>
      </c>
      <c r="T1115" t="str" cm="1">
        <f t="array" ref="T1115">_xlfn.IFS(
Loans[[#This Row],[LoanStatus]]="Default","Critical",
OR(Loans[[#This Row],[LoanStatus]]="Watchlist",Loans[[#This Row],[CollateralRisk]]="Undersecured",Loans[[#This Row],[RiskCategory]]="High Risk"),"High",
TRUE,"Normal"
)</f>
        <v>High</v>
      </c>
    </row>
    <row r="1116" spans="1:20" x14ac:dyDescent="0.35">
      <c r="A1116" t="s">
        <v>1857</v>
      </c>
      <c r="B1116" t="s">
        <v>472</v>
      </c>
      <c r="C1116" t="s">
        <v>239</v>
      </c>
      <c r="D1116" t="s">
        <v>155</v>
      </c>
      <c r="E1116" s="34">
        <v>100000</v>
      </c>
      <c r="F1116" s="29">
        <v>0.2525</v>
      </c>
      <c r="G1116" s="30">
        <v>44588</v>
      </c>
      <c r="H1116">
        <v>36</v>
      </c>
      <c r="I1116">
        <v>120</v>
      </c>
      <c r="J1116" s="34">
        <v>0</v>
      </c>
      <c r="K1116" t="s">
        <v>178</v>
      </c>
      <c r="L1116" s="34">
        <f>PMT(Loans[[#This Row],[InterestRate]]/12,Loans[[#This Row],[LoanTenureMonths]],-Loans[[#This Row],[LoanAmount]])</f>
        <v>3989.2167140141646</v>
      </c>
      <c r="M1116" s="30">
        <f>EDATE(Loans[[#This Row],[LoanStartDate]],Loans[[#This Row],[LoanTenureMonths]])</f>
        <v>45684</v>
      </c>
      <c r="N1116" s="33">
        <f>IF(Loans[[#This Row],[LoanAmount]]=0,0,Loans[[#This Row],[CollateralValue]]/Loans[[#This Row],[LoanAmount]])</f>
        <v>0</v>
      </c>
      <c r="O1116" t="str">
        <f>IF(Loans[[#This Row],[CollateralCoverageRatio]]&lt;1,"Undersecured","Secured")</f>
        <v>Undersecured</v>
      </c>
      <c r="P1116" t="str">
        <f>_xlfn.XLOOKUP(Loans[[#This Row],[BranchCode]],BranchesTbl[BranchCode],BranchesTbl[BranchName])</f>
        <v>Machakos</v>
      </c>
      <c r="Q1116">
        <f>_xlfn.XLOOKUP(Loans[[#This Row],[CustomerID]],CustomerTbl[CustomerID],CustomerTbl[RiskScore])</f>
        <v>377</v>
      </c>
      <c r="R1116" t="str">
        <f>IFERROR(INDEX(RiskTbl[Risk_Category],MATCH(Loans[[#This Row],[RiskScore]],RiskTbl[Score_Min],1)),"Unknown")</f>
        <v>High Risk</v>
      </c>
      <c r="S1116" t="str">
        <f>IF(OR(Loans[[#This Row],[LoanStatus]]="Default",Loans[[#This Row],[LoanStatus]]="Watchlist",Loans[[#This Row],[CollateralRisk]]="Undersecured",Loans[[#This Row],[RiskCategory]]="High Risk"),"High Risk Exposure","Normal")</f>
        <v>High Risk Exposure</v>
      </c>
      <c r="T1116" t="str" cm="1">
        <f t="array" ref="T1116">_xlfn.IFS(
Loans[[#This Row],[LoanStatus]]="Default","Critical",
OR(Loans[[#This Row],[LoanStatus]]="Watchlist",Loans[[#This Row],[CollateralRisk]]="Undersecured",Loans[[#This Row],[RiskCategory]]="High Risk"),"High",
TRUE,"Normal"
)</f>
        <v>Critical</v>
      </c>
    </row>
    <row r="1117" spans="1:20" x14ac:dyDescent="0.35">
      <c r="A1117" t="s">
        <v>1858</v>
      </c>
      <c r="B1117" t="s">
        <v>1859</v>
      </c>
      <c r="C1117" t="s">
        <v>219</v>
      </c>
      <c r="D1117" t="s">
        <v>157</v>
      </c>
      <c r="E1117" s="34">
        <v>25000000</v>
      </c>
      <c r="F1117" s="29">
        <v>0.105</v>
      </c>
      <c r="G1117" s="30">
        <v>45925</v>
      </c>
      <c r="H1117">
        <v>36</v>
      </c>
      <c r="I1117">
        <v>5</v>
      </c>
      <c r="J1117" s="34">
        <v>29750000</v>
      </c>
      <c r="K1117" t="s">
        <v>171</v>
      </c>
      <c r="L1117" s="34">
        <f>PMT(Loans[[#This Row],[InterestRate]]/12,Loans[[#This Row],[LoanTenureMonths]],-Loans[[#This Row],[LoanAmount]])</f>
        <v>812561.08761717321</v>
      </c>
      <c r="M1117" s="30">
        <f>EDATE(Loans[[#This Row],[LoanStartDate]],Loans[[#This Row],[LoanTenureMonths]])</f>
        <v>47021</v>
      </c>
      <c r="N1117" s="33">
        <f>IF(Loans[[#This Row],[LoanAmount]]=0,0,Loans[[#This Row],[CollateralValue]]/Loans[[#This Row],[LoanAmount]])</f>
        <v>1.19</v>
      </c>
      <c r="O1117" t="str">
        <f>IF(Loans[[#This Row],[CollateralCoverageRatio]]&lt;1,"Undersecured","Secured")</f>
        <v>Secured</v>
      </c>
      <c r="P1117" t="str">
        <f>_xlfn.XLOOKUP(Loans[[#This Row],[BranchCode]],BranchesTbl[BranchCode],BranchesTbl[BranchName])</f>
        <v>Meru</v>
      </c>
      <c r="Q1117">
        <f>_xlfn.XLOOKUP(Loans[[#This Row],[CustomerID]],CustomerTbl[CustomerID],CustomerTbl[RiskScore])</f>
        <v>585</v>
      </c>
      <c r="R1117" t="str">
        <f>IFERROR(INDEX(RiskTbl[Risk_Category],MATCH(Loans[[#This Row],[RiskScore]],RiskTbl[Score_Min],1)),"Unknown")</f>
        <v>Medium Risk</v>
      </c>
      <c r="S1117" t="str">
        <f>IF(OR(Loans[[#This Row],[LoanStatus]]="Default",Loans[[#This Row],[LoanStatus]]="Watchlist",Loans[[#This Row],[CollateralRisk]]="Undersecured",Loans[[#This Row],[RiskCategory]]="High Risk"),"High Risk Exposure","Normal")</f>
        <v>Normal</v>
      </c>
      <c r="T1117" t="str" cm="1">
        <f t="array" ref="T1117">_xlfn.IFS(
Loans[[#This Row],[LoanStatus]]="Default","Critical",
OR(Loans[[#This Row],[LoanStatus]]="Watchlist",Loans[[#This Row],[CollateralRisk]]="Undersecured",Loans[[#This Row],[RiskCategory]]="High Risk"),"High",
TRUE,"Normal"
)</f>
        <v>Normal</v>
      </c>
    </row>
    <row r="1118" spans="1:20" x14ac:dyDescent="0.35">
      <c r="A1118" t="s">
        <v>1860</v>
      </c>
      <c r="B1118" t="s">
        <v>635</v>
      </c>
      <c r="C1118" t="s">
        <v>184</v>
      </c>
      <c r="D1118" t="s">
        <v>158</v>
      </c>
      <c r="E1118" s="34">
        <v>1000000</v>
      </c>
      <c r="F1118" s="29">
        <v>0.1545</v>
      </c>
      <c r="G1118" s="30">
        <v>45461</v>
      </c>
      <c r="H1118">
        <v>72</v>
      </c>
      <c r="I1118">
        <v>20</v>
      </c>
      <c r="J1118" s="34">
        <v>1080000</v>
      </c>
      <c r="K1118" t="s">
        <v>171</v>
      </c>
      <c r="L1118" s="34">
        <f>PMT(Loans[[#This Row],[InterestRate]]/12,Loans[[#This Row],[LoanTenureMonths]],-Loans[[#This Row],[LoanAmount]])</f>
        <v>21390.156171568113</v>
      </c>
      <c r="M1118" s="30">
        <f>EDATE(Loans[[#This Row],[LoanStartDate]],Loans[[#This Row],[LoanTenureMonths]])</f>
        <v>47652</v>
      </c>
      <c r="N1118" s="33">
        <f>IF(Loans[[#This Row],[LoanAmount]]=0,0,Loans[[#This Row],[CollateralValue]]/Loans[[#This Row],[LoanAmount]])</f>
        <v>1.08</v>
      </c>
      <c r="O1118" t="str">
        <f>IF(Loans[[#This Row],[CollateralCoverageRatio]]&lt;1,"Undersecured","Secured")</f>
        <v>Secured</v>
      </c>
      <c r="P1118" t="str">
        <f>_xlfn.XLOOKUP(Loans[[#This Row],[BranchCode]],BranchesTbl[BranchCode],BranchesTbl[BranchName])</f>
        <v>Kisumu</v>
      </c>
      <c r="Q1118">
        <f>_xlfn.XLOOKUP(Loans[[#This Row],[CustomerID]],CustomerTbl[CustomerID],CustomerTbl[RiskScore])</f>
        <v>333</v>
      </c>
      <c r="R1118" t="str">
        <f>IFERROR(INDEX(RiskTbl[Risk_Category],MATCH(Loans[[#This Row],[RiskScore]],RiskTbl[Score_Min],1)),"Unknown")</f>
        <v>High Risk</v>
      </c>
      <c r="S1118" t="str">
        <f>IF(OR(Loans[[#This Row],[LoanStatus]]="Default",Loans[[#This Row],[LoanStatus]]="Watchlist",Loans[[#This Row],[CollateralRisk]]="Undersecured",Loans[[#This Row],[RiskCategory]]="High Risk"),"High Risk Exposure","Normal")</f>
        <v>High Risk Exposure</v>
      </c>
      <c r="T1118" t="str" cm="1">
        <f t="array" ref="T1118">_xlfn.IFS(
Loans[[#This Row],[LoanStatus]]="Default","Critical",
OR(Loans[[#This Row],[LoanStatus]]="Watchlist",Loans[[#This Row],[CollateralRisk]]="Undersecured",Loans[[#This Row],[RiskCategory]]="High Risk"),"High",
TRUE,"Normal"
)</f>
        <v>High</v>
      </c>
    </row>
    <row r="1119" spans="1:20" x14ac:dyDescent="0.35">
      <c r="A1119" t="s">
        <v>1861</v>
      </c>
      <c r="B1119" t="s">
        <v>316</v>
      </c>
      <c r="C1119" t="s">
        <v>174</v>
      </c>
      <c r="D1119" t="s">
        <v>157</v>
      </c>
      <c r="E1119" s="34">
        <v>6000000</v>
      </c>
      <c r="F1119" s="29">
        <v>9.5899999999999999E-2</v>
      </c>
      <c r="G1119" s="30">
        <v>43928</v>
      </c>
      <c r="H1119">
        <v>24</v>
      </c>
      <c r="I1119">
        <v>0</v>
      </c>
      <c r="J1119" s="34">
        <v>8640000</v>
      </c>
      <c r="K1119" t="s">
        <v>171</v>
      </c>
      <c r="L1119" s="34">
        <f>PMT(Loans[[#This Row],[InterestRate]]/12,Loans[[#This Row],[LoanTenureMonths]],-Loans[[#This Row],[LoanAmount]])</f>
        <v>275735.52379597322</v>
      </c>
      <c r="M1119" s="30">
        <f>EDATE(Loans[[#This Row],[LoanStartDate]],Loans[[#This Row],[LoanTenureMonths]])</f>
        <v>44658</v>
      </c>
      <c r="N1119" s="33">
        <f>IF(Loans[[#This Row],[LoanAmount]]=0,0,Loans[[#This Row],[CollateralValue]]/Loans[[#This Row],[LoanAmount]])</f>
        <v>1.44</v>
      </c>
      <c r="O1119" t="str">
        <f>IF(Loans[[#This Row],[CollateralCoverageRatio]]&lt;1,"Undersecured","Secured")</f>
        <v>Secured</v>
      </c>
      <c r="P1119" t="str">
        <f>_xlfn.XLOOKUP(Loans[[#This Row],[BranchCode]],BranchesTbl[BranchCode],BranchesTbl[BranchName])</f>
        <v>Westlands</v>
      </c>
      <c r="Q1119">
        <f>_xlfn.XLOOKUP(Loans[[#This Row],[CustomerID]],CustomerTbl[CustomerID],CustomerTbl[RiskScore])</f>
        <v>325</v>
      </c>
      <c r="R1119" t="str">
        <f>IFERROR(INDEX(RiskTbl[Risk_Category],MATCH(Loans[[#This Row],[RiskScore]],RiskTbl[Score_Min],1)),"Unknown")</f>
        <v>High Risk</v>
      </c>
      <c r="S1119" t="str">
        <f>IF(OR(Loans[[#This Row],[LoanStatus]]="Default",Loans[[#This Row],[LoanStatus]]="Watchlist",Loans[[#This Row],[CollateralRisk]]="Undersecured",Loans[[#This Row],[RiskCategory]]="High Risk"),"High Risk Exposure","Normal")</f>
        <v>High Risk Exposure</v>
      </c>
      <c r="T1119" t="str" cm="1">
        <f t="array" ref="T1119">_xlfn.IFS(
Loans[[#This Row],[LoanStatus]]="Default","Critical",
OR(Loans[[#This Row],[LoanStatus]]="Watchlist",Loans[[#This Row],[CollateralRisk]]="Undersecured",Loans[[#This Row],[RiskCategory]]="High Risk"),"High",
TRUE,"Normal"
)</f>
        <v>High</v>
      </c>
    </row>
    <row r="1120" spans="1:20" x14ac:dyDescent="0.35">
      <c r="A1120" t="s">
        <v>1862</v>
      </c>
      <c r="B1120" t="s">
        <v>1863</v>
      </c>
      <c r="C1120" t="s">
        <v>170</v>
      </c>
      <c r="D1120" t="s">
        <v>157</v>
      </c>
      <c r="E1120" s="34">
        <v>80000000</v>
      </c>
      <c r="F1120" s="29">
        <v>0.13769999999999999</v>
      </c>
      <c r="G1120" s="30">
        <v>45736</v>
      </c>
      <c r="H1120">
        <v>24</v>
      </c>
      <c r="I1120">
        <v>0</v>
      </c>
      <c r="J1120" s="34">
        <v>55200000</v>
      </c>
      <c r="K1120" t="s">
        <v>171</v>
      </c>
      <c r="L1120" s="34">
        <f>PMT(Loans[[#This Row],[InterestRate]]/12,Loans[[#This Row],[LoanTenureMonths]],-Loans[[#This Row],[LoanAmount]])</f>
        <v>3832343.9708252973</v>
      </c>
      <c r="M1120" s="30">
        <f>EDATE(Loans[[#This Row],[LoanStartDate]],Loans[[#This Row],[LoanTenureMonths]])</f>
        <v>46466</v>
      </c>
      <c r="N1120" s="33">
        <f>IF(Loans[[#This Row],[LoanAmount]]=0,0,Loans[[#This Row],[CollateralValue]]/Loans[[#This Row],[LoanAmount]])</f>
        <v>0.69</v>
      </c>
      <c r="O1120" t="str">
        <f>IF(Loans[[#This Row],[CollateralCoverageRatio]]&lt;1,"Undersecured","Secured")</f>
        <v>Undersecured</v>
      </c>
      <c r="P1120" t="str">
        <f>_xlfn.XLOOKUP(Loans[[#This Row],[BranchCode]],BranchesTbl[BranchCode],BranchesTbl[BranchName])</f>
        <v>Thika</v>
      </c>
      <c r="Q1120">
        <f>_xlfn.XLOOKUP(Loans[[#This Row],[CustomerID]],CustomerTbl[CustomerID],CustomerTbl[RiskScore])</f>
        <v>551</v>
      </c>
      <c r="R1120" t="str">
        <f>IFERROR(INDEX(RiskTbl[Risk_Category],MATCH(Loans[[#This Row],[RiskScore]],RiskTbl[Score_Min],1)),"Unknown")</f>
        <v>High Risk</v>
      </c>
      <c r="S1120" t="str">
        <f>IF(OR(Loans[[#This Row],[LoanStatus]]="Default",Loans[[#This Row],[LoanStatus]]="Watchlist",Loans[[#This Row],[CollateralRisk]]="Undersecured",Loans[[#This Row],[RiskCategory]]="High Risk"),"High Risk Exposure","Normal")</f>
        <v>High Risk Exposure</v>
      </c>
      <c r="T1120" t="str" cm="1">
        <f t="array" ref="T1120">_xlfn.IFS(
Loans[[#This Row],[LoanStatus]]="Default","Critical",
OR(Loans[[#This Row],[LoanStatus]]="Watchlist",Loans[[#This Row],[CollateralRisk]]="Undersecured",Loans[[#This Row],[RiskCategory]]="High Risk"),"High",
TRUE,"Normal"
)</f>
        <v>High</v>
      </c>
    </row>
    <row r="1121" spans="1:20" x14ac:dyDescent="0.35">
      <c r="A1121" t="s">
        <v>1864</v>
      </c>
      <c r="B1121" t="s">
        <v>1865</v>
      </c>
      <c r="C1121" t="s">
        <v>196</v>
      </c>
      <c r="D1121" t="s">
        <v>158</v>
      </c>
      <c r="E1121" s="34">
        <v>1000000</v>
      </c>
      <c r="F1121" s="29">
        <v>0.18940000000000001</v>
      </c>
      <c r="G1121" s="30">
        <v>45251</v>
      </c>
      <c r="H1121">
        <v>12</v>
      </c>
      <c r="I1121">
        <v>5</v>
      </c>
      <c r="J1121" s="34">
        <v>610000</v>
      </c>
      <c r="K1121" t="s">
        <v>171</v>
      </c>
      <c r="L1121" s="34">
        <f>PMT(Loans[[#This Row],[InterestRate]]/12,Loans[[#This Row],[LoanTenureMonths]],-Loans[[#This Row],[LoanAmount]])</f>
        <v>92127.94523036397</v>
      </c>
      <c r="M1121" s="30">
        <f>EDATE(Loans[[#This Row],[LoanStartDate]],Loans[[#This Row],[LoanTenureMonths]])</f>
        <v>45617</v>
      </c>
      <c r="N1121" s="33">
        <f>IF(Loans[[#This Row],[LoanAmount]]=0,0,Loans[[#This Row],[CollateralValue]]/Loans[[#This Row],[LoanAmount]])</f>
        <v>0.61</v>
      </c>
      <c r="O1121" t="str">
        <f>IF(Loans[[#This Row],[CollateralCoverageRatio]]&lt;1,"Undersecured","Secured")</f>
        <v>Undersecured</v>
      </c>
      <c r="P1121" t="str">
        <f>_xlfn.XLOOKUP(Loans[[#This Row],[BranchCode]],BranchesTbl[BranchCode],BranchesTbl[BranchName])</f>
        <v>Karen</v>
      </c>
      <c r="Q1121">
        <f>_xlfn.XLOOKUP(Loans[[#This Row],[CustomerID]],CustomerTbl[CustomerID],CustomerTbl[RiskScore])</f>
        <v>635</v>
      </c>
      <c r="R1121" t="str">
        <f>IFERROR(INDEX(RiskTbl[Risk_Category],MATCH(Loans[[#This Row],[RiskScore]],RiskTbl[Score_Min],1)),"Unknown")</f>
        <v>Medium Risk</v>
      </c>
      <c r="S1121" t="str">
        <f>IF(OR(Loans[[#This Row],[LoanStatus]]="Default",Loans[[#This Row],[LoanStatus]]="Watchlist",Loans[[#This Row],[CollateralRisk]]="Undersecured",Loans[[#This Row],[RiskCategory]]="High Risk"),"High Risk Exposure","Normal")</f>
        <v>High Risk Exposure</v>
      </c>
      <c r="T1121" t="str" cm="1">
        <f t="array" ref="T1121">_xlfn.IFS(
Loans[[#This Row],[LoanStatus]]="Default","Critical",
OR(Loans[[#This Row],[LoanStatus]]="Watchlist",Loans[[#This Row],[CollateralRisk]]="Undersecured",Loans[[#This Row],[RiskCategory]]="High Risk"),"High",
TRUE,"Normal"
)</f>
        <v>High</v>
      </c>
    </row>
    <row r="1122" spans="1:20" x14ac:dyDescent="0.35">
      <c r="A1122" t="s">
        <v>1866</v>
      </c>
      <c r="B1122" t="s">
        <v>1867</v>
      </c>
      <c r="C1122" t="s">
        <v>196</v>
      </c>
      <c r="D1122" t="s">
        <v>155</v>
      </c>
      <c r="E1122" s="34">
        <v>500000</v>
      </c>
      <c r="F1122" s="29">
        <v>0.27700000000000002</v>
      </c>
      <c r="G1122" s="30">
        <v>44122</v>
      </c>
      <c r="H1122">
        <v>24</v>
      </c>
      <c r="I1122">
        <v>20</v>
      </c>
      <c r="J1122" s="34">
        <v>0</v>
      </c>
      <c r="K1122" t="s">
        <v>171</v>
      </c>
      <c r="L1122" s="34">
        <f>PMT(Loans[[#This Row],[InterestRate]]/12,Loans[[#This Row],[LoanTenureMonths]],-Loans[[#This Row],[LoanAmount]])</f>
        <v>27367.871897901918</v>
      </c>
      <c r="M1122" s="30">
        <f>EDATE(Loans[[#This Row],[LoanStartDate]],Loans[[#This Row],[LoanTenureMonths]])</f>
        <v>44852</v>
      </c>
      <c r="N1122" s="33">
        <f>IF(Loans[[#This Row],[LoanAmount]]=0,0,Loans[[#This Row],[CollateralValue]]/Loans[[#This Row],[LoanAmount]])</f>
        <v>0</v>
      </c>
      <c r="O1122" t="str">
        <f>IF(Loans[[#This Row],[CollateralCoverageRatio]]&lt;1,"Undersecured","Secured")</f>
        <v>Undersecured</v>
      </c>
      <c r="P1122" t="str">
        <f>_xlfn.XLOOKUP(Loans[[#This Row],[BranchCode]],BranchesTbl[BranchCode],BranchesTbl[BranchName])</f>
        <v>Karen</v>
      </c>
      <c r="Q1122">
        <f>_xlfn.XLOOKUP(Loans[[#This Row],[CustomerID]],CustomerTbl[CustomerID],CustomerTbl[RiskScore])</f>
        <v>825</v>
      </c>
      <c r="R1122" t="str">
        <f>IFERROR(INDEX(RiskTbl[Risk_Category],MATCH(Loans[[#This Row],[RiskScore]],RiskTbl[Score_Min],1)),"Unknown")</f>
        <v>Prime</v>
      </c>
      <c r="S1122" t="str">
        <f>IF(OR(Loans[[#This Row],[LoanStatus]]="Default",Loans[[#This Row],[LoanStatus]]="Watchlist",Loans[[#This Row],[CollateralRisk]]="Undersecured",Loans[[#This Row],[RiskCategory]]="High Risk"),"High Risk Exposure","Normal")</f>
        <v>High Risk Exposure</v>
      </c>
      <c r="T1122" t="str" cm="1">
        <f t="array" ref="T1122">_xlfn.IFS(
Loans[[#This Row],[LoanStatus]]="Default","Critical",
OR(Loans[[#This Row],[LoanStatus]]="Watchlist",Loans[[#This Row],[CollateralRisk]]="Undersecured",Loans[[#This Row],[RiskCategory]]="High Risk"),"High",
TRUE,"Normal"
)</f>
        <v>High</v>
      </c>
    </row>
    <row r="1123" spans="1:20" x14ac:dyDescent="0.35">
      <c r="A1123" t="s">
        <v>1868</v>
      </c>
      <c r="B1123" t="s">
        <v>1015</v>
      </c>
      <c r="C1123" t="s">
        <v>177</v>
      </c>
      <c r="D1123" t="s">
        <v>158</v>
      </c>
      <c r="E1123" s="34">
        <v>500000</v>
      </c>
      <c r="F1123" s="29">
        <v>0.1331</v>
      </c>
      <c r="G1123" s="30">
        <v>45815</v>
      </c>
      <c r="H1123">
        <v>48</v>
      </c>
      <c r="I1123">
        <v>120</v>
      </c>
      <c r="J1123" s="34">
        <v>285000</v>
      </c>
      <c r="K1123" t="s">
        <v>178</v>
      </c>
      <c r="L1123" s="34">
        <f>PMT(Loans[[#This Row],[InterestRate]]/12,Loans[[#This Row],[LoanTenureMonths]],-Loans[[#This Row],[LoanAmount]])</f>
        <v>13490.806107752198</v>
      </c>
      <c r="M1123" s="30">
        <f>EDATE(Loans[[#This Row],[LoanStartDate]],Loans[[#This Row],[LoanTenureMonths]])</f>
        <v>47276</v>
      </c>
      <c r="N1123" s="33">
        <f>IF(Loans[[#This Row],[LoanAmount]]=0,0,Loans[[#This Row],[CollateralValue]]/Loans[[#This Row],[LoanAmount]])</f>
        <v>0.56999999999999995</v>
      </c>
      <c r="O1123" t="str">
        <f>IF(Loans[[#This Row],[CollateralCoverageRatio]]&lt;1,"Undersecured","Secured")</f>
        <v>Undersecured</v>
      </c>
      <c r="P1123" t="str">
        <f>_xlfn.XLOOKUP(Loans[[#This Row],[BranchCode]],BranchesTbl[BranchCode],BranchesTbl[BranchName])</f>
        <v>Naivasha</v>
      </c>
      <c r="Q1123">
        <f>_xlfn.XLOOKUP(Loans[[#This Row],[CustomerID]],CustomerTbl[CustomerID],CustomerTbl[RiskScore])</f>
        <v>325</v>
      </c>
      <c r="R1123" t="str">
        <f>IFERROR(INDEX(RiskTbl[Risk_Category],MATCH(Loans[[#This Row],[RiskScore]],RiskTbl[Score_Min],1)),"Unknown")</f>
        <v>High Risk</v>
      </c>
      <c r="S1123" t="str">
        <f>IF(OR(Loans[[#This Row],[LoanStatus]]="Default",Loans[[#This Row],[LoanStatus]]="Watchlist",Loans[[#This Row],[CollateralRisk]]="Undersecured",Loans[[#This Row],[RiskCategory]]="High Risk"),"High Risk Exposure","Normal")</f>
        <v>High Risk Exposure</v>
      </c>
      <c r="T1123" t="str" cm="1">
        <f t="array" ref="T1123">_xlfn.IFS(
Loans[[#This Row],[LoanStatus]]="Default","Critical",
OR(Loans[[#This Row],[LoanStatus]]="Watchlist",Loans[[#This Row],[CollateralRisk]]="Undersecured",Loans[[#This Row],[RiskCategory]]="High Risk"),"High",
TRUE,"Normal"
)</f>
        <v>Critical</v>
      </c>
    </row>
    <row r="1124" spans="1:20" x14ac:dyDescent="0.35">
      <c r="A1124" t="s">
        <v>1869</v>
      </c>
      <c r="B1124" t="s">
        <v>879</v>
      </c>
      <c r="C1124" t="s">
        <v>239</v>
      </c>
      <c r="D1124" t="s">
        <v>155</v>
      </c>
      <c r="E1124" s="34">
        <v>250000</v>
      </c>
      <c r="F1124" s="29">
        <v>0.2039</v>
      </c>
      <c r="G1124" s="30">
        <v>45374</v>
      </c>
      <c r="H1124">
        <v>36</v>
      </c>
      <c r="I1124">
        <v>20</v>
      </c>
      <c r="J1124" s="34">
        <v>0</v>
      </c>
      <c r="K1124" t="s">
        <v>171</v>
      </c>
      <c r="L1124" s="34">
        <f>PMT(Loans[[#This Row],[InterestRate]]/12,Loans[[#This Row],[LoanTenureMonths]],-Loans[[#This Row],[LoanAmount]])</f>
        <v>9340.6491931742748</v>
      </c>
      <c r="M1124" s="30">
        <f>EDATE(Loans[[#This Row],[LoanStartDate]],Loans[[#This Row],[LoanTenureMonths]])</f>
        <v>46469</v>
      </c>
      <c r="N1124" s="33">
        <f>IF(Loans[[#This Row],[LoanAmount]]=0,0,Loans[[#This Row],[CollateralValue]]/Loans[[#This Row],[LoanAmount]])</f>
        <v>0</v>
      </c>
      <c r="O1124" t="str">
        <f>IF(Loans[[#This Row],[CollateralCoverageRatio]]&lt;1,"Undersecured","Secured")</f>
        <v>Undersecured</v>
      </c>
      <c r="P1124" t="str">
        <f>_xlfn.XLOOKUP(Loans[[#This Row],[BranchCode]],BranchesTbl[BranchCode],BranchesTbl[BranchName])</f>
        <v>Machakos</v>
      </c>
      <c r="Q1124">
        <f>_xlfn.XLOOKUP(Loans[[#This Row],[CustomerID]],CustomerTbl[CustomerID],CustomerTbl[RiskScore])</f>
        <v>580</v>
      </c>
      <c r="R1124" t="str">
        <f>IFERROR(INDEX(RiskTbl[Risk_Category],MATCH(Loans[[#This Row],[RiskScore]],RiskTbl[Score_Min],1)),"Unknown")</f>
        <v>Medium Risk</v>
      </c>
      <c r="S1124" t="str">
        <f>IF(OR(Loans[[#This Row],[LoanStatus]]="Default",Loans[[#This Row],[LoanStatus]]="Watchlist",Loans[[#This Row],[CollateralRisk]]="Undersecured",Loans[[#This Row],[RiskCategory]]="High Risk"),"High Risk Exposure","Normal")</f>
        <v>High Risk Exposure</v>
      </c>
      <c r="T1124" t="str" cm="1">
        <f t="array" ref="T1124">_xlfn.IFS(
Loans[[#This Row],[LoanStatus]]="Default","Critical",
OR(Loans[[#This Row],[LoanStatus]]="Watchlist",Loans[[#This Row],[CollateralRisk]]="Undersecured",Loans[[#This Row],[RiskCategory]]="High Risk"),"High",
TRUE,"Normal"
)</f>
        <v>High</v>
      </c>
    </row>
    <row r="1125" spans="1:20" x14ac:dyDescent="0.35">
      <c r="A1125" t="s">
        <v>1870</v>
      </c>
      <c r="B1125" t="s">
        <v>1139</v>
      </c>
      <c r="C1125" t="s">
        <v>174</v>
      </c>
      <c r="D1125" t="s">
        <v>156</v>
      </c>
      <c r="E1125" s="34">
        <v>25000000</v>
      </c>
      <c r="F1125" s="29">
        <v>0.20300000000000001</v>
      </c>
      <c r="G1125" s="30">
        <v>45349</v>
      </c>
      <c r="H1125">
        <v>36</v>
      </c>
      <c r="I1125">
        <v>120</v>
      </c>
      <c r="J1125" s="34">
        <v>25500000</v>
      </c>
      <c r="K1125" t="s">
        <v>178</v>
      </c>
      <c r="L1125" s="34">
        <f>PMT(Loans[[#This Row],[InterestRate]]/12,Loans[[#This Row],[LoanTenureMonths]],-Loans[[#This Row],[LoanAmount]])</f>
        <v>932915.44322122145</v>
      </c>
      <c r="M1125" s="30">
        <f>EDATE(Loans[[#This Row],[LoanStartDate]],Loans[[#This Row],[LoanTenureMonths]])</f>
        <v>46445</v>
      </c>
      <c r="N1125" s="33">
        <f>IF(Loans[[#This Row],[LoanAmount]]=0,0,Loans[[#This Row],[CollateralValue]]/Loans[[#This Row],[LoanAmount]])</f>
        <v>1.02</v>
      </c>
      <c r="O1125" t="str">
        <f>IF(Loans[[#This Row],[CollateralCoverageRatio]]&lt;1,"Undersecured","Secured")</f>
        <v>Secured</v>
      </c>
      <c r="P1125" t="str">
        <f>_xlfn.XLOOKUP(Loans[[#This Row],[BranchCode]],BranchesTbl[BranchCode],BranchesTbl[BranchName])</f>
        <v>Westlands</v>
      </c>
      <c r="Q1125">
        <f>_xlfn.XLOOKUP(Loans[[#This Row],[CustomerID]],CustomerTbl[CustomerID],CustomerTbl[RiskScore])</f>
        <v>696</v>
      </c>
      <c r="R1125" t="str">
        <f>IFERROR(INDEX(RiskTbl[Risk_Category],MATCH(Loans[[#This Row],[RiskScore]],RiskTbl[Score_Min],1)),"Unknown")</f>
        <v>Low Risk</v>
      </c>
      <c r="S1125" t="str">
        <f>IF(OR(Loans[[#This Row],[LoanStatus]]="Default",Loans[[#This Row],[LoanStatus]]="Watchlist",Loans[[#This Row],[CollateralRisk]]="Undersecured",Loans[[#This Row],[RiskCategory]]="High Risk"),"High Risk Exposure","Normal")</f>
        <v>High Risk Exposure</v>
      </c>
      <c r="T1125" t="str" cm="1">
        <f t="array" ref="T1125">_xlfn.IFS(
Loans[[#This Row],[LoanStatus]]="Default","Critical",
OR(Loans[[#This Row],[LoanStatus]]="Watchlist",Loans[[#This Row],[CollateralRisk]]="Undersecured",Loans[[#This Row],[RiskCategory]]="High Risk"),"High",
TRUE,"Normal"
)</f>
        <v>Critical</v>
      </c>
    </row>
    <row r="1126" spans="1:20" x14ac:dyDescent="0.35">
      <c r="A1126" t="s">
        <v>1871</v>
      </c>
      <c r="B1126" t="s">
        <v>633</v>
      </c>
      <c r="C1126" t="s">
        <v>174</v>
      </c>
      <c r="D1126" t="s">
        <v>156</v>
      </c>
      <c r="E1126" s="34">
        <v>3000000</v>
      </c>
      <c r="F1126" s="29">
        <v>0.19209999999999999</v>
      </c>
      <c r="G1126" s="30">
        <v>43910</v>
      </c>
      <c r="H1126">
        <v>72</v>
      </c>
      <c r="I1126">
        <v>0</v>
      </c>
      <c r="J1126" s="34">
        <v>3060000</v>
      </c>
      <c r="K1126" t="s">
        <v>171</v>
      </c>
      <c r="L1126" s="34">
        <f>PMT(Loans[[#This Row],[InterestRate]]/12,Loans[[#This Row],[LoanTenureMonths]],-Loans[[#This Row],[LoanAmount]])</f>
        <v>70491.339614062919</v>
      </c>
      <c r="M1126" s="30">
        <f>EDATE(Loans[[#This Row],[LoanStartDate]],Loans[[#This Row],[LoanTenureMonths]])</f>
        <v>46101</v>
      </c>
      <c r="N1126" s="33">
        <f>IF(Loans[[#This Row],[LoanAmount]]=0,0,Loans[[#This Row],[CollateralValue]]/Loans[[#This Row],[LoanAmount]])</f>
        <v>1.02</v>
      </c>
      <c r="O1126" t="str">
        <f>IF(Loans[[#This Row],[CollateralCoverageRatio]]&lt;1,"Undersecured","Secured")</f>
        <v>Secured</v>
      </c>
      <c r="P1126" t="str">
        <f>_xlfn.XLOOKUP(Loans[[#This Row],[BranchCode]],BranchesTbl[BranchCode],BranchesTbl[BranchName])</f>
        <v>Westlands</v>
      </c>
      <c r="Q1126">
        <f>_xlfn.XLOOKUP(Loans[[#This Row],[CustomerID]],CustomerTbl[CustomerID],CustomerTbl[RiskScore])</f>
        <v>772</v>
      </c>
      <c r="R1126" t="str">
        <f>IFERROR(INDEX(RiskTbl[Risk_Category],MATCH(Loans[[#This Row],[RiskScore]],RiskTbl[Score_Min],1)),"Unknown")</f>
        <v>Very Low Risk</v>
      </c>
      <c r="S1126" t="str">
        <f>IF(OR(Loans[[#This Row],[LoanStatus]]="Default",Loans[[#This Row],[LoanStatus]]="Watchlist",Loans[[#This Row],[CollateralRisk]]="Undersecured",Loans[[#This Row],[RiskCategory]]="High Risk"),"High Risk Exposure","Normal")</f>
        <v>Normal</v>
      </c>
      <c r="T1126" t="str" cm="1">
        <f t="array" ref="T1126">_xlfn.IFS(
Loans[[#This Row],[LoanStatus]]="Default","Critical",
OR(Loans[[#This Row],[LoanStatus]]="Watchlist",Loans[[#This Row],[CollateralRisk]]="Undersecured",Loans[[#This Row],[RiskCategory]]="High Risk"),"High",
TRUE,"Normal"
)</f>
        <v>Normal</v>
      </c>
    </row>
    <row r="1127" spans="1:20" x14ac:dyDescent="0.35">
      <c r="A1127" t="s">
        <v>1872</v>
      </c>
      <c r="B1127" t="s">
        <v>1873</v>
      </c>
      <c r="C1127" t="s">
        <v>170</v>
      </c>
      <c r="D1127" t="s">
        <v>155</v>
      </c>
      <c r="E1127" s="34">
        <v>1000000</v>
      </c>
      <c r="F1127" s="29">
        <v>0.24809999999999999</v>
      </c>
      <c r="G1127" s="30">
        <v>45273</v>
      </c>
      <c r="H1127">
        <v>60</v>
      </c>
      <c r="I1127">
        <v>10</v>
      </c>
      <c r="J1127" s="34">
        <v>0</v>
      </c>
      <c r="K1127" t="s">
        <v>171</v>
      </c>
      <c r="L1127" s="34">
        <f>PMT(Loans[[#This Row],[InterestRate]]/12,Loans[[#This Row],[LoanTenureMonths]],-Loans[[#This Row],[LoanAmount]])</f>
        <v>29240.037734743793</v>
      </c>
      <c r="M1127" s="30">
        <f>EDATE(Loans[[#This Row],[LoanStartDate]],Loans[[#This Row],[LoanTenureMonths]])</f>
        <v>47100</v>
      </c>
      <c r="N1127" s="33">
        <f>IF(Loans[[#This Row],[LoanAmount]]=0,0,Loans[[#This Row],[CollateralValue]]/Loans[[#This Row],[LoanAmount]])</f>
        <v>0</v>
      </c>
      <c r="O1127" t="str">
        <f>IF(Loans[[#This Row],[CollateralCoverageRatio]]&lt;1,"Undersecured","Secured")</f>
        <v>Undersecured</v>
      </c>
      <c r="P1127" t="str">
        <f>_xlfn.XLOOKUP(Loans[[#This Row],[BranchCode]],BranchesTbl[BranchCode],BranchesTbl[BranchName])</f>
        <v>Thika</v>
      </c>
      <c r="Q1127">
        <f>_xlfn.XLOOKUP(Loans[[#This Row],[CustomerID]],CustomerTbl[CustomerID],CustomerTbl[RiskScore])</f>
        <v>389</v>
      </c>
      <c r="R1127" t="str">
        <f>IFERROR(INDEX(RiskTbl[Risk_Category],MATCH(Loans[[#This Row],[RiskScore]],RiskTbl[Score_Min],1)),"Unknown")</f>
        <v>High Risk</v>
      </c>
      <c r="S1127" t="str">
        <f>IF(OR(Loans[[#This Row],[LoanStatus]]="Default",Loans[[#This Row],[LoanStatus]]="Watchlist",Loans[[#This Row],[CollateralRisk]]="Undersecured",Loans[[#This Row],[RiskCategory]]="High Risk"),"High Risk Exposure","Normal")</f>
        <v>High Risk Exposure</v>
      </c>
      <c r="T1127" t="str" cm="1">
        <f t="array" ref="T1127">_xlfn.IFS(
Loans[[#This Row],[LoanStatus]]="Default","Critical",
OR(Loans[[#This Row],[LoanStatus]]="Watchlist",Loans[[#This Row],[CollateralRisk]]="Undersecured",Loans[[#This Row],[RiskCategory]]="High Risk"),"High",
TRUE,"Normal"
)</f>
        <v>High</v>
      </c>
    </row>
    <row r="1128" spans="1:20" x14ac:dyDescent="0.35">
      <c r="A1128" t="s">
        <v>1874</v>
      </c>
      <c r="B1128" t="s">
        <v>598</v>
      </c>
      <c r="C1128" t="s">
        <v>196</v>
      </c>
      <c r="D1128" t="s">
        <v>157</v>
      </c>
      <c r="E1128" s="34">
        <v>6000000</v>
      </c>
      <c r="F1128" s="29">
        <v>0.1333</v>
      </c>
      <c r="G1128" s="30">
        <v>45541</v>
      </c>
      <c r="H1128">
        <v>36</v>
      </c>
      <c r="I1128">
        <v>120</v>
      </c>
      <c r="J1128" s="34">
        <v>3780000</v>
      </c>
      <c r="K1128" t="s">
        <v>178</v>
      </c>
      <c r="L1128" s="34">
        <f>PMT(Loans[[#This Row],[InterestRate]]/12,Loans[[#This Row],[LoanTenureMonths]],-Loans[[#This Row],[LoanAmount]])</f>
        <v>203118.72139134083</v>
      </c>
      <c r="M1128" s="30">
        <f>EDATE(Loans[[#This Row],[LoanStartDate]],Loans[[#This Row],[LoanTenureMonths]])</f>
        <v>46636</v>
      </c>
      <c r="N1128" s="33">
        <f>IF(Loans[[#This Row],[LoanAmount]]=0,0,Loans[[#This Row],[CollateralValue]]/Loans[[#This Row],[LoanAmount]])</f>
        <v>0.63</v>
      </c>
      <c r="O1128" t="str">
        <f>IF(Loans[[#This Row],[CollateralCoverageRatio]]&lt;1,"Undersecured","Secured")</f>
        <v>Undersecured</v>
      </c>
      <c r="P1128" t="str">
        <f>_xlfn.XLOOKUP(Loans[[#This Row],[BranchCode]],BranchesTbl[BranchCode],BranchesTbl[BranchName])</f>
        <v>Karen</v>
      </c>
      <c r="Q1128">
        <f>_xlfn.XLOOKUP(Loans[[#This Row],[CustomerID]],CustomerTbl[CustomerID],CustomerTbl[RiskScore])</f>
        <v>329</v>
      </c>
      <c r="R1128" t="str">
        <f>IFERROR(INDEX(RiskTbl[Risk_Category],MATCH(Loans[[#This Row],[RiskScore]],RiskTbl[Score_Min],1)),"Unknown")</f>
        <v>High Risk</v>
      </c>
      <c r="S1128" t="str">
        <f>IF(OR(Loans[[#This Row],[LoanStatus]]="Default",Loans[[#This Row],[LoanStatus]]="Watchlist",Loans[[#This Row],[CollateralRisk]]="Undersecured",Loans[[#This Row],[RiskCategory]]="High Risk"),"High Risk Exposure","Normal")</f>
        <v>High Risk Exposure</v>
      </c>
      <c r="T1128" t="str" cm="1">
        <f t="array" ref="T1128">_xlfn.IFS(
Loans[[#This Row],[LoanStatus]]="Default","Critical",
OR(Loans[[#This Row],[LoanStatus]]="Watchlist",Loans[[#This Row],[CollateralRisk]]="Undersecured",Loans[[#This Row],[RiskCategory]]="High Risk"),"High",
TRUE,"Normal"
)</f>
        <v>Critical</v>
      </c>
    </row>
    <row r="1129" spans="1:20" x14ac:dyDescent="0.35">
      <c r="A1129" t="s">
        <v>1875</v>
      </c>
      <c r="B1129" t="s">
        <v>298</v>
      </c>
      <c r="C1129" t="s">
        <v>267</v>
      </c>
      <c r="D1129" t="s">
        <v>158</v>
      </c>
      <c r="E1129" s="34">
        <v>6000000</v>
      </c>
      <c r="F1129" s="29">
        <v>0.13780000000000001</v>
      </c>
      <c r="G1129" s="30">
        <v>45603</v>
      </c>
      <c r="H1129">
        <v>24</v>
      </c>
      <c r="I1129">
        <v>20</v>
      </c>
      <c r="J1129" s="34">
        <v>8340000</v>
      </c>
      <c r="K1129" t="s">
        <v>171</v>
      </c>
      <c r="L1129" s="34">
        <f>PMT(Loans[[#This Row],[InterestRate]]/12,Loans[[#This Row],[LoanTenureMonths]],-Loans[[#This Row],[LoanAmount]])</f>
        <v>287454.10612365813</v>
      </c>
      <c r="M1129" s="30">
        <f>EDATE(Loans[[#This Row],[LoanStartDate]],Loans[[#This Row],[LoanTenureMonths]])</f>
        <v>46333</v>
      </c>
      <c r="N1129" s="33">
        <f>IF(Loans[[#This Row],[LoanAmount]]=0,0,Loans[[#This Row],[CollateralValue]]/Loans[[#This Row],[LoanAmount]])</f>
        <v>1.39</v>
      </c>
      <c r="O1129" t="str">
        <f>IF(Loans[[#This Row],[CollateralCoverageRatio]]&lt;1,"Undersecured","Secured")</f>
        <v>Secured</v>
      </c>
      <c r="P1129" t="str">
        <f>_xlfn.XLOOKUP(Loans[[#This Row],[BranchCode]],BranchesTbl[BranchCode],BranchesTbl[BranchName])</f>
        <v>Malindi</v>
      </c>
      <c r="Q1129">
        <f>_xlfn.XLOOKUP(Loans[[#This Row],[CustomerID]],CustomerTbl[CustomerID],CustomerTbl[RiskScore])</f>
        <v>324</v>
      </c>
      <c r="R1129" t="str">
        <f>IFERROR(INDEX(RiskTbl[Risk_Category],MATCH(Loans[[#This Row],[RiskScore]],RiskTbl[Score_Min],1)),"Unknown")</f>
        <v>High Risk</v>
      </c>
      <c r="S1129" t="str">
        <f>IF(OR(Loans[[#This Row],[LoanStatus]]="Default",Loans[[#This Row],[LoanStatus]]="Watchlist",Loans[[#This Row],[CollateralRisk]]="Undersecured",Loans[[#This Row],[RiskCategory]]="High Risk"),"High Risk Exposure","Normal")</f>
        <v>High Risk Exposure</v>
      </c>
      <c r="T1129" t="str" cm="1">
        <f t="array" ref="T1129">_xlfn.IFS(
Loans[[#This Row],[LoanStatus]]="Default","Critical",
OR(Loans[[#This Row],[LoanStatus]]="Watchlist",Loans[[#This Row],[CollateralRisk]]="Undersecured",Loans[[#This Row],[RiskCategory]]="High Risk"),"High",
TRUE,"Normal"
)</f>
        <v>High</v>
      </c>
    </row>
    <row r="1130" spans="1:20" x14ac:dyDescent="0.35">
      <c r="A1130" t="s">
        <v>1876</v>
      </c>
      <c r="B1130" t="s">
        <v>1061</v>
      </c>
      <c r="C1130" t="s">
        <v>174</v>
      </c>
      <c r="D1130" t="s">
        <v>155</v>
      </c>
      <c r="E1130" s="34">
        <v>100000</v>
      </c>
      <c r="F1130" s="29">
        <v>0.1961</v>
      </c>
      <c r="G1130" s="30">
        <v>45715</v>
      </c>
      <c r="H1130">
        <v>36</v>
      </c>
      <c r="I1130">
        <v>90</v>
      </c>
      <c r="J1130" s="34">
        <v>0</v>
      </c>
      <c r="K1130" t="s">
        <v>199</v>
      </c>
      <c r="L1130" s="34">
        <f>PMT(Loans[[#This Row],[InterestRate]]/12,Loans[[#This Row],[LoanTenureMonths]],-Loans[[#This Row],[LoanAmount]])</f>
        <v>3696.5166282260429</v>
      </c>
      <c r="M1130" s="30">
        <f>EDATE(Loans[[#This Row],[LoanStartDate]],Loans[[#This Row],[LoanTenureMonths]])</f>
        <v>46810</v>
      </c>
      <c r="N1130" s="33">
        <f>IF(Loans[[#This Row],[LoanAmount]]=0,0,Loans[[#This Row],[CollateralValue]]/Loans[[#This Row],[LoanAmount]])</f>
        <v>0</v>
      </c>
      <c r="O1130" t="str">
        <f>IF(Loans[[#This Row],[CollateralCoverageRatio]]&lt;1,"Undersecured","Secured")</f>
        <v>Undersecured</v>
      </c>
      <c r="P1130" t="str">
        <f>_xlfn.XLOOKUP(Loans[[#This Row],[BranchCode]],BranchesTbl[BranchCode],BranchesTbl[BranchName])</f>
        <v>Westlands</v>
      </c>
      <c r="Q1130">
        <f>_xlfn.XLOOKUP(Loans[[#This Row],[CustomerID]],CustomerTbl[CustomerID],CustomerTbl[RiskScore])</f>
        <v>453</v>
      </c>
      <c r="R1130" t="str">
        <f>IFERROR(INDEX(RiskTbl[Risk_Category],MATCH(Loans[[#This Row],[RiskScore]],RiskTbl[Score_Min],1)),"Unknown")</f>
        <v>High Risk</v>
      </c>
      <c r="S1130" t="str">
        <f>IF(OR(Loans[[#This Row],[LoanStatus]]="Default",Loans[[#This Row],[LoanStatus]]="Watchlist",Loans[[#This Row],[CollateralRisk]]="Undersecured",Loans[[#This Row],[RiskCategory]]="High Risk"),"High Risk Exposure","Normal")</f>
        <v>High Risk Exposure</v>
      </c>
      <c r="T1130" t="str" cm="1">
        <f t="array" ref="T1130">_xlfn.IFS(
Loans[[#This Row],[LoanStatus]]="Default","Critical",
OR(Loans[[#This Row],[LoanStatus]]="Watchlist",Loans[[#This Row],[CollateralRisk]]="Undersecured",Loans[[#This Row],[RiskCategory]]="High Risk"),"High",
TRUE,"Normal"
)</f>
        <v>High</v>
      </c>
    </row>
    <row r="1131" spans="1:20" x14ac:dyDescent="0.35">
      <c r="A1131" t="s">
        <v>1877</v>
      </c>
      <c r="B1131" t="s">
        <v>1878</v>
      </c>
      <c r="C1131" t="s">
        <v>239</v>
      </c>
      <c r="D1131" t="s">
        <v>157</v>
      </c>
      <c r="E1131" s="34">
        <v>25000000</v>
      </c>
      <c r="F1131" s="29">
        <v>0.12570000000000001</v>
      </c>
      <c r="G1131" s="30">
        <v>45996</v>
      </c>
      <c r="H1131">
        <v>12</v>
      </c>
      <c r="I1131">
        <v>45</v>
      </c>
      <c r="J1131" s="34">
        <v>17500000</v>
      </c>
      <c r="K1131" t="s">
        <v>199</v>
      </c>
      <c r="L1131" s="34">
        <f>PMT(Loans[[#This Row],[InterestRate]]/12,Loans[[#This Row],[LoanTenureMonths]],-Loans[[#This Row],[LoanAmount]])</f>
        <v>2227891.5032645953</v>
      </c>
      <c r="M1131" s="30">
        <f>EDATE(Loans[[#This Row],[LoanStartDate]],Loans[[#This Row],[LoanTenureMonths]])</f>
        <v>46361</v>
      </c>
      <c r="N1131" s="33">
        <f>IF(Loans[[#This Row],[LoanAmount]]=0,0,Loans[[#This Row],[CollateralValue]]/Loans[[#This Row],[LoanAmount]])</f>
        <v>0.7</v>
      </c>
      <c r="O1131" t="str">
        <f>IF(Loans[[#This Row],[CollateralCoverageRatio]]&lt;1,"Undersecured","Secured")</f>
        <v>Undersecured</v>
      </c>
      <c r="P1131" t="str">
        <f>_xlfn.XLOOKUP(Loans[[#This Row],[BranchCode]],BranchesTbl[BranchCode],BranchesTbl[BranchName])</f>
        <v>Machakos</v>
      </c>
      <c r="Q1131">
        <f>_xlfn.XLOOKUP(Loans[[#This Row],[CustomerID]],CustomerTbl[CustomerID],CustomerTbl[RiskScore])</f>
        <v>444</v>
      </c>
      <c r="R1131" t="str">
        <f>IFERROR(INDEX(RiskTbl[Risk_Category],MATCH(Loans[[#This Row],[RiskScore]],RiskTbl[Score_Min],1)),"Unknown")</f>
        <v>High Risk</v>
      </c>
      <c r="S1131" t="str">
        <f>IF(OR(Loans[[#This Row],[LoanStatus]]="Default",Loans[[#This Row],[LoanStatus]]="Watchlist",Loans[[#This Row],[CollateralRisk]]="Undersecured",Loans[[#This Row],[RiskCategory]]="High Risk"),"High Risk Exposure","Normal")</f>
        <v>High Risk Exposure</v>
      </c>
      <c r="T1131" t="str" cm="1">
        <f t="array" ref="T1131">_xlfn.IFS(
Loans[[#This Row],[LoanStatus]]="Default","Critical",
OR(Loans[[#This Row],[LoanStatus]]="Watchlist",Loans[[#This Row],[CollateralRisk]]="Undersecured",Loans[[#This Row],[RiskCategory]]="High Risk"),"High",
TRUE,"Normal"
)</f>
        <v>High</v>
      </c>
    </row>
    <row r="1132" spans="1:20" x14ac:dyDescent="0.35">
      <c r="A1132" t="s">
        <v>1879</v>
      </c>
      <c r="B1132" t="s">
        <v>1557</v>
      </c>
      <c r="C1132" t="s">
        <v>174</v>
      </c>
      <c r="D1132" t="s">
        <v>157</v>
      </c>
      <c r="E1132" s="34">
        <v>80000000</v>
      </c>
      <c r="F1132" s="29">
        <v>0.12939999999999999</v>
      </c>
      <c r="G1132" s="30">
        <v>45982</v>
      </c>
      <c r="H1132">
        <v>72</v>
      </c>
      <c r="I1132">
        <v>0</v>
      </c>
      <c r="J1132" s="34">
        <v>61600000</v>
      </c>
      <c r="K1132" t="s">
        <v>171</v>
      </c>
      <c r="L1132" s="34">
        <f>PMT(Loans[[#This Row],[InterestRate]]/12,Loans[[#This Row],[LoanTenureMonths]],-Loans[[#This Row],[LoanAmount]])</f>
        <v>1603396.1520722867</v>
      </c>
      <c r="M1132" s="30">
        <f>EDATE(Loans[[#This Row],[LoanStartDate]],Loans[[#This Row],[LoanTenureMonths]])</f>
        <v>48173</v>
      </c>
      <c r="N1132" s="33">
        <f>IF(Loans[[#This Row],[LoanAmount]]=0,0,Loans[[#This Row],[CollateralValue]]/Loans[[#This Row],[LoanAmount]])</f>
        <v>0.77</v>
      </c>
      <c r="O1132" t="str">
        <f>IF(Loans[[#This Row],[CollateralCoverageRatio]]&lt;1,"Undersecured","Secured")</f>
        <v>Undersecured</v>
      </c>
      <c r="P1132" t="str">
        <f>_xlfn.XLOOKUP(Loans[[#This Row],[BranchCode]],BranchesTbl[BranchCode],BranchesTbl[BranchName])</f>
        <v>Westlands</v>
      </c>
      <c r="Q1132">
        <f>_xlfn.XLOOKUP(Loans[[#This Row],[CustomerID]],CustomerTbl[CustomerID],CustomerTbl[RiskScore])</f>
        <v>692</v>
      </c>
      <c r="R1132" t="str">
        <f>IFERROR(INDEX(RiskTbl[Risk_Category],MATCH(Loans[[#This Row],[RiskScore]],RiskTbl[Score_Min],1)),"Unknown")</f>
        <v>Low Risk</v>
      </c>
      <c r="S1132" t="str">
        <f>IF(OR(Loans[[#This Row],[LoanStatus]]="Default",Loans[[#This Row],[LoanStatus]]="Watchlist",Loans[[#This Row],[CollateralRisk]]="Undersecured",Loans[[#This Row],[RiskCategory]]="High Risk"),"High Risk Exposure","Normal")</f>
        <v>High Risk Exposure</v>
      </c>
      <c r="T1132" t="str" cm="1">
        <f t="array" ref="T1132">_xlfn.IFS(
Loans[[#This Row],[LoanStatus]]="Default","Critical",
OR(Loans[[#This Row],[LoanStatus]]="Watchlist",Loans[[#This Row],[CollateralRisk]]="Undersecured",Loans[[#This Row],[RiskCategory]]="High Risk"),"High",
TRUE,"Normal"
)</f>
        <v>High</v>
      </c>
    </row>
    <row r="1133" spans="1:20" x14ac:dyDescent="0.35">
      <c r="A1133" t="s">
        <v>1880</v>
      </c>
      <c r="B1133" t="s">
        <v>373</v>
      </c>
      <c r="C1133" t="s">
        <v>239</v>
      </c>
      <c r="D1133" t="s">
        <v>157</v>
      </c>
      <c r="E1133" s="34">
        <v>6000000</v>
      </c>
      <c r="F1133" s="29">
        <v>0.13469999999999999</v>
      </c>
      <c r="G1133" s="30">
        <v>45201</v>
      </c>
      <c r="H1133">
        <v>72</v>
      </c>
      <c r="I1133">
        <v>0</v>
      </c>
      <c r="J1133" s="34">
        <v>5460000</v>
      </c>
      <c r="K1133" t="s">
        <v>171</v>
      </c>
      <c r="L1133" s="34">
        <f>PMT(Loans[[#This Row],[InterestRate]]/12,Loans[[#This Row],[LoanTenureMonths]],-Loans[[#This Row],[LoanAmount]])</f>
        <v>121938.09899251758</v>
      </c>
      <c r="M1133" s="30">
        <f>EDATE(Loans[[#This Row],[LoanStartDate]],Loans[[#This Row],[LoanTenureMonths]])</f>
        <v>47393</v>
      </c>
      <c r="N1133" s="33">
        <f>IF(Loans[[#This Row],[LoanAmount]]=0,0,Loans[[#This Row],[CollateralValue]]/Loans[[#This Row],[LoanAmount]])</f>
        <v>0.91</v>
      </c>
      <c r="O1133" t="str">
        <f>IF(Loans[[#This Row],[CollateralCoverageRatio]]&lt;1,"Undersecured","Secured")</f>
        <v>Undersecured</v>
      </c>
      <c r="P1133" t="str">
        <f>_xlfn.XLOOKUP(Loans[[#This Row],[BranchCode]],BranchesTbl[BranchCode],BranchesTbl[BranchName])</f>
        <v>Machakos</v>
      </c>
      <c r="Q1133">
        <f>_xlfn.XLOOKUP(Loans[[#This Row],[CustomerID]],CustomerTbl[CustomerID],CustomerTbl[RiskScore])</f>
        <v>547</v>
      </c>
      <c r="R1133" t="str">
        <f>IFERROR(INDEX(RiskTbl[Risk_Category],MATCH(Loans[[#This Row],[RiskScore]],RiskTbl[Score_Min],1)),"Unknown")</f>
        <v>High Risk</v>
      </c>
      <c r="S1133" t="str">
        <f>IF(OR(Loans[[#This Row],[LoanStatus]]="Default",Loans[[#This Row],[LoanStatus]]="Watchlist",Loans[[#This Row],[CollateralRisk]]="Undersecured",Loans[[#This Row],[RiskCategory]]="High Risk"),"High Risk Exposure","Normal")</f>
        <v>High Risk Exposure</v>
      </c>
      <c r="T1133" t="str" cm="1">
        <f t="array" ref="T1133">_xlfn.IFS(
Loans[[#This Row],[LoanStatus]]="Default","Critical",
OR(Loans[[#This Row],[LoanStatus]]="Watchlist",Loans[[#This Row],[CollateralRisk]]="Undersecured",Loans[[#This Row],[RiskCategory]]="High Risk"),"High",
TRUE,"Normal"
)</f>
        <v>High</v>
      </c>
    </row>
    <row r="1134" spans="1:20" x14ac:dyDescent="0.35">
      <c r="A1134" t="s">
        <v>1881</v>
      </c>
      <c r="B1134" t="s">
        <v>277</v>
      </c>
      <c r="C1134" t="s">
        <v>239</v>
      </c>
      <c r="D1134" t="s">
        <v>158</v>
      </c>
      <c r="E1134" s="34">
        <v>6000000</v>
      </c>
      <c r="F1134" s="29">
        <v>0.19919999999999999</v>
      </c>
      <c r="G1134" s="30">
        <v>45032</v>
      </c>
      <c r="H1134">
        <v>24</v>
      </c>
      <c r="I1134">
        <v>0</v>
      </c>
      <c r="J1134" s="34">
        <v>5940000</v>
      </c>
      <c r="K1134" t="s">
        <v>171</v>
      </c>
      <c r="L1134" s="34">
        <f>PMT(Loans[[#This Row],[InterestRate]]/12,Loans[[#This Row],[LoanTenureMonths]],-Loans[[#This Row],[LoanAmount]])</f>
        <v>305140.37829636718</v>
      </c>
      <c r="M1134" s="30">
        <f>EDATE(Loans[[#This Row],[LoanStartDate]],Loans[[#This Row],[LoanTenureMonths]])</f>
        <v>45763</v>
      </c>
      <c r="N1134" s="33">
        <f>IF(Loans[[#This Row],[LoanAmount]]=0,0,Loans[[#This Row],[CollateralValue]]/Loans[[#This Row],[LoanAmount]])</f>
        <v>0.99</v>
      </c>
      <c r="O1134" t="str">
        <f>IF(Loans[[#This Row],[CollateralCoverageRatio]]&lt;1,"Undersecured","Secured")</f>
        <v>Undersecured</v>
      </c>
      <c r="P1134" t="str">
        <f>_xlfn.XLOOKUP(Loans[[#This Row],[BranchCode]],BranchesTbl[BranchCode],BranchesTbl[BranchName])</f>
        <v>Machakos</v>
      </c>
      <c r="Q1134">
        <f>_xlfn.XLOOKUP(Loans[[#This Row],[CustomerID]],CustomerTbl[CustomerID],CustomerTbl[RiskScore])</f>
        <v>748</v>
      </c>
      <c r="R1134" t="str">
        <f>IFERROR(INDEX(RiskTbl[Risk_Category],MATCH(Loans[[#This Row],[RiskScore]],RiskTbl[Score_Min],1)),"Unknown")</f>
        <v>Very Low Risk</v>
      </c>
      <c r="S1134" t="str">
        <f>IF(OR(Loans[[#This Row],[LoanStatus]]="Default",Loans[[#This Row],[LoanStatus]]="Watchlist",Loans[[#This Row],[CollateralRisk]]="Undersecured",Loans[[#This Row],[RiskCategory]]="High Risk"),"High Risk Exposure","Normal")</f>
        <v>High Risk Exposure</v>
      </c>
      <c r="T1134" t="str" cm="1">
        <f t="array" ref="T1134">_xlfn.IFS(
Loans[[#This Row],[LoanStatus]]="Default","Critical",
OR(Loans[[#This Row],[LoanStatus]]="Watchlist",Loans[[#This Row],[CollateralRisk]]="Undersecured",Loans[[#This Row],[RiskCategory]]="High Risk"),"High",
TRUE,"Normal"
)</f>
        <v>High</v>
      </c>
    </row>
    <row r="1135" spans="1:20" x14ac:dyDescent="0.35">
      <c r="A1135" t="s">
        <v>1882</v>
      </c>
      <c r="B1135" t="s">
        <v>770</v>
      </c>
      <c r="C1135" t="s">
        <v>206</v>
      </c>
      <c r="D1135" t="s">
        <v>158</v>
      </c>
      <c r="E1135" s="34">
        <v>3000000</v>
      </c>
      <c r="F1135" s="29">
        <v>0.13389999999999999</v>
      </c>
      <c r="G1135" s="30">
        <v>44421</v>
      </c>
      <c r="H1135">
        <v>36</v>
      </c>
      <c r="I1135">
        <v>20</v>
      </c>
      <c r="J1135" s="34">
        <v>2550000</v>
      </c>
      <c r="K1135" t="s">
        <v>171</v>
      </c>
      <c r="L1135" s="34">
        <f>PMT(Loans[[#This Row],[InterestRate]]/12,Loans[[#This Row],[LoanTenureMonths]],-Loans[[#This Row],[LoanAmount]])</f>
        <v>101646.32125883026</v>
      </c>
      <c r="M1135" s="30">
        <f>EDATE(Loans[[#This Row],[LoanStartDate]],Loans[[#This Row],[LoanTenureMonths]])</f>
        <v>45517</v>
      </c>
      <c r="N1135" s="33">
        <f>IF(Loans[[#This Row],[LoanAmount]]=0,0,Loans[[#This Row],[CollateralValue]]/Loans[[#This Row],[LoanAmount]])</f>
        <v>0.85</v>
      </c>
      <c r="O1135" t="str">
        <f>IF(Loans[[#This Row],[CollateralCoverageRatio]]&lt;1,"Undersecured","Secured")</f>
        <v>Undersecured</v>
      </c>
      <c r="P1135" t="str">
        <f>_xlfn.XLOOKUP(Loans[[#This Row],[BranchCode]],BranchesTbl[BranchCode],BranchesTbl[BranchName])</f>
        <v>Nyahururu</v>
      </c>
      <c r="Q1135">
        <f>_xlfn.XLOOKUP(Loans[[#This Row],[CustomerID]],CustomerTbl[CustomerID],CustomerTbl[RiskScore])</f>
        <v>633</v>
      </c>
      <c r="R1135" t="str">
        <f>IFERROR(INDEX(RiskTbl[Risk_Category],MATCH(Loans[[#This Row],[RiskScore]],RiskTbl[Score_Min],1)),"Unknown")</f>
        <v>Medium Risk</v>
      </c>
      <c r="S1135" t="str">
        <f>IF(OR(Loans[[#This Row],[LoanStatus]]="Default",Loans[[#This Row],[LoanStatus]]="Watchlist",Loans[[#This Row],[CollateralRisk]]="Undersecured",Loans[[#This Row],[RiskCategory]]="High Risk"),"High Risk Exposure","Normal")</f>
        <v>High Risk Exposure</v>
      </c>
      <c r="T1135" t="str" cm="1">
        <f t="array" ref="T1135">_xlfn.IFS(
Loans[[#This Row],[LoanStatus]]="Default","Critical",
OR(Loans[[#This Row],[LoanStatus]]="Watchlist",Loans[[#This Row],[CollateralRisk]]="Undersecured",Loans[[#This Row],[RiskCategory]]="High Risk"),"High",
TRUE,"Normal"
)</f>
        <v>High</v>
      </c>
    </row>
    <row r="1136" spans="1:20" x14ac:dyDescent="0.35">
      <c r="A1136" t="s">
        <v>1883</v>
      </c>
      <c r="B1136" t="s">
        <v>1281</v>
      </c>
      <c r="C1136" t="s">
        <v>184</v>
      </c>
      <c r="D1136" t="s">
        <v>157</v>
      </c>
      <c r="E1136" s="34">
        <v>80000000</v>
      </c>
      <c r="F1136" s="29">
        <v>0.121</v>
      </c>
      <c r="G1136" s="30">
        <v>45049</v>
      </c>
      <c r="H1136">
        <v>60</v>
      </c>
      <c r="I1136">
        <v>120</v>
      </c>
      <c r="J1136" s="34">
        <v>79200000</v>
      </c>
      <c r="K1136" t="s">
        <v>178</v>
      </c>
      <c r="L1136" s="34">
        <f>PMT(Loans[[#This Row],[InterestRate]]/12,Loans[[#This Row],[LoanTenureMonths]],-Loans[[#This Row],[LoanAmount]])</f>
        <v>1783601.1170027468</v>
      </c>
      <c r="M1136" s="30">
        <f>EDATE(Loans[[#This Row],[LoanStartDate]],Loans[[#This Row],[LoanTenureMonths]])</f>
        <v>46876</v>
      </c>
      <c r="N1136" s="33">
        <f>IF(Loans[[#This Row],[LoanAmount]]=0,0,Loans[[#This Row],[CollateralValue]]/Loans[[#This Row],[LoanAmount]])</f>
        <v>0.99</v>
      </c>
      <c r="O1136" t="str">
        <f>IF(Loans[[#This Row],[CollateralCoverageRatio]]&lt;1,"Undersecured","Secured")</f>
        <v>Undersecured</v>
      </c>
      <c r="P1136" t="str">
        <f>_xlfn.XLOOKUP(Loans[[#This Row],[BranchCode]],BranchesTbl[BranchCode],BranchesTbl[BranchName])</f>
        <v>Kisumu</v>
      </c>
      <c r="Q1136">
        <f>_xlfn.XLOOKUP(Loans[[#This Row],[CustomerID]],CustomerTbl[CustomerID],CustomerTbl[RiskScore])</f>
        <v>322</v>
      </c>
      <c r="R1136" t="str">
        <f>IFERROR(INDEX(RiskTbl[Risk_Category],MATCH(Loans[[#This Row],[RiskScore]],RiskTbl[Score_Min],1)),"Unknown")</f>
        <v>High Risk</v>
      </c>
      <c r="S1136" t="str">
        <f>IF(OR(Loans[[#This Row],[LoanStatus]]="Default",Loans[[#This Row],[LoanStatus]]="Watchlist",Loans[[#This Row],[CollateralRisk]]="Undersecured",Loans[[#This Row],[RiskCategory]]="High Risk"),"High Risk Exposure","Normal")</f>
        <v>High Risk Exposure</v>
      </c>
      <c r="T1136" t="str" cm="1">
        <f t="array" ref="T1136">_xlfn.IFS(
Loans[[#This Row],[LoanStatus]]="Default","Critical",
OR(Loans[[#This Row],[LoanStatus]]="Watchlist",Loans[[#This Row],[CollateralRisk]]="Undersecured",Loans[[#This Row],[RiskCategory]]="High Risk"),"High",
TRUE,"Normal"
)</f>
        <v>Critical</v>
      </c>
    </row>
    <row r="1137" spans="1:20" x14ac:dyDescent="0.35">
      <c r="A1137" t="s">
        <v>1884</v>
      </c>
      <c r="B1137" t="s">
        <v>1885</v>
      </c>
      <c r="C1137" t="s">
        <v>232</v>
      </c>
      <c r="D1137" t="s">
        <v>155</v>
      </c>
      <c r="E1137" s="34">
        <v>250000</v>
      </c>
      <c r="F1137" s="29">
        <v>0.24</v>
      </c>
      <c r="G1137" s="30">
        <v>46018</v>
      </c>
      <c r="H1137">
        <v>24</v>
      </c>
      <c r="I1137">
        <v>45</v>
      </c>
      <c r="J1137" s="34">
        <v>0</v>
      </c>
      <c r="K1137" t="s">
        <v>199</v>
      </c>
      <c r="L1137" s="34">
        <f>PMT(Loans[[#This Row],[InterestRate]]/12,Loans[[#This Row],[LoanTenureMonths]],-Loans[[#This Row],[LoanAmount]])</f>
        <v>13217.774313312471</v>
      </c>
      <c r="M1137" s="30">
        <f>EDATE(Loans[[#This Row],[LoanStartDate]],Loans[[#This Row],[LoanTenureMonths]])</f>
        <v>46748</v>
      </c>
      <c r="N1137" s="33">
        <f>IF(Loans[[#This Row],[LoanAmount]]=0,0,Loans[[#This Row],[CollateralValue]]/Loans[[#This Row],[LoanAmount]])</f>
        <v>0</v>
      </c>
      <c r="O1137" t="str">
        <f>IF(Loans[[#This Row],[CollateralCoverageRatio]]&lt;1,"Undersecured","Secured")</f>
        <v>Undersecured</v>
      </c>
      <c r="P1137" t="str">
        <f>_xlfn.XLOOKUP(Loans[[#This Row],[BranchCode]],BranchesTbl[BranchCode],BranchesTbl[BranchName])</f>
        <v>Upper Hill</v>
      </c>
      <c r="Q1137">
        <f>_xlfn.XLOOKUP(Loans[[#This Row],[CustomerID]],CustomerTbl[CustomerID],CustomerTbl[RiskScore])</f>
        <v>529</v>
      </c>
      <c r="R1137" t="str">
        <f>IFERROR(INDEX(RiskTbl[Risk_Category],MATCH(Loans[[#This Row],[RiskScore]],RiskTbl[Score_Min],1)),"Unknown")</f>
        <v>High Risk</v>
      </c>
      <c r="S1137" t="str">
        <f>IF(OR(Loans[[#This Row],[LoanStatus]]="Default",Loans[[#This Row],[LoanStatus]]="Watchlist",Loans[[#This Row],[CollateralRisk]]="Undersecured",Loans[[#This Row],[RiskCategory]]="High Risk"),"High Risk Exposure","Normal")</f>
        <v>High Risk Exposure</v>
      </c>
      <c r="T1137" t="str" cm="1">
        <f t="array" ref="T1137">_xlfn.IFS(
Loans[[#This Row],[LoanStatus]]="Default","Critical",
OR(Loans[[#This Row],[LoanStatus]]="Watchlist",Loans[[#This Row],[CollateralRisk]]="Undersecured",Loans[[#This Row],[RiskCategory]]="High Risk"),"High",
TRUE,"Normal"
)</f>
        <v>High</v>
      </c>
    </row>
    <row r="1138" spans="1:20" x14ac:dyDescent="0.35">
      <c r="A1138" t="s">
        <v>1886</v>
      </c>
      <c r="B1138" t="s">
        <v>649</v>
      </c>
      <c r="C1138" t="s">
        <v>190</v>
      </c>
      <c r="D1138" t="s">
        <v>157</v>
      </c>
      <c r="E1138" s="34">
        <v>6000000</v>
      </c>
      <c r="F1138" s="29">
        <v>0.12859999999999999</v>
      </c>
      <c r="G1138" s="30">
        <v>45184</v>
      </c>
      <c r="H1138">
        <v>12</v>
      </c>
      <c r="I1138">
        <v>20</v>
      </c>
      <c r="J1138" s="34">
        <v>5880000</v>
      </c>
      <c r="K1138" t="s">
        <v>171</v>
      </c>
      <c r="L1138" s="34">
        <f>PMT(Loans[[#This Row],[InterestRate]]/12,Loans[[#This Row],[LoanTenureMonths]],-Loans[[#This Row],[LoanAmount]])</f>
        <v>535509.63550740457</v>
      </c>
      <c r="M1138" s="30">
        <f>EDATE(Loans[[#This Row],[LoanStartDate]],Loans[[#This Row],[LoanTenureMonths]])</f>
        <v>45550</v>
      </c>
      <c r="N1138" s="33">
        <f>IF(Loans[[#This Row],[LoanAmount]]=0,0,Loans[[#This Row],[CollateralValue]]/Loans[[#This Row],[LoanAmount]])</f>
        <v>0.98</v>
      </c>
      <c r="O1138" t="str">
        <f>IF(Loans[[#This Row],[CollateralCoverageRatio]]&lt;1,"Undersecured","Secured")</f>
        <v>Undersecured</v>
      </c>
      <c r="P1138" t="str">
        <f>_xlfn.XLOOKUP(Loans[[#This Row],[BranchCode]],BranchesTbl[BranchCode],BranchesTbl[BranchName])</f>
        <v>Nyeri</v>
      </c>
      <c r="Q1138">
        <f>_xlfn.XLOOKUP(Loans[[#This Row],[CustomerID]],CustomerTbl[CustomerID],CustomerTbl[RiskScore])</f>
        <v>474</v>
      </c>
      <c r="R1138" t="str">
        <f>IFERROR(INDEX(RiskTbl[Risk_Category],MATCH(Loans[[#This Row],[RiskScore]],RiskTbl[Score_Min],1)),"Unknown")</f>
        <v>High Risk</v>
      </c>
      <c r="S1138" t="str">
        <f>IF(OR(Loans[[#This Row],[LoanStatus]]="Default",Loans[[#This Row],[LoanStatus]]="Watchlist",Loans[[#This Row],[CollateralRisk]]="Undersecured",Loans[[#This Row],[RiskCategory]]="High Risk"),"High Risk Exposure","Normal")</f>
        <v>High Risk Exposure</v>
      </c>
      <c r="T1138" t="str" cm="1">
        <f t="array" ref="T1138">_xlfn.IFS(
Loans[[#This Row],[LoanStatus]]="Default","Critical",
OR(Loans[[#This Row],[LoanStatus]]="Watchlist",Loans[[#This Row],[CollateralRisk]]="Undersecured",Loans[[#This Row],[RiskCategory]]="High Risk"),"High",
TRUE,"Normal"
)</f>
        <v>High</v>
      </c>
    </row>
    <row r="1139" spans="1:20" x14ac:dyDescent="0.35">
      <c r="A1139" t="s">
        <v>1887</v>
      </c>
      <c r="B1139" t="s">
        <v>1043</v>
      </c>
      <c r="C1139" t="s">
        <v>187</v>
      </c>
      <c r="D1139" t="s">
        <v>157</v>
      </c>
      <c r="E1139" s="34">
        <v>80000000</v>
      </c>
      <c r="F1139" s="29">
        <v>0.12559999999999999</v>
      </c>
      <c r="G1139" s="30">
        <v>46000</v>
      </c>
      <c r="H1139">
        <v>12</v>
      </c>
      <c r="I1139">
        <v>45</v>
      </c>
      <c r="J1139" s="34">
        <v>56000000</v>
      </c>
      <c r="K1139" t="s">
        <v>199</v>
      </c>
      <c r="L1139" s="34">
        <f>PMT(Loans[[#This Row],[InterestRate]]/12,Loans[[#This Row],[LoanTenureMonths]],-Loans[[#This Row],[LoanAmount]])</f>
        <v>7128877.9502508156</v>
      </c>
      <c r="M1139" s="30">
        <f>EDATE(Loans[[#This Row],[LoanStartDate]],Loans[[#This Row],[LoanTenureMonths]])</f>
        <v>46365</v>
      </c>
      <c r="N1139" s="33">
        <f>IF(Loans[[#This Row],[LoanAmount]]=0,0,Loans[[#This Row],[CollateralValue]]/Loans[[#This Row],[LoanAmount]])</f>
        <v>0.7</v>
      </c>
      <c r="O1139" t="str">
        <f>IF(Loans[[#This Row],[CollateralCoverageRatio]]&lt;1,"Undersecured","Secured")</f>
        <v>Undersecured</v>
      </c>
      <c r="P1139" t="str">
        <f>_xlfn.XLOOKUP(Loans[[#This Row],[BranchCode]],BranchesTbl[BranchCode],BranchesTbl[BranchName])</f>
        <v>Eldoret</v>
      </c>
      <c r="Q1139">
        <f>_xlfn.XLOOKUP(Loans[[#This Row],[CustomerID]],CustomerTbl[CustomerID],CustomerTbl[RiskScore])</f>
        <v>361</v>
      </c>
      <c r="R1139" t="str">
        <f>IFERROR(INDEX(RiskTbl[Risk_Category],MATCH(Loans[[#This Row],[RiskScore]],RiskTbl[Score_Min],1)),"Unknown")</f>
        <v>High Risk</v>
      </c>
      <c r="S1139" t="str">
        <f>IF(OR(Loans[[#This Row],[LoanStatus]]="Default",Loans[[#This Row],[LoanStatus]]="Watchlist",Loans[[#This Row],[CollateralRisk]]="Undersecured",Loans[[#This Row],[RiskCategory]]="High Risk"),"High Risk Exposure","Normal")</f>
        <v>High Risk Exposure</v>
      </c>
      <c r="T1139" t="str" cm="1">
        <f t="array" ref="T1139">_xlfn.IFS(
Loans[[#This Row],[LoanStatus]]="Default","Critical",
OR(Loans[[#This Row],[LoanStatus]]="Watchlist",Loans[[#This Row],[CollateralRisk]]="Undersecured",Loans[[#This Row],[RiskCategory]]="High Risk"),"High",
TRUE,"Normal"
)</f>
        <v>High</v>
      </c>
    </row>
    <row r="1140" spans="1:20" x14ac:dyDescent="0.35">
      <c r="A1140" t="s">
        <v>1888</v>
      </c>
      <c r="B1140" t="s">
        <v>1604</v>
      </c>
      <c r="C1140" t="s">
        <v>187</v>
      </c>
      <c r="D1140" t="s">
        <v>155</v>
      </c>
      <c r="E1140" s="34">
        <v>100000</v>
      </c>
      <c r="F1140" s="29">
        <v>0.2109</v>
      </c>
      <c r="G1140" s="30">
        <v>43915</v>
      </c>
      <c r="H1140">
        <v>72</v>
      </c>
      <c r="I1140">
        <v>5</v>
      </c>
      <c r="J1140" s="34">
        <v>0</v>
      </c>
      <c r="K1140" t="s">
        <v>171</v>
      </c>
      <c r="L1140" s="34">
        <f>PMT(Loans[[#This Row],[InterestRate]]/12,Loans[[#This Row],[LoanTenureMonths]],-Loans[[#This Row],[LoanAmount]])</f>
        <v>2458.8824806813782</v>
      </c>
      <c r="M1140" s="30">
        <f>EDATE(Loans[[#This Row],[LoanStartDate]],Loans[[#This Row],[LoanTenureMonths]])</f>
        <v>46106</v>
      </c>
      <c r="N1140" s="33">
        <f>IF(Loans[[#This Row],[LoanAmount]]=0,0,Loans[[#This Row],[CollateralValue]]/Loans[[#This Row],[LoanAmount]])</f>
        <v>0</v>
      </c>
      <c r="O1140" t="str">
        <f>IF(Loans[[#This Row],[CollateralCoverageRatio]]&lt;1,"Undersecured","Secured")</f>
        <v>Undersecured</v>
      </c>
      <c r="P1140" t="str">
        <f>_xlfn.XLOOKUP(Loans[[#This Row],[BranchCode]],BranchesTbl[BranchCode],BranchesTbl[BranchName])</f>
        <v>Eldoret</v>
      </c>
      <c r="Q1140">
        <f>_xlfn.XLOOKUP(Loans[[#This Row],[CustomerID]],CustomerTbl[CustomerID],CustomerTbl[RiskScore])</f>
        <v>350</v>
      </c>
      <c r="R1140" t="str">
        <f>IFERROR(INDEX(RiskTbl[Risk_Category],MATCH(Loans[[#This Row],[RiskScore]],RiskTbl[Score_Min],1)),"Unknown")</f>
        <v>High Risk</v>
      </c>
      <c r="S1140" t="str">
        <f>IF(OR(Loans[[#This Row],[LoanStatus]]="Default",Loans[[#This Row],[LoanStatus]]="Watchlist",Loans[[#This Row],[CollateralRisk]]="Undersecured",Loans[[#This Row],[RiskCategory]]="High Risk"),"High Risk Exposure","Normal")</f>
        <v>High Risk Exposure</v>
      </c>
      <c r="T1140" t="str" cm="1">
        <f t="array" ref="T1140">_xlfn.IFS(
Loans[[#This Row],[LoanStatus]]="Default","Critical",
OR(Loans[[#This Row],[LoanStatus]]="Watchlist",Loans[[#This Row],[CollateralRisk]]="Undersecured",Loans[[#This Row],[RiskCategory]]="High Risk"),"High",
TRUE,"Normal"
)</f>
        <v>High</v>
      </c>
    </row>
    <row r="1141" spans="1:20" x14ac:dyDescent="0.35">
      <c r="A1141" t="s">
        <v>1889</v>
      </c>
      <c r="B1141" t="s">
        <v>1205</v>
      </c>
      <c r="C1141" t="s">
        <v>219</v>
      </c>
      <c r="D1141" t="s">
        <v>155</v>
      </c>
      <c r="E1141" s="34">
        <v>1000000</v>
      </c>
      <c r="F1141" s="29">
        <v>0.26800000000000002</v>
      </c>
      <c r="G1141" s="30">
        <v>44434</v>
      </c>
      <c r="H1141">
        <v>72</v>
      </c>
      <c r="I1141">
        <v>120</v>
      </c>
      <c r="J1141" s="34">
        <v>0</v>
      </c>
      <c r="K1141" t="s">
        <v>178</v>
      </c>
      <c r="L1141" s="34">
        <f>PMT(Loans[[#This Row],[InterestRate]]/12,Loans[[#This Row],[LoanTenureMonths]],-Loans[[#This Row],[LoanAmount]])</f>
        <v>28052.124319588143</v>
      </c>
      <c r="M1141" s="30">
        <f>EDATE(Loans[[#This Row],[LoanStartDate]],Loans[[#This Row],[LoanTenureMonths]])</f>
        <v>46625</v>
      </c>
      <c r="N1141" s="33">
        <f>IF(Loans[[#This Row],[LoanAmount]]=0,0,Loans[[#This Row],[CollateralValue]]/Loans[[#This Row],[LoanAmount]])</f>
        <v>0</v>
      </c>
      <c r="O1141" t="str">
        <f>IF(Loans[[#This Row],[CollateralCoverageRatio]]&lt;1,"Undersecured","Secured")</f>
        <v>Undersecured</v>
      </c>
      <c r="P1141" t="str">
        <f>_xlfn.XLOOKUP(Loans[[#This Row],[BranchCode]],BranchesTbl[BranchCode],BranchesTbl[BranchName])</f>
        <v>Meru</v>
      </c>
      <c r="Q1141">
        <f>_xlfn.XLOOKUP(Loans[[#This Row],[CustomerID]],CustomerTbl[CustomerID],CustomerTbl[RiskScore])</f>
        <v>513</v>
      </c>
      <c r="R1141" t="str">
        <f>IFERROR(INDEX(RiskTbl[Risk_Category],MATCH(Loans[[#This Row],[RiskScore]],RiskTbl[Score_Min],1)),"Unknown")</f>
        <v>High Risk</v>
      </c>
      <c r="S1141" t="str">
        <f>IF(OR(Loans[[#This Row],[LoanStatus]]="Default",Loans[[#This Row],[LoanStatus]]="Watchlist",Loans[[#This Row],[CollateralRisk]]="Undersecured",Loans[[#This Row],[RiskCategory]]="High Risk"),"High Risk Exposure","Normal")</f>
        <v>High Risk Exposure</v>
      </c>
      <c r="T1141" t="str" cm="1">
        <f t="array" ref="T1141">_xlfn.IFS(
Loans[[#This Row],[LoanStatus]]="Default","Critical",
OR(Loans[[#This Row],[LoanStatus]]="Watchlist",Loans[[#This Row],[CollateralRisk]]="Undersecured",Loans[[#This Row],[RiskCategory]]="High Risk"),"High",
TRUE,"Normal"
)</f>
        <v>Critical</v>
      </c>
    </row>
    <row r="1142" spans="1:20" x14ac:dyDescent="0.35">
      <c r="A1142" t="s">
        <v>1890</v>
      </c>
      <c r="B1142" t="s">
        <v>1475</v>
      </c>
      <c r="C1142" t="s">
        <v>187</v>
      </c>
      <c r="D1142" t="s">
        <v>158</v>
      </c>
      <c r="E1142" s="34">
        <v>1000000</v>
      </c>
      <c r="F1142" s="29">
        <v>0.1328</v>
      </c>
      <c r="G1142" s="30">
        <v>45030</v>
      </c>
      <c r="H1142">
        <v>36</v>
      </c>
      <c r="I1142">
        <v>5</v>
      </c>
      <c r="J1142" s="34">
        <v>1350000</v>
      </c>
      <c r="K1142" t="s">
        <v>171</v>
      </c>
      <c r="L1142" s="34">
        <f>PMT(Loans[[#This Row],[InterestRate]]/12,Loans[[#This Row],[LoanTenureMonths]],-Loans[[#This Row],[LoanAmount]])</f>
        <v>33828.9756046857</v>
      </c>
      <c r="M1142" s="30">
        <f>EDATE(Loans[[#This Row],[LoanStartDate]],Loans[[#This Row],[LoanTenureMonths]])</f>
        <v>46126</v>
      </c>
      <c r="N1142" s="33">
        <f>IF(Loans[[#This Row],[LoanAmount]]=0,0,Loans[[#This Row],[CollateralValue]]/Loans[[#This Row],[LoanAmount]])</f>
        <v>1.35</v>
      </c>
      <c r="O1142" t="str">
        <f>IF(Loans[[#This Row],[CollateralCoverageRatio]]&lt;1,"Undersecured","Secured")</f>
        <v>Secured</v>
      </c>
      <c r="P1142" t="str">
        <f>_xlfn.XLOOKUP(Loans[[#This Row],[BranchCode]],BranchesTbl[BranchCode],BranchesTbl[BranchName])</f>
        <v>Eldoret</v>
      </c>
      <c r="Q1142">
        <f>_xlfn.XLOOKUP(Loans[[#This Row],[CustomerID]],CustomerTbl[CustomerID],CustomerTbl[RiskScore])</f>
        <v>777</v>
      </c>
      <c r="R1142" t="str">
        <f>IFERROR(INDEX(RiskTbl[Risk_Category],MATCH(Loans[[#This Row],[RiskScore]],RiskTbl[Score_Min],1)),"Unknown")</f>
        <v>Very Low Risk</v>
      </c>
      <c r="S1142" t="str">
        <f>IF(OR(Loans[[#This Row],[LoanStatus]]="Default",Loans[[#This Row],[LoanStatus]]="Watchlist",Loans[[#This Row],[CollateralRisk]]="Undersecured",Loans[[#This Row],[RiskCategory]]="High Risk"),"High Risk Exposure","Normal")</f>
        <v>Normal</v>
      </c>
      <c r="T1142" t="str" cm="1">
        <f t="array" ref="T1142">_xlfn.IFS(
Loans[[#This Row],[LoanStatus]]="Default","Critical",
OR(Loans[[#This Row],[LoanStatus]]="Watchlist",Loans[[#This Row],[CollateralRisk]]="Undersecured",Loans[[#This Row],[RiskCategory]]="High Risk"),"High",
TRUE,"Normal"
)</f>
        <v>Normal</v>
      </c>
    </row>
    <row r="1143" spans="1:20" x14ac:dyDescent="0.35">
      <c r="A1143" t="s">
        <v>1891</v>
      </c>
      <c r="B1143" t="s">
        <v>885</v>
      </c>
      <c r="C1143" t="s">
        <v>239</v>
      </c>
      <c r="D1143" t="s">
        <v>157</v>
      </c>
      <c r="E1143" s="34">
        <v>80000000</v>
      </c>
      <c r="F1143" s="29">
        <v>0.13669999999999999</v>
      </c>
      <c r="G1143" s="30">
        <v>44007</v>
      </c>
      <c r="H1143">
        <v>60</v>
      </c>
      <c r="I1143">
        <v>90</v>
      </c>
      <c r="J1143" s="34">
        <v>104000000</v>
      </c>
      <c r="K1143" t="s">
        <v>199</v>
      </c>
      <c r="L1143" s="34">
        <f>PMT(Loans[[#This Row],[InterestRate]]/12,Loans[[#This Row],[LoanTenureMonths]],-Loans[[#This Row],[LoanAmount]])</f>
        <v>1847801.6708490378</v>
      </c>
      <c r="M1143" s="30">
        <f>EDATE(Loans[[#This Row],[LoanStartDate]],Loans[[#This Row],[LoanTenureMonths]])</f>
        <v>45833</v>
      </c>
      <c r="N1143" s="33">
        <f>IF(Loans[[#This Row],[LoanAmount]]=0,0,Loans[[#This Row],[CollateralValue]]/Loans[[#This Row],[LoanAmount]])</f>
        <v>1.3</v>
      </c>
      <c r="O1143" t="str">
        <f>IF(Loans[[#This Row],[CollateralCoverageRatio]]&lt;1,"Undersecured","Secured")</f>
        <v>Secured</v>
      </c>
      <c r="P1143" t="str">
        <f>_xlfn.XLOOKUP(Loans[[#This Row],[BranchCode]],BranchesTbl[BranchCode],BranchesTbl[BranchName])</f>
        <v>Machakos</v>
      </c>
      <c r="Q1143">
        <f>_xlfn.XLOOKUP(Loans[[#This Row],[CustomerID]],CustomerTbl[CustomerID],CustomerTbl[RiskScore])</f>
        <v>610</v>
      </c>
      <c r="R1143" t="str">
        <f>IFERROR(INDEX(RiskTbl[Risk_Category],MATCH(Loans[[#This Row],[RiskScore]],RiskTbl[Score_Min],1)),"Unknown")</f>
        <v>Medium Risk</v>
      </c>
      <c r="S1143" t="str">
        <f>IF(OR(Loans[[#This Row],[LoanStatus]]="Default",Loans[[#This Row],[LoanStatus]]="Watchlist",Loans[[#This Row],[CollateralRisk]]="Undersecured",Loans[[#This Row],[RiskCategory]]="High Risk"),"High Risk Exposure","Normal")</f>
        <v>High Risk Exposure</v>
      </c>
      <c r="T1143" t="str" cm="1">
        <f t="array" ref="T1143">_xlfn.IFS(
Loans[[#This Row],[LoanStatus]]="Default","Critical",
OR(Loans[[#This Row],[LoanStatus]]="Watchlist",Loans[[#This Row],[CollateralRisk]]="Undersecured",Loans[[#This Row],[RiskCategory]]="High Risk"),"High",
TRUE,"Normal"
)</f>
        <v>High</v>
      </c>
    </row>
    <row r="1144" spans="1:20" x14ac:dyDescent="0.35">
      <c r="A1144" t="s">
        <v>1892</v>
      </c>
      <c r="B1144" t="s">
        <v>1878</v>
      </c>
      <c r="C1144" t="s">
        <v>174</v>
      </c>
      <c r="D1144" t="s">
        <v>156</v>
      </c>
      <c r="E1144" s="34">
        <v>1000000</v>
      </c>
      <c r="F1144" s="29">
        <v>0.1527</v>
      </c>
      <c r="G1144" s="30">
        <v>44896</v>
      </c>
      <c r="H1144">
        <v>60</v>
      </c>
      <c r="I1144">
        <v>45</v>
      </c>
      <c r="J1144" s="34">
        <v>1140000</v>
      </c>
      <c r="K1144" t="s">
        <v>199</v>
      </c>
      <c r="L1144" s="34">
        <f>PMT(Loans[[#This Row],[InterestRate]]/12,Loans[[#This Row],[LoanTenureMonths]],-Loans[[#This Row],[LoanAmount]])</f>
        <v>23931.891252982114</v>
      </c>
      <c r="M1144" s="30">
        <f>EDATE(Loans[[#This Row],[LoanStartDate]],Loans[[#This Row],[LoanTenureMonths]])</f>
        <v>46722</v>
      </c>
      <c r="N1144" s="33">
        <f>IF(Loans[[#This Row],[LoanAmount]]=0,0,Loans[[#This Row],[CollateralValue]]/Loans[[#This Row],[LoanAmount]])</f>
        <v>1.1399999999999999</v>
      </c>
      <c r="O1144" t="str">
        <f>IF(Loans[[#This Row],[CollateralCoverageRatio]]&lt;1,"Undersecured","Secured")</f>
        <v>Secured</v>
      </c>
      <c r="P1144" t="str">
        <f>_xlfn.XLOOKUP(Loans[[#This Row],[BranchCode]],BranchesTbl[BranchCode],BranchesTbl[BranchName])</f>
        <v>Westlands</v>
      </c>
      <c r="Q1144">
        <f>_xlfn.XLOOKUP(Loans[[#This Row],[CustomerID]],CustomerTbl[CustomerID],CustomerTbl[RiskScore])</f>
        <v>444</v>
      </c>
      <c r="R1144" t="str">
        <f>IFERROR(INDEX(RiskTbl[Risk_Category],MATCH(Loans[[#This Row],[RiskScore]],RiskTbl[Score_Min],1)),"Unknown")</f>
        <v>High Risk</v>
      </c>
      <c r="S1144" t="str">
        <f>IF(OR(Loans[[#This Row],[LoanStatus]]="Default",Loans[[#This Row],[LoanStatus]]="Watchlist",Loans[[#This Row],[CollateralRisk]]="Undersecured",Loans[[#This Row],[RiskCategory]]="High Risk"),"High Risk Exposure","Normal")</f>
        <v>High Risk Exposure</v>
      </c>
      <c r="T1144" t="str" cm="1">
        <f t="array" ref="T1144">_xlfn.IFS(
Loans[[#This Row],[LoanStatus]]="Default","Critical",
OR(Loans[[#This Row],[LoanStatus]]="Watchlist",Loans[[#This Row],[CollateralRisk]]="Undersecured",Loans[[#This Row],[RiskCategory]]="High Risk"),"High",
TRUE,"Normal"
)</f>
        <v>High</v>
      </c>
    </row>
    <row r="1145" spans="1:20" x14ac:dyDescent="0.35">
      <c r="A1145" t="s">
        <v>1893</v>
      </c>
      <c r="B1145" t="s">
        <v>404</v>
      </c>
      <c r="C1145" t="s">
        <v>190</v>
      </c>
      <c r="D1145" t="s">
        <v>156</v>
      </c>
      <c r="E1145" s="34">
        <v>25000000</v>
      </c>
      <c r="F1145" s="29">
        <v>0.19359999999999999</v>
      </c>
      <c r="G1145" s="30">
        <v>44027</v>
      </c>
      <c r="H1145">
        <v>36</v>
      </c>
      <c r="I1145">
        <v>90</v>
      </c>
      <c r="J1145" s="34">
        <v>15250000</v>
      </c>
      <c r="K1145" t="s">
        <v>199</v>
      </c>
      <c r="L1145" s="34">
        <f>PMT(Loans[[#This Row],[InterestRate]]/12,Loans[[#This Row],[LoanTenureMonths]],-Loans[[#This Row],[LoanAmount]])</f>
        <v>920957.2501971547</v>
      </c>
      <c r="M1145" s="30">
        <f>EDATE(Loans[[#This Row],[LoanStartDate]],Loans[[#This Row],[LoanTenureMonths]])</f>
        <v>45122</v>
      </c>
      <c r="N1145" s="33">
        <f>IF(Loans[[#This Row],[LoanAmount]]=0,0,Loans[[#This Row],[CollateralValue]]/Loans[[#This Row],[LoanAmount]])</f>
        <v>0.61</v>
      </c>
      <c r="O1145" t="str">
        <f>IF(Loans[[#This Row],[CollateralCoverageRatio]]&lt;1,"Undersecured","Secured")</f>
        <v>Undersecured</v>
      </c>
      <c r="P1145" t="str">
        <f>_xlfn.XLOOKUP(Loans[[#This Row],[BranchCode]],BranchesTbl[BranchCode],BranchesTbl[BranchName])</f>
        <v>Nyeri</v>
      </c>
      <c r="Q1145">
        <f>_xlfn.XLOOKUP(Loans[[#This Row],[CustomerID]],CustomerTbl[CustomerID],CustomerTbl[RiskScore])</f>
        <v>764</v>
      </c>
      <c r="R1145" t="str">
        <f>IFERROR(INDEX(RiskTbl[Risk_Category],MATCH(Loans[[#This Row],[RiskScore]],RiskTbl[Score_Min],1)),"Unknown")</f>
        <v>Very Low Risk</v>
      </c>
      <c r="S1145" t="str">
        <f>IF(OR(Loans[[#This Row],[LoanStatus]]="Default",Loans[[#This Row],[LoanStatus]]="Watchlist",Loans[[#This Row],[CollateralRisk]]="Undersecured",Loans[[#This Row],[RiskCategory]]="High Risk"),"High Risk Exposure","Normal")</f>
        <v>High Risk Exposure</v>
      </c>
      <c r="T1145" t="str" cm="1">
        <f t="array" ref="T1145">_xlfn.IFS(
Loans[[#This Row],[LoanStatus]]="Default","Critical",
OR(Loans[[#This Row],[LoanStatus]]="Watchlist",Loans[[#This Row],[CollateralRisk]]="Undersecured",Loans[[#This Row],[RiskCategory]]="High Risk"),"High",
TRUE,"Normal"
)</f>
        <v>High</v>
      </c>
    </row>
    <row r="1146" spans="1:20" x14ac:dyDescent="0.35">
      <c r="A1146" t="s">
        <v>1894</v>
      </c>
      <c r="B1146" t="s">
        <v>1028</v>
      </c>
      <c r="C1146" t="s">
        <v>232</v>
      </c>
      <c r="D1146" t="s">
        <v>157</v>
      </c>
      <c r="E1146" s="34">
        <v>25000000</v>
      </c>
      <c r="F1146" s="29">
        <v>0.1051</v>
      </c>
      <c r="G1146" s="30">
        <v>45759</v>
      </c>
      <c r="H1146">
        <v>36</v>
      </c>
      <c r="I1146">
        <v>0</v>
      </c>
      <c r="J1146" s="34">
        <v>28250000</v>
      </c>
      <c r="K1146" t="s">
        <v>171</v>
      </c>
      <c r="L1146" s="34">
        <f>PMT(Loans[[#This Row],[InterestRate]]/12,Loans[[#This Row],[LoanTenureMonths]],-Loans[[#This Row],[LoanAmount]])</f>
        <v>812678.97531586967</v>
      </c>
      <c r="M1146" s="30">
        <f>EDATE(Loans[[#This Row],[LoanStartDate]],Loans[[#This Row],[LoanTenureMonths]])</f>
        <v>46855</v>
      </c>
      <c r="N1146" s="33">
        <f>IF(Loans[[#This Row],[LoanAmount]]=0,0,Loans[[#This Row],[CollateralValue]]/Loans[[#This Row],[LoanAmount]])</f>
        <v>1.1299999999999999</v>
      </c>
      <c r="O1146" t="str">
        <f>IF(Loans[[#This Row],[CollateralCoverageRatio]]&lt;1,"Undersecured","Secured")</f>
        <v>Secured</v>
      </c>
      <c r="P1146" t="str">
        <f>_xlfn.XLOOKUP(Loans[[#This Row],[BranchCode]],BranchesTbl[BranchCode],BranchesTbl[BranchName])</f>
        <v>Upper Hill</v>
      </c>
      <c r="Q1146">
        <f>_xlfn.XLOOKUP(Loans[[#This Row],[CustomerID]],CustomerTbl[CustomerID],CustomerTbl[RiskScore])</f>
        <v>305</v>
      </c>
      <c r="R1146" t="str">
        <f>IFERROR(INDEX(RiskTbl[Risk_Category],MATCH(Loans[[#This Row],[RiskScore]],RiskTbl[Score_Min],1)),"Unknown")</f>
        <v>High Risk</v>
      </c>
      <c r="S1146" t="str">
        <f>IF(OR(Loans[[#This Row],[LoanStatus]]="Default",Loans[[#This Row],[LoanStatus]]="Watchlist",Loans[[#This Row],[CollateralRisk]]="Undersecured",Loans[[#This Row],[RiskCategory]]="High Risk"),"High Risk Exposure","Normal")</f>
        <v>High Risk Exposure</v>
      </c>
      <c r="T1146" t="str" cm="1">
        <f t="array" ref="T1146">_xlfn.IFS(
Loans[[#This Row],[LoanStatus]]="Default","Critical",
OR(Loans[[#This Row],[LoanStatus]]="Watchlist",Loans[[#This Row],[CollateralRisk]]="Undersecured",Loans[[#This Row],[RiskCategory]]="High Risk"),"High",
TRUE,"Normal"
)</f>
        <v>High</v>
      </c>
    </row>
    <row r="1147" spans="1:20" x14ac:dyDescent="0.35">
      <c r="A1147" t="s">
        <v>1895</v>
      </c>
      <c r="B1147" t="s">
        <v>879</v>
      </c>
      <c r="C1147" t="s">
        <v>184</v>
      </c>
      <c r="D1147" t="s">
        <v>155</v>
      </c>
      <c r="E1147" s="34">
        <v>250000</v>
      </c>
      <c r="F1147" s="29">
        <v>0.20930000000000001</v>
      </c>
      <c r="G1147" s="30">
        <v>44717</v>
      </c>
      <c r="H1147">
        <v>12</v>
      </c>
      <c r="I1147">
        <v>5</v>
      </c>
      <c r="J1147" s="34">
        <v>0</v>
      </c>
      <c r="K1147" t="s">
        <v>171</v>
      </c>
      <c r="L1147" s="34">
        <f>PMT(Loans[[#This Row],[InterestRate]]/12,Loans[[#This Row],[LoanTenureMonths]],-Loans[[#This Row],[LoanAmount]])</f>
        <v>23270.045358552896</v>
      </c>
      <c r="M1147" s="30">
        <f>EDATE(Loans[[#This Row],[LoanStartDate]],Loans[[#This Row],[LoanTenureMonths]])</f>
        <v>45082</v>
      </c>
      <c r="N1147" s="33">
        <f>IF(Loans[[#This Row],[LoanAmount]]=0,0,Loans[[#This Row],[CollateralValue]]/Loans[[#This Row],[LoanAmount]])</f>
        <v>0</v>
      </c>
      <c r="O1147" t="str">
        <f>IF(Loans[[#This Row],[CollateralCoverageRatio]]&lt;1,"Undersecured","Secured")</f>
        <v>Undersecured</v>
      </c>
      <c r="P1147" t="str">
        <f>_xlfn.XLOOKUP(Loans[[#This Row],[BranchCode]],BranchesTbl[BranchCode],BranchesTbl[BranchName])</f>
        <v>Kisumu</v>
      </c>
      <c r="Q1147">
        <f>_xlfn.XLOOKUP(Loans[[#This Row],[CustomerID]],CustomerTbl[CustomerID],CustomerTbl[RiskScore])</f>
        <v>580</v>
      </c>
      <c r="R1147" t="str">
        <f>IFERROR(INDEX(RiskTbl[Risk_Category],MATCH(Loans[[#This Row],[RiskScore]],RiskTbl[Score_Min],1)),"Unknown")</f>
        <v>Medium Risk</v>
      </c>
      <c r="S1147" t="str">
        <f>IF(OR(Loans[[#This Row],[LoanStatus]]="Default",Loans[[#This Row],[LoanStatus]]="Watchlist",Loans[[#This Row],[CollateralRisk]]="Undersecured",Loans[[#This Row],[RiskCategory]]="High Risk"),"High Risk Exposure","Normal")</f>
        <v>High Risk Exposure</v>
      </c>
      <c r="T1147" t="str" cm="1">
        <f t="array" ref="T1147">_xlfn.IFS(
Loans[[#This Row],[LoanStatus]]="Default","Critical",
OR(Loans[[#This Row],[LoanStatus]]="Watchlist",Loans[[#This Row],[CollateralRisk]]="Undersecured",Loans[[#This Row],[RiskCategory]]="High Risk"),"High",
TRUE,"Normal"
)</f>
        <v>High</v>
      </c>
    </row>
    <row r="1148" spans="1:20" x14ac:dyDescent="0.35">
      <c r="A1148" t="s">
        <v>1896</v>
      </c>
      <c r="B1148" t="s">
        <v>210</v>
      </c>
      <c r="C1148" t="s">
        <v>193</v>
      </c>
      <c r="D1148" t="s">
        <v>156</v>
      </c>
      <c r="E1148" s="34">
        <v>25000000</v>
      </c>
      <c r="F1148" s="29">
        <v>0.21229999999999999</v>
      </c>
      <c r="G1148" s="30">
        <v>44350</v>
      </c>
      <c r="H1148">
        <v>24</v>
      </c>
      <c r="I1148">
        <v>10</v>
      </c>
      <c r="J1148" s="34">
        <v>33750000</v>
      </c>
      <c r="K1148" t="s">
        <v>171</v>
      </c>
      <c r="L1148" s="34">
        <f>PMT(Loans[[#This Row],[InterestRate]]/12,Loans[[#This Row],[LoanTenureMonths]],-Loans[[#This Row],[LoanAmount]])</f>
        <v>1287467.2987551813</v>
      </c>
      <c r="M1148" s="30">
        <f>EDATE(Loans[[#This Row],[LoanStartDate]],Loans[[#This Row],[LoanTenureMonths]])</f>
        <v>45080</v>
      </c>
      <c r="N1148" s="33">
        <f>IF(Loans[[#This Row],[LoanAmount]]=0,0,Loans[[#This Row],[CollateralValue]]/Loans[[#This Row],[LoanAmount]])</f>
        <v>1.35</v>
      </c>
      <c r="O1148" t="str">
        <f>IF(Loans[[#This Row],[CollateralCoverageRatio]]&lt;1,"Undersecured","Secured")</f>
        <v>Secured</v>
      </c>
      <c r="P1148" t="str">
        <f>_xlfn.XLOOKUP(Loans[[#This Row],[BranchCode]],BranchesTbl[BranchCode],BranchesTbl[BranchName])</f>
        <v>Mombasa</v>
      </c>
      <c r="Q1148">
        <f>_xlfn.XLOOKUP(Loans[[#This Row],[CustomerID]],CustomerTbl[CustomerID],CustomerTbl[RiskScore])</f>
        <v>614</v>
      </c>
      <c r="R1148" t="str">
        <f>IFERROR(INDEX(RiskTbl[Risk_Category],MATCH(Loans[[#This Row],[RiskScore]],RiskTbl[Score_Min],1)),"Unknown")</f>
        <v>Medium Risk</v>
      </c>
      <c r="S1148" t="str">
        <f>IF(OR(Loans[[#This Row],[LoanStatus]]="Default",Loans[[#This Row],[LoanStatus]]="Watchlist",Loans[[#This Row],[CollateralRisk]]="Undersecured",Loans[[#This Row],[RiskCategory]]="High Risk"),"High Risk Exposure","Normal")</f>
        <v>Normal</v>
      </c>
      <c r="T1148" t="str" cm="1">
        <f t="array" ref="T1148">_xlfn.IFS(
Loans[[#This Row],[LoanStatus]]="Default","Critical",
OR(Loans[[#This Row],[LoanStatus]]="Watchlist",Loans[[#This Row],[CollateralRisk]]="Undersecured",Loans[[#This Row],[RiskCategory]]="High Risk"),"High",
TRUE,"Normal"
)</f>
        <v>Normal</v>
      </c>
    </row>
    <row r="1149" spans="1:20" x14ac:dyDescent="0.35">
      <c r="A1149" t="s">
        <v>1897</v>
      </c>
      <c r="B1149" t="s">
        <v>704</v>
      </c>
      <c r="C1149" t="s">
        <v>206</v>
      </c>
      <c r="D1149" t="s">
        <v>158</v>
      </c>
      <c r="E1149" s="34">
        <v>3000000</v>
      </c>
      <c r="F1149" s="29">
        <v>0.1593</v>
      </c>
      <c r="G1149" s="30">
        <v>45732</v>
      </c>
      <c r="H1149">
        <v>48</v>
      </c>
      <c r="I1149">
        <v>45</v>
      </c>
      <c r="J1149" s="34">
        <v>3960000</v>
      </c>
      <c r="K1149" t="s">
        <v>199</v>
      </c>
      <c r="L1149" s="34">
        <f>PMT(Loans[[#This Row],[InterestRate]]/12,Loans[[#This Row],[LoanTenureMonths]],-Loans[[#This Row],[LoanAmount]])</f>
        <v>84913.328842162562</v>
      </c>
      <c r="M1149" s="30">
        <f>EDATE(Loans[[#This Row],[LoanStartDate]],Loans[[#This Row],[LoanTenureMonths]])</f>
        <v>47193</v>
      </c>
      <c r="N1149" s="33">
        <f>IF(Loans[[#This Row],[LoanAmount]]=0,0,Loans[[#This Row],[CollateralValue]]/Loans[[#This Row],[LoanAmount]])</f>
        <v>1.32</v>
      </c>
      <c r="O1149" t="str">
        <f>IF(Loans[[#This Row],[CollateralCoverageRatio]]&lt;1,"Undersecured","Secured")</f>
        <v>Secured</v>
      </c>
      <c r="P1149" t="str">
        <f>_xlfn.XLOOKUP(Loans[[#This Row],[BranchCode]],BranchesTbl[BranchCode],BranchesTbl[BranchName])</f>
        <v>Nyahururu</v>
      </c>
      <c r="Q1149">
        <f>_xlfn.XLOOKUP(Loans[[#This Row],[CustomerID]],CustomerTbl[CustomerID],CustomerTbl[RiskScore])</f>
        <v>370</v>
      </c>
      <c r="R1149" t="str">
        <f>IFERROR(INDEX(RiskTbl[Risk_Category],MATCH(Loans[[#This Row],[RiskScore]],RiskTbl[Score_Min],1)),"Unknown")</f>
        <v>High Risk</v>
      </c>
      <c r="S1149" t="str">
        <f>IF(OR(Loans[[#This Row],[LoanStatus]]="Default",Loans[[#This Row],[LoanStatus]]="Watchlist",Loans[[#This Row],[CollateralRisk]]="Undersecured",Loans[[#This Row],[RiskCategory]]="High Risk"),"High Risk Exposure","Normal")</f>
        <v>High Risk Exposure</v>
      </c>
      <c r="T1149" t="str" cm="1">
        <f t="array" ref="T1149">_xlfn.IFS(
Loans[[#This Row],[LoanStatus]]="Default","Critical",
OR(Loans[[#This Row],[LoanStatus]]="Watchlist",Loans[[#This Row],[CollateralRisk]]="Undersecured",Loans[[#This Row],[RiskCategory]]="High Risk"),"High",
TRUE,"Normal"
)</f>
        <v>High</v>
      </c>
    </row>
    <row r="1150" spans="1:20" x14ac:dyDescent="0.35">
      <c r="A1150" t="s">
        <v>1898</v>
      </c>
      <c r="B1150" t="s">
        <v>398</v>
      </c>
      <c r="C1150" t="s">
        <v>177</v>
      </c>
      <c r="D1150" t="s">
        <v>156</v>
      </c>
      <c r="E1150" s="34">
        <v>1000000</v>
      </c>
      <c r="F1150" s="29">
        <v>0.21099999999999999</v>
      </c>
      <c r="G1150" s="30">
        <v>43848</v>
      </c>
      <c r="H1150">
        <v>36</v>
      </c>
      <c r="I1150">
        <v>45</v>
      </c>
      <c r="J1150" s="34">
        <v>810000</v>
      </c>
      <c r="K1150" t="s">
        <v>199</v>
      </c>
      <c r="L1150" s="34">
        <f>PMT(Loans[[#This Row],[InterestRate]]/12,Loans[[#This Row],[LoanTenureMonths]],-Loans[[#This Row],[LoanAmount]])</f>
        <v>37726.430651066548</v>
      </c>
      <c r="M1150" s="30">
        <f>EDATE(Loans[[#This Row],[LoanStartDate]],Loans[[#This Row],[LoanTenureMonths]])</f>
        <v>44944</v>
      </c>
      <c r="N1150" s="33">
        <f>IF(Loans[[#This Row],[LoanAmount]]=0,0,Loans[[#This Row],[CollateralValue]]/Loans[[#This Row],[LoanAmount]])</f>
        <v>0.81</v>
      </c>
      <c r="O1150" t="str">
        <f>IF(Loans[[#This Row],[CollateralCoverageRatio]]&lt;1,"Undersecured","Secured")</f>
        <v>Undersecured</v>
      </c>
      <c r="P1150" t="str">
        <f>_xlfn.XLOOKUP(Loans[[#This Row],[BranchCode]],BranchesTbl[BranchCode],BranchesTbl[BranchName])</f>
        <v>Naivasha</v>
      </c>
      <c r="Q1150">
        <f>_xlfn.XLOOKUP(Loans[[#This Row],[CustomerID]],CustomerTbl[CustomerID],CustomerTbl[RiskScore])</f>
        <v>590</v>
      </c>
      <c r="R1150" t="str">
        <f>IFERROR(INDEX(RiskTbl[Risk_Category],MATCH(Loans[[#This Row],[RiskScore]],RiskTbl[Score_Min],1)),"Unknown")</f>
        <v>Medium Risk</v>
      </c>
      <c r="S1150" t="str">
        <f>IF(OR(Loans[[#This Row],[LoanStatus]]="Default",Loans[[#This Row],[LoanStatus]]="Watchlist",Loans[[#This Row],[CollateralRisk]]="Undersecured",Loans[[#This Row],[RiskCategory]]="High Risk"),"High Risk Exposure","Normal")</f>
        <v>High Risk Exposure</v>
      </c>
      <c r="T1150" t="str" cm="1">
        <f t="array" ref="T1150">_xlfn.IFS(
Loans[[#This Row],[LoanStatus]]="Default","Critical",
OR(Loans[[#This Row],[LoanStatus]]="Watchlist",Loans[[#This Row],[CollateralRisk]]="Undersecured",Loans[[#This Row],[RiskCategory]]="High Risk"),"High",
TRUE,"Normal"
)</f>
        <v>High</v>
      </c>
    </row>
    <row r="1151" spans="1:20" x14ac:dyDescent="0.35">
      <c r="A1151" t="s">
        <v>1899</v>
      </c>
      <c r="B1151" t="s">
        <v>1268</v>
      </c>
      <c r="C1151" t="s">
        <v>267</v>
      </c>
      <c r="D1151" t="s">
        <v>155</v>
      </c>
      <c r="E1151" s="34">
        <v>1000000</v>
      </c>
      <c r="F1151" s="29">
        <v>0.2525</v>
      </c>
      <c r="G1151" s="30">
        <v>43896</v>
      </c>
      <c r="H1151">
        <v>24</v>
      </c>
      <c r="I1151">
        <v>90</v>
      </c>
      <c r="J1151" s="34">
        <v>0</v>
      </c>
      <c r="K1151" t="s">
        <v>199</v>
      </c>
      <c r="L1151" s="34">
        <f>PMT(Loans[[#This Row],[InterestRate]]/12,Loans[[#This Row],[LoanTenureMonths]],-Loans[[#This Row],[LoanAmount]])</f>
        <v>53497.036321193904</v>
      </c>
      <c r="M1151" s="30">
        <f>EDATE(Loans[[#This Row],[LoanStartDate]],Loans[[#This Row],[LoanTenureMonths]])</f>
        <v>44626</v>
      </c>
      <c r="N1151" s="33">
        <f>IF(Loans[[#This Row],[LoanAmount]]=0,0,Loans[[#This Row],[CollateralValue]]/Loans[[#This Row],[LoanAmount]])</f>
        <v>0</v>
      </c>
      <c r="O1151" t="str">
        <f>IF(Loans[[#This Row],[CollateralCoverageRatio]]&lt;1,"Undersecured","Secured")</f>
        <v>Undersecured</v>
      </c>
      <c r="P1151" t="str">
        <f>_xlfn.XLOOKUP(Loans[[#This Row],[BranchCode]],BranchesTbl[BranchCode],BranchesTbl[BranchName])</f>
        <v>Malindi</v>
      </c>
      <c r="Q1151">
        <f>_xlfn.XLOOKUP(Loans[[#This Row],[CustomerID]],CustomerTbl[CustomerID],CustomerTbl[RiskScore])</f>
        <v>571</v>
      </c>
      <c r="R1151" t="str">
        <f>IFERROR(INDEX(RiskTbl[Risk_Category],MATCH(Loans[[#This Row],[RiskScore]],RiskTbl[Score_Min],1)),"Unknown")</f>
        <v>High Risk</v>
      </c>
      <c r="S1151" t="str">
        <f>IF(OR(Loans[[#This Row],[LoanStatus]]="Default",Loans[[#This Row],[LoanStatus]]="Watchlist",Loans[[#This Row],[CollateralRisk]]="Undersecured",Loans[[#This Row],[RiskCategory]]="High Risk"),"High Risk Exposure","Normal")</f>
        <v>High Risk Exposure</v>
      </c>
      <c r="T1151" t="str" cm="1">
        <f t="array" ref="T1151">_xlfn.IFS(
Loans[[#This Row],[LoanStatus]]="Default","Critical",
OR(Loans[[#This Row],[LoanStatus]]="Watchlist",Loans[[#This Row],[CollateralRisk]]="Undersecured",Loans[[#This Row],[RiskCategory]]="High Risk"),"High",
TRUE,"Normal"
)</f>
        <v>High</v>
      </c>
    </row>
    <row r="1152" spans="1:20" x14ac:dyDescent="0.35">
      <c r="A1152" t="s">
        <v>1900</v>
      </c>
      <c r="B1152" t="s">
        <v>1901</v>
      </c>
      <c r="C1152" t="s">
        <v>170</v>
      </c>
      <c r="D1152" t="s">
        <v>157</v>
      </c>
      <c r="E1152" s="34">
        <v>6000000</v>
      </c>
      <c r="F1152" s="29">
        <v>0.10730000000000001</v>
      </c>
      <c r="G1152" s="30">
        <v>45009</v>
      </c>
      <c r="H1152">
        <v>24</v>
      </c>
      <c r="I1152">
        <v>0</v>
      </c>
      <c r="J1152" s="34">
        <v>7260000</v>
      </c>
      <c r="K1152" t="s">
        <v>171</v>
      </c>
      <c r="L1152" s="34">
        <f>PMT(Loans[[#This Row],[InterestRate]]/12,Loans[[#This Row],[LoanTenureMonths]],-Loans[[#This Row],[LoanAmount]])</f>
        <v>278895.50091840664</v>
      </c>
      <c r="M1152" s="30">
        <f>EDATE(Loans[[#This Row],[LoanStartDate]],Loans[[#This Row],[LoanTenureMonths]])</f>
        <v>45740</v>
      </c>
      <c r="N1152" s="33">
        <f>IF(Loans[[#This Row],[LoanAmount]]=0,0,Loans[[#This Row],[CollateralValue]]/Loans[[#This Row],[LoanAmount]])</f>
        <v>1.21</v>
      </c>
      <c r="O1152" t="str">
        <f>IF(Loans[[#This Row],[CollateralCoverageRatio]]&lt;1,"Undersecured","Secured")</f>
        <v>Secured</v>
      </c>
      <c r="P1152" t="str">
        <f>_xlfn.XLOOKUP(Loans[[#This Row],[BranchCode]],BranchesTbl[BranchCode],BranchesTbl[BranchName])</f>
        <v>Thika</v>
      </c>
      <c r="Q1152">
        <f>_xlfn.XLOOKUP(Loans[[#This Row],[CustomerID]],CustomerTbl[CustomerID],CustomerTbl[RiskScore])</f>
        <v>797</v>
      </c>
      <c r="R1152" t="str">
        <f>IFERROR(INDEX(RiskTbl[Risk_Category],MATCH(Loans[[#This Row],[RiskScore]],RiskTbl[Score_Min],1)),"Unknown")</f>
        <v>Very Low Risk</v>
      </c>
      <c r="S1152" t="str">
        <f>IF(OR(Loans[[#This Row],[LoanStatus]]="Default",Loans[[#This Row],[LoanStatus]]="Watchlist",Loans[[#This Row],[CollateralRisk]]="Undersecured",Loans[[#This Row],[RiskCategory]]="High Risk"),"High Risk Exposure","Normal")</f>
        <v>Normal</v>
      </c>
      <c r="T1152" t="str" cm="1">
        <f t="array" ref="T1152">_xlfn.IFS(
Loans[[#This Row],[LoanStatus]]="Default","Critical",
OR(Loans[[#This Row],[LoanStatus]]="Watchlist",Loans[[#This Row],[CollateralRisk]]="Undersecured",Loans[[#This Row],[RiskCategory]]="High Risk"),"High",
TRUE,"Normal"
)</f>
        <v>Normal</v>
      </c>
    </row>
    <row r="1153" spans="1:20" x14ac:dyDescent="0.35">
      <c r="A1153" t="s">
        <v>1902</v>
      </c>
      <c r="B1153" t="s">
        <v>1153</v>
      </c>
      <c r="C1153" t="s">
        <v>219</v>
      </c>
      <c r="D1153" t="s">
        <v>155</v>
      </c>
      <c r="E1153" s="34">
        <v>500000</v>
      </c>
      <c r="F1153" s="29">
        <v>0.2762</v>
      </c>
      <c r="G1153" s="30">
        <v>45582</v>
      </c>
      <c r="H1153">
        <v>72</v>
      </c>
      <c r="I1153">
        <v>0</v>
      </c>
      <c r="J1153" s="34">
        <v>0</v>
      </c>
      <c r="K1153" t="s">
        <v>171</v>
      </c>
      <c r="L1153" s="34">
        <f>PMT(Loans[[#This Row],[InterestRate]]/12,Loans[[#This Row],[LoanTenureMonths]],-Loans[[#This Row],[LoanAmount]])</f>
        <v>14283.424730071558</v>
      </c>
      <c r="M1153" s="30">
        <f>EDATE(Loans[[#This Row],[LoanStartDate]],Loans[[#This Row],[LoanTenureMonths]])</f>
        <v>47773</v>
      </c>
      <c r="N1153" s="33">
        <f>IF(Loans[[#This Row],[LoanAmount]]=0,0,Loans[[#This Row],[CollateralValue]]/Loans[[#This Row],[LoanAmount]])</f>
        <v>0</v>
      </c>
      <c r="O1153" t="str">
        <f>IF(Loans[[#This Row],[CollateralCoverageRatio]]&lt;1,"Undersecured","Secured")</f>
        <v>Undersecured</v>
      </c>
      <c r="P1153" t="str">
        <f>_xlfn.XLOOKUP(Loans[[#This Row],[BranchCode]],BranchesTbl[BranchCode],BranchesTbl[BranchName])</f>
        <v>Meru</v>
      </c>
      <c r="Q1153">
        <f>_xlfn.XLOOKUP(Loans[[#This Row],[CustomerID]],CustomerTbl[CustomerID],CustomerTbl[RiskScore])</f>
        <v>468</v>
      </c>
      <c r="R1153" t="str">
        <f>IFERROR(INDEX(RiskTbl[Risk_Category],MATCH(Loans[[#This Row],[RiskScore]],RiskTbl[Score_Min],1)),"Unknown")</f>
        <v>High Risk</v>
      </c>
      <c r="S1153" t="str">
        <f>IF(OR(Loans[[#This Row],[LoanStatus]]="Default",Loans[[#This Row],[LoanStatus]]="Watchlist",Loans[[#This Row],[CollateralRisk]]="Undersecured",Loans[[#This Row],[RiskCategory]]="High Risk"),"High Risk Exposure","Normal")</f>
        <v>High Risk Exposure</v>
      </c>
      <c r="T1153" t="str" cm="1">
        <f t="array" ref="T1153">_xlfn.IFS(
Loans[[#This Row],[LoanStatus]]="Default","Critical",
OR(Loans[[#This Row],[LoanStatus]]="Watchlist",Loans[[#This Row],[CollateralRisk]]="Undersecured",Loans[[#This Row],[RiskCategory]]="High Risk"),"High",
TRUE,"Normal"
)</f>
        <v>High</v>
      </c>
    </row>
    <row r="1154" spans="1:20" x14ac:dyDescent="0.35">
      <c r="A1154" t="s">
        <v>1903</v>
      </c>
      <c r="B1154" t="s">
        <v>1904</v>
      </c>
      <c r="C1154" t="s">
        <v>184</v>
      </c>
      <c r="D1154" t="s">
        <v>158</v>
      </c>
      <c r="E1154" s="34">
        <v>500000</v>
      </c>
      <c r="F1154" s="29">
        <v>0.17180000000000001</v>
      </c>
      <c r="G1154" s="30">
        <v>43846</v>
      </c>
      <c r="H1154">
        <v>60</v>
      </c>
      <c r="I1154">
        <v>10</v>
      </c>
      <c r="J1154" s="34">
        <v>665000</v>
      </c>
      <c r="K1154" t="s">
        <v>171</v>
      </c>
      <c r="L1154" s="34">
        <f>PMT(Loans[[#This Row],[InterestRate]]/12,Loans[[#This Row],[LoanTenureMonths]],-Loans[[#This Row],[LoanAmount]])</f>
        <v>12474.731714423966</v>
      </c>
      <c r="M1154" s="30">
        <f>EDATE(Loans[[#This Row],[LoanStartDate]],Loans[[#This Row],[LoanTenureMonths]])</f>
        <v>45673</v>
      </c>
      <c r="N1154" s="33">
        <f>IF(Loans[[#This Row],[LoanAmount]]=0,0,Loans[[#This Row],[CollateralValue]]/Loans[[#This Row],[LoanAmount]])</f>
        <v>1.33</v>
      </c>
      <c r="O1154" t="str">
        <f>IF(Loans[[#This Row],[CollateralCoverageRatio]]&lt;1,"Undersecured","Secured")</f>
        <v>Secured</v>
      </c>
      <c r="P1154" t="str">
        <f>_xlfn.XLOOKUP(Loans[[#This Row],[BranchCode]],BranchesTbl[BranchCode],BranchesTbl[BranchName])</f>
        <v>Kisumu</v>
      </c>
      <c r="Q1154">
        <f>_xlfn.XLOOKUP(Loans[[#This Row],[CustomerID]],CustomerTbl[CustomerID],CustomerTbl[RiskScore])</f>
        <v>543</v>
      </c>
      <c r="R1154" t="str">
        <f>IFERROR(INDEX(RiskTbl[Risk_Category],MATCH(Loans[[#This Row],[RiskScore]],RiskTbl[Score_Min],1)),"Unknown")</f>
        <v>High Risk</v>
      </c>
      <c r="S1154" t="str">
        <f>IF(OR(Loans[[#This Row],[LoanStatus]]="Default",Loans[[#This Row],[LoanStatus]]="Watchlist",Loans[[#This Row],[CollateralRisk]]="Undersecured",Loans[[#This Row],[RiskCategory]]="High Risk"),"High Risk Exposure","Normal")</f>
        <v>High Risk Exposure</v>
      </c>
      <c r="T1154" t="str" cm="1">
        <f t="array" ref="T1154">_xlfn.IFS(
Loans[[#This Row],[LoanStatus]]="Default","Critical",
OR(Loans[[#This Row],[LoanStatus]]="Watchlist",Loans[[#This Row],[CollateralRisk]]="Undersecured",Loans[[#This Row],[RiskCategory]]="High Risk"),"High",
TRUE,"Normal"
)</f>
        <v>High</v>
      </c>
    </row>
    <row r="1155" spans="1:20" x14ac:dyDescent="0.35">
      <c r="A1155" t="s">
        <v>1905</v>
      </c>
      <c r="B1155" t="s">
        <v>1503</v>
      </c>
      <c r="C1155" t="s">
        <v>206</v>
      </c>
      <c r="D1155" t="s">
        <v>155</v>
      </c>
      <c r="E1155" s="34">
        <v>100000</v>
      </c>
      <c r="F1155" s="29">
        <v>0.25030000000000002</v>
      </c>
      <c r="G1155" s="30">
        <v>43907</v>
      </c>
      <c r="H1155">
        <v>72</v>
      </c>
      <c r="I1155">
        <v>5</v>
      </c>
      <c r="J1155" s="34">
        <v>0</v>
      </c>
      <c r="K1155" t="s">
        <v>171</v>
      </c>
      <c r="L1155" s="34">
        <f>PMT(Loans[[#This Row],[InterestRate]]/12,Loans[[#This Row],[LoanTenureMonths]],-Loans[[#This Row],[LoanAmount]])</f>
        <v>2695.5588671801688</v>
      </c>
      <c r="M1155" s="30">
        <f>EDATE(Loans[[#This Row],[LoanStartDate]],Loans[[#This Row],[LoanTenureMonths]])</f>
        <v>46098</v>
      </c>
      <c r="N1155" s="33">
        <f>IF(Loans[[#This Row],[LoanAmount]]=0,0,Loans[[#This Row],[CollateralValue]]/Loans[[#This Row],[LoanAmount]])</f>
        <v>0</v>
      </c>
      <c r="O1155" t="str">
        <f>IF(Loans[[#This Row],[CollateralCoverageRatio]]&lt;1,"Undersecured","Secured")</f>
        <v>Undersecured</v>
      </c>
      <c r="P1155" t="str">
        <f>_xlfn.XLOOKUP(Loans[[#This Row],[BranchCode]],BranchesTbl[BranchCode],BranchesTbl[BranchName])</f>
        <v>Nyahururu</v>
      </c>
      <c r="Q1155">
        <f>_xlfn.XLOOKUP(Loans[[#This Row],[CustomerID]],CustomerTbl[CustomerID],CustomerTbl[RiskScore])</f>
        <v>671</v>
      </c>
      <c r="R1155" t="str">
        <f>IFERROR(INDEX(RiskTbl[Risk_Category],MATCH(Loans[[#This Row],[RiskScore]],RiskTbl[Score_Min],1)),"Unknown")</f>
        <v>Low Risk</v>
      </c>
      <c r="S1155" t="str">
        <f>IF(OR(Loans[[#This Row],[LoanStatus]]="Default",Loans[[#This Row],[LoanStatus]]="Watchlist",Loans[[#This Row],[CollateralRisk]]="Undersecured",Loans[[#This Row],[RiskCategory]]="High Risk"),"High Risk Exposure","Normal")</f>
        <v>High Risk Exposure</v>
      </c>
      <c r="T1155" t="str" cm="1">
        <f t="array" ref="T1155">_xlfn.IFS(
Loans[[#This Row],[LoanStatus]]="Default","Critical",
OR(Loans[[#This Row],[LoanStatus]]="Watchlist",Loans[[#This Row],[CollateralRisk]]="Undersecured",Loans[[#This Row],[RiskCategory]]="High Risk"),"High",
TRUE,"Normal"
)</f>
        <v>High</v>
      </c>
    </row>
    <row r="1156" spans="1:20" x14ac:dyDescent="0.35">
      <c r="A1156" t="s">
        <v>1906</v>
      </c>
      <c r="B1156" t="s">
        <v>914</v>
      </c>
      <c r="C1156" t="s">
        <v>187</v>
      </c>
      <c r="D1156" t="s">
        <v>155</v>
      </c>
      <c r="E1156" s="34">
        <v>250000</v>
      </c>
      <c r="F1156" s="29">
        <v>0.17660000000000001</v>
      </c>
      <c r="G1156" s="30">
        <v>43934</v>
      </c>
      <c r="H1156">
        <v>24</v>
      </c>
      <c r="I1156">
        <v>0</v>
      </c>
      <c r="J1156" s="34">
        <v>0</v>
      </c>
      <c r="K1156" t="s">
        <v>171</v>
      </c>
      <c r="L1156" s="34">
        <f>PMT(Loans[[#This Row],[InterestRate]]/12,Loans[[#This Row],[LoanTenureMonths]],-Loans[[#This Row],[LoanAmount]])</f>
        <v>12439.994084324378</v>
      </c>
      <c r="M1156" s="30">
        <f>EDATE(Loans[[#This Row],[LoanStartDate]],Loans[[#This Row],[LoanTenureMonths]])</f>
        <v>44664</v>
      </c>
      <c r="N1156" s="33">
        <f>IF(Loans[[#This Row],[LoanAmount]]=0,0,Loans[[#This Row],[CollateralValue]]/Loans[[#This Row],[LoanAmount]])</f>
        <v>0</v>
      </c>
      <c r="O1156" t="str">
        <f>IF(Loans[[#This Row],[CollateralCoverageRatio]]&lt;1,"Undersecured","Secured")</f>
        <v>Undersecured</v>
      </c>
      <c r="P1156" t="str">
        <f>_xlfn.XLOOKUP(Loans[[#This Row],[BranchCode]],BranchesTbl[BranchCode],BranchesTbl[BranchName])</f>
        <v>Eldoret</v>
      </c>
      <c r="Q1156">
        <f>_xlfn.XLOOKUP(Loans[[#This Row],[CustomerID]],CustomerTbl[CustomerID],CustomerTbl[RiskScore])</f>
        <v>595</v>
      </c>
      <c r="R1156" t="str">
        <f>IFERROR(INDEX(RiskTbl[Risk_Category],MATCH(Loans[[#This Row],[RiskScore]],RiskTbl[Score_Min],1)),"Unknown")</f>
        <v>Medium Risk</v>
      </c>
      <c r="S1156" t="str">
        <f>IF(OR(Loans[[#This Row],[LoanStatus]]="Default",Loans[[#This Row],[LoanStatus]]="Watchlist",Loans[[#This Row],[CollateralRisk]]="Undersecured",Loans[[#This Row],[RiskCategory]]="High Risk"),"High Risk Exposure","Normal")</f>
        <v>High Risk Exposure</v>
      </c>
      <c r="T1156" t="str" cm="1">
        <f t="array" ref="T1156">_xlfn.IFS(
Loans[[#This Row],[LoanStatus]]="Default","Critical",
OR(Loans[[#This Row],[LoanStatus]]="Watchlist",Loans[[#This Row],[CollateralRisk]]="Undersecured",Loans[[#This Row],[RiskCategory]]="High Risk"),"High",
TRUE,"Normal"
)</f>
        <v>High</v>
      </c>
    </row>
    <row r="1157" spans="1:20" x14ac:dyDescent="0.35">
      <c r="A1157" t="s">
        <v>1907</v>
      </c>
      <c r="B1157" t="s">
        <v>767</v>
      </c>
      <c r="C1157" t="s">
        <v>232</v>
      </c>
      <c r="D1157" t="s">
        <v>156</v>
      </c>
      <c r="E1157" s="34">
        <v>6000000</v>
      </c>
      <c r="F1157" s="29">
        <v>0.23649999999999999</v>
      </c>
      <c r="G1157" s="30">
        <v>44881</v>
      </c>
      <c r="H1157">
        <v>24</v>
      </c>
      <c r="I1157">
        <v>45</v>
      </c>
      <c r="J1157" s="34">
        <v>5640000</v>
      </c>
      <c r="K1157" t="s">
        <v>199</v>
      </c>
      <c r="L1157" s="34">
        <f>PMT(Loans[[#This Row],[InterestRate]]/12,Loans[[#This Row],[LoanTenureMonths]],-Loans[[#This Row],[LoanAmount]])</f>
        <v>316179.42324878724</v>
      </c>
      <c r="M1157" s="30">
        <f>EDATE(Loans[[#This Row],[LoanStartDate]],Loans[[#This Row],[LoanTenureMonths]])</f>
        <v>45612</v>
      </c>
      <c r="N1157" s="33">
        <f>IF(Loans[[#This Row],[LoanAmount]]=0,0,Loans[[#This Row],[CollateralValue]]/Loans[[#This Row],[LoanAmount]])</f>
        <v>0.94</v>
      </c>
      <c r="O1157" t="str">
        <f>IF(Loans[[#This Row],[CollateralCoverageRatio]]&lt;1,"Undersecured","Secured")</f>
        <v>Undersecured</v>
      </c>
      <c r="P1157" t="str">
        <f>_xlfn.XLOOKUP(Loans[[#This Row],[BranchCode]],BranchesTbl[BranchCode],BranchesTbl[BranchName])</f>
        <v>Upper Hill</v>
      </c>
      <c r="Q1157">
        <f>_xlfn.XLOOKUP(Loans[[#This Row],[CustomerID]],CustomerTbl[CustomerID],CustomerTbl[RiskScore])</f>
        <v>316</v>
      </c>
      <c r="R1157" t="str">
        <f>IFERROR(INDEX(RiskTbl[Risk_Category],MATCH(Loans[[#This Row],[RiskScore]],RiskTbl[Score_Min],1)),"Unknown")</f>
        <v>High Risk</v>
      </c>
      <c r="S1157" t="str">
        <f>IF(OR(Loans[[#This Row],[LoanStatus]]="Default",Loans[[#This Row],[LoanStatus]]="Watchlist",Loans[[#This Row],[CollateralRisk]]="Undersecured",Loans[[#This Row],[RiskCategory]]="High Risk"),"High Risk Exposure","Normal")</f>
        <v>High Risk Exposure</v>
      </c>
      <c r="T1157" t="str" cm="1">
        <f t="array" ref="T1157">_xlfn.IFS(
Loans[[#This Row],[LoanStatus]]="Default","Critical",
OR(Loans[[#This Row],[LoanStatus]]="Watchlist",Loans[[#This Row],[CollateralRisk]]="Undersecured",Loans[[#This Row],[RiskCategory]]="High Risk"),"High",
TRUE,"Normal"
)</f>
        <v>High</v>
      </c>
    </row>
    <row r="1158" spans="1:20" x14ac:dyDescent="0.35">
      <c r="A1158" t="s">
        <v>1908</v>
      </c>
      <c r="B1158" t="s">
        <v>579</v>
      </c>
      <c r="C1158" t="s">
        <v>170</v>
      </c>
      <c r="D1158" t="s">
        <v>156</v>
      </c>
      <c r="E1158" s="34">
        <v>3000000</v>
      </c>
      <c r="F1158" s="29">
        <v>0.2223</v>
      </c>
      <c r="G1158" s="30">
        <v>44038</v>
      </c>
      <c r="H1158">
        <v>60</v>
      </c>
      <c r="I1158">
        <v>45</v>
      </c>
      <c r="J1158" s="34">
        <v>3600000</v>
      </c>
      <c r="K1158" t="s">
        <v>199</v>
      </c>
      <c r="L1158" s="34">
        <f>PMT(Loans[[#This Row],[InterestRate]]/12,Loans[[#This Row],[LoanTenureMonths]],-Loans[[#This Row],[LoanAmount]])</f>
        <v>83249.523803485354</v>
      </c>
      <c r="M1158" s="30">
        <f>EDATE(Loans[[#This Row],[LoanStartDate]],Loans[[#This Row],[LoanTenureMonths]])</f>
        <v>45864</v>
      </c>
      <c r="N1158" s="33">
        <f>IF(Loans[[#This Row],[LoanAmount]]=0,0,Loans[[#This Row],[CollateralValue]]/Loans[[#This Row],[LoanAmount]])</f>
        <v>1.2</v>
      </c>
      <c r="O1158" t="str">
        <f>IF(Loans[[#This Row],[CollateralCoverageRatio]]&lt;1,"Undersecured","Secured")</f>
        <v>Secured</v>
      </c>
      <c r="P1158" t="str">
        <f>_xlfn.XLOOKUP(Loans[[#This Row],[BranchCode]],BranchesTbl[BranchCode],BranchesTbl[BranchName])</f>
        <v>Thika</v>
      </c>
      <c r="Q1158">
        <f>_xlfn.XLOOKUP(Loans[[#This Row],[CustomerID]],CustomerTbl[CustomerID],CustomerTbl[RiskScore])</f>
        <v>334</v>
      </c>
      <c r="R1158" t="str">
        <f>IFERROR(INDEX(RiskTbl[Risk_Category],MATCH(Loans[[#This Row],[RiskScore]],RiskTbl[Score_Min],1)),"Unknown")</f>
        <v>High Risk</v>
      </c>
      <c r="S1158" t="str">
        <f>IF(OR(Loans[[#This Row],[LoanStatus]]="Default",Loans[[#This Row],[LoanStatus]]="Watchlist",Loans[[#This Row],[CollateralRisk]]="Undersecured",Loans[[#This Row],[RiskCategory]]="High Risk"),"High Risk Exposure","Normal")</f>
        <v>High Risk Exposure</v>
      </c>
      <c r="T1158" t="str" cm="1">
        <f t="array" ref="T1158">_xlfn.IFS(
Loans[[#This Row],[LoanStatus]]="Default","Critical",
OR(Loans[[#This Row],[LoanStatus]]="Watchlist",Loans[[#This Row],[CollateralRisk]]="Undersecured",Loans[[#This Row],[RiskCategory]]="High Risk"),"High",
TRUE,"Normal"
)</f>
        <v>High</v>
      </c>
    </row>
    <row r="1159" spans="1:20" x14ac:dyDescent="0.35">
      <c r="A1159" t="s">
        <v>1909</v>
      </c>
      <c r="B1159" t="s">
        <v>1692</v>
      </c>
      <c r="C1159" t="s">
        <v>193</v>
      </c>
      <c r="D1159" t="s">
        <v>158</v>
      </c>
      <c r="E1159" s="34">
        <v>1000000</v>
      </c>
      <c r="F1159" s="29">
        <v>0.14199999999999999</v>
      </c>
      <c r="G1159" s="30">
        <v>45791</v>
      </c>
      <c r="H1159">
        <v>48</v>
      </c>
      <c r="I1159">
        <v>0</v>
      </c>
      <c r="J1159" s="34">
        <v>860000</v>
      </c>
      <c r="K1159" t="s">
        <v>171</v>
      </c>
      <c r="L1159" s="34">
        <f>PMT(Loans[[#This Row],[InterestRate]]/12,Loans[[#This Row],[LoanTenureMonths]],-Loans[[#This Row],[LoanAmount]])</f>
        <v>27426.908508192206</v>
      </c>
      <c r="M1159" s="30">
        <f>EDATE(Loans[[#This Row],[LoanStartDate]],Loans[[#This Row],[LoanTenureMonths]])</f>
        <v>47252</v>
      </c>
      <c r="N1159" s="33">
        <f>IF(Loans[[#This Row],[LoanAmount]]=0,0,Loans[[#This Row],[CollateralValue]]/Loans[[#This Row],[LoanAmount]])</f>
        <v>0.86</v>
      </c>
      <c r="O1159" t="str">
        <f>IF(Loans[[#This Row],[CollateralCoverageRatio]]&lt;1,"Undersecured","Secured")</f>
        <v>Undersecured</v>
      </c>
      <c r="P1159" t="str">
        <f>_xlfn.XLOOKUP(Loans[[#This Row],[BranchCode]],BranchesTbl[BranchCode],BranchesTbl[BranchName])</f>
        <v>Mombasa</v>
      </c>
      <c r="Q1159">
        <f>_xlfn.XLOOKUP(Loans[[#This Row],[CustomerID]],CustomerTbl[CustomerID],CustomerTbl[RiskScore])</f>
        <v>428</v>
      </c>
      <c r="R1159" t="str">
        <f>IFERROR(INDEX(RiskTbl[Risk_Category],MATCH(Loans[[#This Row],[RiskScore]],RiskTbl[Score_Min],1)),"Unknown")</f>
        <v>High Risk</v>
      </c>
      <c r="S1159" t="str">
        <f>IF(OR(Loans[[#This Row],[LoanStatus]]="Default",Loans[[#This Row],[LoanStatus]]="Watchlist",Loans[[#This Row],[CollateralRisk]]="Undersecured",Loans[[#This Row],[RiskCategory]]="High Risk"),"High Risk Exposure","Normal")</f>
        <v>High Risk Exposure</v>
      </c>
      <c r="T1159" t="str" cm="1">
        <f t="array" ref="T1159">_xlfn.IFS(
Loans[[#This Row],[LoanStatus]]="Default","Critical",
OR(Loans[[#This Row],[LoanStatus]]="Watchlist",Loans[[#This Row],[CollateralRisk]]="Undersecured",Loans[[#This Row],[RiskCategory]]="High Risk"),"High",
TRUE,"Normal"
)</f>
        <v>High</v>
      </c>
    </row>
    <row r="1160" spans="1:20" x14ac:dyDescent="0.35">
      <c r="A1160" t="s">
        <v>1910</v>
      </c>
      <c r="B1160" t="s">
        <v>1911</v>
      </c>
      <c r="C1160" t="s">
        <v>174</v>
      </c>
      <c r="D1160" t="s">
        <v>158</v>
      </c>
      <c r="E1160" s="34">
        <v>3000000</v>
      </c>
      <c r="F1160" s="29">
        <v>0.1326</v>
      </c>
      <c r="G1160" s="30">
        <v>45802</v>
      </c>
      <c r="H1160">
        <v>36</v>
      </c>
      <c r="I1160">
        <v>120</v>
      </c>
      <c r="J1160" s="34">
        <v>1650000</v>
      </c>
      <c r="K1160" t="s">
        <v>178</v>
      </c>
      <c r="L1160" s="34">
        <f>PMT(Loans[[#This Row],[InterestRate]]/12,Loans[[#This Row],[LoanTenureMonths]],-Loans[[#This Row],[LoanAmount]])</f>
        <v>101457.96172747173</v>
      </c>
      <c r="M1160" s="30">
        <f>EDATE(Loans[[#This Row],[LoanStartDate]],Loans[[#This Row],[LoanTenureMonths]])</f>
        <v>46898</v>
      </c>
      <c r="N1160" s="33">
        <f>IF(Loans[[#This Row],[LoanAmount]]=0,0,Loans[[#This Row],[CollateralValue]]/Loans[[#This Row],[LoanAmount]])</f>
        <v>0.55000000000000004</v>
      </c>
      <c r="O1160" t="str">
        <f>IF(Loans[[#This Row],[CollateralCoverageRatio]]&lt;1,"Undersecured","Secured")</f>
        <v>Undersecured</v>
      </c>
      <c r="P1160" t="str">
        <f>_xlfn.XLOOKUP(Loans[[#This Row],[BranchCode]],BranchesTbl[BranchCode],BranchesTbl[BranchName])</f>
        <v>Westlands</v>
      </c>
      <c r="Q1160">
        <f>_xlfn.XLOOKUP(Loans[[#This Row],[CustomerID]],CustomerTbl[CustomerID],CustomerTbl[RiskScore])</f>
        <v>418</v>
      </c>
      <c r="R1160" t="str">
        <f>IFERROR(INDEX(RiskTbl[Risk_Category],MATCH(Loans[[#This Row],[RiskScore]],RiskTbl[Score_Min],1)),"Unknown")</f>
        <v>High Risk</v>
      </c>
      <c r="S1160" t="str">
        <f>IF(OR(Loans[[#This Row],[LoanStatus]]="Default",Loans[[#This Row],[LoanStatus]]="Watchlist",Loans[[#This Row],[CollateralRisk]]="Undersecured",Loans[[#This Row],[RiskCategory]]="High Risk"),"High Risk Exposure","Normal")</f>
        <v>High Risk Exposure</v>
      </c>
      <c r="T1160" t="str" cm="1">
        <f t="array" ref="T1160">_xlfn.IFS(
Loans[[#This Row],[LoanStatus]]="Default","Critical",
OR(Loans[[#This Row],[LoanStatus]]="Watchlist",Loans[[#This Row],[CollateralRisk]]="Undersecured",Loans[[#This Row],[RiskCategory]]="High Risk"),"High",
TRUE,"Normal"
)</f>
        <v>Critical</v>
      </c>
    </row>
    <row r="1161" spans="1:20" x14ac:dyDescent="0.35">
      <c r="A1161" t="s">
        <v>1912</v>
      </c>
      <c r="B1161" t="s">
        <v>1194</v>
      </c>
      <c r="C1161" t="s">
        <v>270</v>
      </c>
      <c r="D1161" t="s">
        <v>156</v>
      </c>
      <c r="E1161" s="34">
        <v>25000000</v>
      </c>
      <c r="F1161" s="29">
        <v>0.21990000000000001</v>
      </c>
      <c r="G1161" s="30">
        <v>45071</v>
      </c>
      <c r="H1161">
        <v>12</v>
      </c>
      <c r="I1161">
        <v>90</v>
      </c>
      <c r="J1161" s="34">
        <v>34000000</v>
      </c>
      <c r="K1161" t="s">
        <v>199</v>
      </c>
      <c r="L1161" s="34">
        <f>PMT(Loans[[#This Row],[InterestRate]]/12,Loans[[#This Row],[LoanTenureMonths]],-Loans[[#This Row],[LoanAmount]])</f>
        <v>2339739.1741832034</v>
      </c>
      <c r="M1161" s="30">
        <f>EDATE(Loans[[#This Row],[LoanStartDate]],Loans[[#This Row],[LoanTenureMonths]])</f>
        <v>45437</v>
      </c>
      <c r="N1161" s="33">
        <f>IF(Loans[[#This Row],[LoanAmount]]=0,0,Loans[[#This Row],[CollateralValue]]/Loans[[#This Row],[LoanAmount]])</f>
        <v>1.36</v>
      </c>
      <c r="O1161" t="str">
        <f>IF(Loans[[#This Row],[CollateralCoverageRatio]]&lt;1,"Undersecured","Secured")</f>
        <v>Secured</v>
      </c>
      <c r="P1161" t="str">
        <f>_xlfn.XLOOKUP(Loans[[#This Row],[BranchCode]],BranchesTbl[BranchCode],BranchesTbl[BranchName])</f>
        <v>Nakuru</v>
      </c>
      <c r="Q1161">
        <f>_xlfn.XLOOKUP(Loans[[#This Row],[CustomerID]],CustomerTbl[CustomerID],CustomerTbl[RiskScore])</f>
        <v>567</v>
      </c>
      <c r="R1161" t="str">
        <f>IFERROR(INDEX(RiskTbl[Risk_Category],MATCH(Loans[[#This Row],[RiskScore]],RiskTbl[Score_Min],1)),"Unknown")</f>
        <v>High Risk</v>
      </c>
      <c r="S1161" t="str">
        <f>IF(OR(Loans[[#This Row],[LoanStatus]]="Default",Loans[[#This Row],[LoanStatus]]="Watchlist",Loans[[#This Row],[CollateralRisk]]="Undersecured",Loans[[#This Row],[RiskCategory]]="High Risk"),"High Risk Exposure","Normal")</f>
        <v>High Risk Exposure</v>
      </c>
      <c r="T1161" t="str" cm="1">
        <f t="array" ref="T1161">_xlfn.IFS(
Loans[[#This Row],[LoanStatus]]="Default","Critical",
OR(Loans[[#This Row],[LoanStatus]]="Watchlist",Loans[[#This Row],[CollateralRisk]]="Undersecured",Loans[[#This Row],[RiskCategory]]="High Risk"),"High",
TRUE,"Normal"
)</f>
        <v>High</v>
      </c>
    </row>
    <row r="1162" spans="1:20" x14ac:dyDescent="0.35">
      <c r="A1162" t="s">
        <v>1913</v>
      </c>
      <c r="B1162" t="s">
        <v>740</v>
      </c>
      <c r="C1162" t="s">
        <v>267</v>
      </c>
      <c r="D1162" t="s">
        <v>155</v>
      </c>
      <c r="E1162" s="34">
        <v>500000</v>
      </c>
      <c r="F1162" s="29">
        <v>0.23699999999999999</v>
      </c>
      <c r="G1162" s="30">
        <v>45468</v>
      </c>
      <c r="H1162">
        <v>48</v>
      </c>
      <c r="I1162">
        <v>45</v>
      </c>
      <c r="J1162" s="34">
        <v>0</v>
      </c>
      <c r="K1162" t="s">
        <v>199</v>
      </c>
      <c r="L1162" s="34">
        <f>PMT(Loans[[#This Row],[InterestRate]]/12,Loans[[#This Row],[LoanTenureMonths]],-Loans[[#This Row],[LoanAmount]])</f>
        <v>16218.103460786622</v>
      </c>
      <c r="M1162" s="30">
        <f>EDATE(Loans[[#This Row],[LoanStartDate]],Loans[[#This Row],[LoanTenureMonths]])</f>
        <v>46929</v>
      </c>
      <c r="N1162" s="33">
        <f>IF(Loans[[#This Row],[LoanAmount]]=0,0,Loans[[#This Row],[CollateralValue]]/Loans[[#This Row],[LoanAmount]])</f>
        <v>0</v>
      </c>
      <c r="O1162" t="str">
        <f>IF(Loans[[#This Row],[CollateralCoverageRatio]]&lt;1,"Undersecured","Secured")</f>
        <v>Undersecured</v>
      </c>
      <c r="P1162" t="str">
        <f>_xlfn.XLOOKUP(Loans[[#This Row],[BranchCode]],BranchesTbl[BranchCode],BranchesTbl[BranchName])</f>
        <v>Malindi</v>
      </c>
      <c r="Q1162">
        <f>_xlfn.XLOOKUP(Loans[[#This Row],[CustomerID]],CustomerTbl[CustomerID],CustomerTbl[RiskScore])</f>
        <v>614</v>
      </c>
      <c r="R1162" t="str">
        <f>IFERROR(INDEX(RiskTbl[Risk_Category],MATCH(Loans[[#This Row],[RiskScore]],RiskTbl[Score_Min],1)),"Unknown")</f>
        <v>Medium Risk</v>
      </c>
      <c r="S1162" t="str">
        <f>IF(OR(Loans[[#This Row],[LoanStatus]]="Default",Loans[[#This Row],[LoanStatus]]="Watchlist",Loans[[#This Row],[CollateralRisk]]="Undersecured",Loans[[#This Row],[RiskCategory]]="High Risk"),"High Risk Exposure","Normal")</f>
        <v>High Risk Exposure</v>
      </c>
      <c r="T1162" t="str" cm="1">
        <f t="array" ref="T1162">_xlfn.IFS(
Loans[[#This Row],[LoanStatus]]="Default","Critical",
OR(Loans[[#This Row],[LoanStatus]]="Watchlist",Loans[[#This Row],[CollateralRisk]]="Undersecured",Loans[[#This Row],[RiskCategory]]="High Risk"),"High",
TRUE,"Normal"
)</f>
        <v>High</v>
      </c>
    </row>
    <row r="1163" spans="1:20" x14ac:dyDescent="0.35">
      <c r="A1163" t="s">
        <v>1914</v>
      </c>
      <c r="B1163" t="s">
        <v>1744</v>
      </c>
      <c r="C1163" t="s">
        <v>190</v>
      </c>
      <c r="D1163" t="s">
        <v>156</v>
      </c>
      <c r="E1163" s="34">
        <v>3000000</v>
      </c>
      <c r="F1163" s="29">
        <v>0.16489999999999999</v>
      </c>
      <c r="G1163" s="30">
        <v>45069</v>
      </c>
      <c r="H1163">
        <v>48</v>
      </c>
      <c r="I1163">
        <v>5</v>
      </c>
      <c r="J1163" s="34">
        <v>3090000</v>
      </c>
      <c r="K1163" t="s">
        <v>171</v>
      </c>
      <c r="L1163" s="34">
        <f>PMT(Loans[[#This Row],[InterestRate]]/12,Loans[[#This Row],[LoanTenureMonths]],-Loans[[#This Row],[LoanAmount]])</f>
        <v>85775.587826112911</v>
      </c>
      <c r="M1163" s="30">
        <f>EDATE(Loans[[#This Row],[LoanStartDate]],Loans[[#This Row],[LoanTenureMonths]])</f>
        <v>46530</v>
      </c>
      <c r="N1163" s="33">
        <f>IF(Loans[[#This Row],[LoanAmount]]=0,0,Loans[[#This Row],[CollateralValue]]/Loans[[#This Row],[LoanAmount]])</f>
        <v>1.03</v>
      </c>
      <c r="O1163" t="str">
        <f>IF(Loans[[#This Row],[CollateralCoverageRatio]]&lt;1,"Undersecured","Secured")</f>
        <v>Secured</v>
      </c>
      <c r="P1163" t="str">
        <f>_xlfn.XLOOKUP(Loans[[#This Row],[BranchCode]],BranchesTbl[BranchCode],BranchesTbl[BranchName])</f>
        <v>Nyeri</v>
      </c>
      <c r="Q1163">
        <f>_xlfn.XLOOKUP(Loans[[#This Row],[CustomerID]],CustomerTbl[CustomerID],CustomerTbl[RiskScore])</f>
        <v>726</v>
      </c>
      <c r="R1163" t="str">
        <f>IFERROR(INDEX(RiskTbl[Risk_Category],MATCH(Loans[[#This Row],[RiskScore]],RiskTbl[Score_Min],1)),"Unknown")</f>
        <v>Low Risk</v>
      </c>
      <c r="S1163" t="str">
        <f>IF(OR(Loans[[#This Row],[LoanStatus]]="Default",Loans[[#This Row],[LoanStatus]]="Watchlist",Loans[[#This Row],[CollateralRisk]]="Undersecured",Loans[[#This Row],[RiskCategory]]="High Risk"),"High Risk Exposure","Normal")</f>
        <v>Normal</v>
      </c>
      <c r="T1163" t="str" cm="1">
        <f t="array" ref="T1163">_xlfn.IFS(
Loans[[#This Row],[LoanStatus]]="Default","Critical",
OR(Loans[[#This Row],[LoanStatus]]="Watchlist",Loans[[#This Row],[CollateralRisk]]="Undersecured",Loans[[#This Row],[RiskCategory]]="High Risk"),"High",
TRUE,"Normal"
)</f>
        <v>Normal</v>
      </c>
    </row>
    <row r="1164" spans="1:20" x14ac:dyDescent="0.35">
      <c r="A1164" t="s">
        <v>1915</v>
      </c>
      <c r="B1164" t="s">
        <v>657</v>
      </c>
      <c r="C1164" t="s">
        <v>270</v>
      </c>
      <c r="D1164" t="s">
        <v>158</v>
      </c>
      <c r="E1164" s="34">
        <v>1000000</v>
      </c>
      <c r="F1164" s="29">
        <v>0.13650000000000001</v>
      </c>
      <c r="G1164" s="30">
        <v>44037</v>
      </c>
      <c r="H1164">
        <v>24</v>
      </c>
      <c r="I1164">
        <v>0</v>
      </c>
      <c r="J1164" s="34">
        <v>1290000</v>
      </c>
      <c r="K1164" t="s">
        <v>171</v>
      </c>
      <c r="L1164" s="34">
        <f>PMT(Loans[[#This Row],[InterestRate]]/12,Loans[[#This Row],[LoanTenureMonths]],-Loans[[#This Row],[LoanAmount]])</f>
        <v>47847.704116962923</v>
      </c>
      <c r="M1164" s="30">
        <f>EDATE(Loans[[#This Row],[LoanStartDate]],Loans[[#This Row],[LoanTenureMonths]])</f>
        <v>44767</v>
      </c>
      <c r="N1164" s="33">
        <f>IF(Loans[[#This Row],[LoanAmount]]=0,0,Loans[[#This Row],[CollateralValue]]/Loans[[#This Row],[LoanAmount]])</f>
        <v>1.29</v>
      </c>
      <c r="O1164" t="str">
        <f>IF(Loans[[#This Row],[CollateralCoverageRatio]]&lt;1,"Undersecured","Secured")</f>
        <v>Secured</v>
      </c>
      <c r="P1164" t="str">
        <f>_xlfn.XLOOKUP(Loans[[#This Row],[BranchCode]],BranchesTbl[BranchCode],BranchesTbl[BranchName])</f>
        <v>Nakuru</v>
      </c>
      <c r="Q1164">
        <f>_xlfn.XLOOKUP(Loans[[#This Row],[CustomerID]],CustomerTbl[CustomerID],CustomerTbl[RiskScore])</f>
        <v>359</v>
      </c>
      <c r="R1164" t="str">
        <f>IFERROR(INDEX(RiskTbl[Risk_Category],MATCH(Loans[[#This Row],[RiskScore]],RiskTbl[Score_Min],1)),"Unknown")</f>
        <v>High Risk</v>
      </c>
      <c r="S1164" t="str">
        <f>IF(OR(Loans[[#This Row],[LoanStatus]]="Default",Loans[[#This Row],[LoanStatus]]="Watchlist",Loans[[#This Row],[CollateralRisk]]="Undersecured",Loans[[#This Row],[RiskCategory]]="High Risk"),"High Risk Exposure","Normal")</f>
        <v>High Risk Exposure</v>
      </c>
      <c r="T1164" t="str" cm="1">
        <f t="array" ref="T1164">_xlfn.IFS(
Loans[[#This Row],[LoanStatus]]="Default","Critical",
OR(Loans[[#This Row],[LoanStatus]]="Watchlist",Loans[[#This Row],[CollateralRisk]]="Undersecured",Loans[[#This Row],[RiskCategory]]="High Risk"),"High",
TRUE,"Normal"
)</f>
        <v>High</v>
      </c>
    </row>
    <row r="1165" spans="1:20" x14ac:dyDescent="0.35">
      <c r="A1165" t="s">
        <v>1916</v>
      </c>
      <c r="B1165" t="s">
        <v>549</v>
      </c>
      <c r="C1165" t="s">
        <v>206</v>
      </c>
      <c r="D1165" t="s">
        <v>156</v>
      </c>
      <c r="E1165" s="34">
        <v>1000000</v>
      </c>
      <c r="F1165" s="29">
        <v>0.215</v>
      </c>
      <c r="G1165" s="30">
        <v>44937</v>
      </c>
      <c r="H1165">
        <v>24</v>
      </c>
      <c r="I1165">
        <v>10</v>
      </c>
      <c r="J1165" s="34">
        <v>500000</v>
      </c>
      <c r="K1165" t="s">
        <v>171</v>
      </c>
      <c r="L1165" s="34">
        <f>PMT(Loans[[#This Row],[InterestRate]]/12,Loans[[#This Row],[LoanTenureMonths]],-Loans[[#This Row],[LoanAmount]])</f>
        <v>51631.571357683133</v>
      </c>
      <c r="M1165" s="30">
        <f>EDATE(Loans[[#This Row],[LoanStartDate]],Loans[[#This Row],[LoanTenureMonths]])</f>
        <v>45668</v>
      </c>
      <c r="N1165" s="33">
        <f>IF(Loans[[#This Row],[LoanAmount]]=0,0,Loans[[#This Row],[CollateralValue]]/Loans[[#This Row],[LoanAmount]])</f>
        <v>0.5</v>
      </c>
      <c r="O1165" t="str">
        <f>IF(Loans[[#This Row],[CollateralCoverageRatio]]&lt;1,"Undersecured","Secured")</f>
        <v>Undersecured</v>
      </c>
      <c r="P1165" t="str">
        <f>_xlfn.XLOOKUP(Loans[[#This Row],[BranchCode]],BranchesTbl[BranchCode],BranchesTbl[BranchName])</f>
        <v>Nyahururu</v>
      </c>
      <c r="Q1165">
        <f>_xlfn.XLOOKUP(Loans[[#This Row],[CustomerID]],CustomerTbl[CustomerID],CustomerTbl[RiskScore])</f>
        <v>841</v>
      </c>
      <c r="R1165" t="str">
        <f>IFERROR(INDEX(RiskTbl[Risk_Category],MATCH(Loans[[#This Row],[RiskScore]],RiskTbl[Score_Min],1)),"Unknown")</f>
        <v>Prime</v>
      </c>
      <c r="S1165" t="str">
        <f>IF(OR(Loans[[#This Row],[LoanStatus]]="Default",Loans[[#This Row],[LoanStatus]]="Watchlist",Loans[[#This Row],[CollateralRisk]]="Undersecured",Loans[[#This Row],[RiskCategory]]="High Risk"),"High Risk Exposure","Normal")</f>
        <v>High Risk Exposure</v>
      </c>
      <c r="T1165" t="str" cm="1">
        <f t="array" ref="T1165">_xlfn.IFS(
Loans[[#This Row],[LoanStatus]]="Default","Critical",
OR(Loans[[#This Row],[LoanStatus]]="Watchlist",Loans[[#This Row],[CollateralRisk]]="Undersecured",Loans[[#This Row],[RiskCategory]]="High Risk"),"High",
TRUE,"Normal"
)</f>
        <v>High</v>
      </c>
    </row>
    <row r="1166" spans="1:20" x14ac:dyDescent="0.35">
      <c r="A1166" t="s">
        <v>1917</v>
      </c>
      <c r="B1166" t="s">
        <v>1415</v>
      </c>
      <c r="C1166" t="s">
        <v>270</v>
      </c>
      <c r="D1166" t="s">
        <v>157</v>
      </c>
      <c r="E1166" s="34">
        <v>6000000</v>
      </c>
      <c r="F1166" s="29">
        <v>0.1104</v>
      </c>
      <c r="G1166" s="30">
        <v>45386</v>
      </c>
      <c r="H1166">
        <v>60</v>
      </c>
      <c r="I1166">
        <v>10</v>
      </c>
      <c r="J1166" s="34">
        <v>5640000</v>
      </c>
      <c r="K1166" t="s">
        <v>171</v>
      </c>
      <c r="L1166" s="34">
        <f>PMT(Loans[[#This Row],[InterestRate]]/12,Loans[[#This Row],[LoanTenureMonths]],-Loans[[#This Row],[LoanAmount]])</f>
        <v>130574.26045624742</v>
      </c>
      <c r="M1166" s="30">
        <f>EDATE(Loans[[#This Row],[LoanStartDate]],Loans[[#This Row],[LoanTenureMonths]])</f>
        <v>47212</v>
      </c>
      <c r="N1166" s="33">
        <f>IF(Loans[[#This Row],[LoanAmount]]=0,0,Loans[[#This Row],[CollateralValue]]/Loans[[#This Row],[LoanAmount]])</f>
        <v>0.94</v>
      </c>
      <c r="O1166" t="str">
        <f>IF(Loans[[#This Row],[CollateralCoverageRatio]]&lt;1,"Undersecured","Secured")</f>
        <v>Undersecured</v>
      </c>
      <c r="P1166" t="str">
        <f>_xlfn.XLOOKUP(Loans[[#This Row],[BranchCode]],BranchesTbl[BranchCode],BranchesTbl[BranchName])</f>
        <v>Nakuru</v>
      </c>
      <c r="Q1166">
        <f>_xlfn.XLOOKUP(Loans[[#This Row],[CustomerID]],CustomerTbl[CustomerID],CustomerTbl[RiskScore])</f>
        <v>309</v>
      </c>
      <c r="R1166" t="str">
        <f>IFERROR(INDEX(RiskTbl[Risk_Category],MATCH(Loans[[#This Row],[RiskScore]],RiskTbl[Score_Min],1)),"Unknown")</f>
        <v>High Risk</v>
      </c>
      <c r="S1166" t="str">
        <f>IF(OR(Loans[[#This Row],[LoanStatus]]="Default",Loans[[#This Row],[LoanStatus]]="Watchlist",Loans[[#This Row],[CollateralRisk]]="Undersecured",Loans[[#This Row],[RiskCategory]]="High Risk"),"High Risk Exposure","Normal")</f>
        <v>High Risk Exposure</v>
      </c>
      <c r="T1166" t="str" cm="1">
        <f t="array" ref="T1166">_xlfn.IFS(
Loans[[#This Row],[LoanStatus]]="Default","Critical",
OR(Loans[[#This Row],[LoanStatus]]="Watchlist",Loans[[#This Row],[CollateralRisk]]="Undersecured",Loans[[#This Row],[RiskCategory]]="High Risk"),"High",
TRUE,"Normal"
)</f>
        <v>High</v>
      </c>
    </row>
    <row r="1167" spans="1:20" x14ac:dyDescent="0.35">
      <c r="A1167" t="s">
        <v>1918</v>
      </c>
      <c r="B1167" t="s">
        <v>1919</v>
      </c>
      <c r="C1167" t="s">
        <v>181</v>
      </c>
      <c r="D1167" t="s">
        <v>155</v>
      </c>
      <c r="E1167" s="34">
        <v>1000000</v>
      </c>
      <c r="F1167" s="29">
        <v>0.22489999999999999</v>
      </c>
      <c r="G1167" s="30">
        <v>44215</v>
      </c>
      <c r="H1167">
        <v>36</v>
      </c>
      <c r="I1167">
        <v>10</v>
      </c>
      <c r="J1167" s="34">
        <v>0</v>
      </c>
      <c r="K1167" t="s">
        <v>171</v>
      </c>
      <c r="L1167" s="34">
        <f>PMT(Loans[[#This Row],[InterestRate]]/12,Loans[[#This Row],[LoanTenureMonths]],-Loans[[#This Row],[LoanAmount]])</f>
        <v>38444.41078106645</v>
      </c>
      <c r="M1167" s="30">
        <f>EDATE(Loans[[#This Row],[LoanStartDate]],Loans[[#This Row],[LoanTenureMonths]])</f>
        <v>45310</v>
      </c>
      <c r="N1167" s="33">
        <f>IF(Loans[[#This Row],[LoanAmount]]=0,0,Loans[[#This Row],[CollateralValue]]/Loans[[#This Row],[LoanAmount]])</f>
        <v>0</v>
      </c>
      <c r="O1167" t="str">
        <f>IF(Loans[[#This Row],[CollateralCoverageRatio]]&lt;1,"Undersecured","Secured")</f>
        <v>Undersecured</v>
      </c>
      <c r="P1167" t="str">
        <f>_xlfn.XLOOKUP(Loans[[#This Row],[BranchCode]],BranchesTbl[BranchCode],BranchesTbl[BranchName])</f>
        <v>Kitale</v>
      </c>
      <c r="Q1167">
        <f>_xlfn.XLOOKUP(Loans[[#This Row],[CustomerID]],CustomerTbl[CustomerID],CustomerTbl[RiskScore])</f>
        <v>589</v>
      </c>
      <c r="R1167" t="str">
        <f>IFERROR(INDEX(RiskTbl[Risk_Category],MATCH(Loans[[#This Row],[RiskScore]],RiskTbl[Score_Min],1)),"Unknown")</f>
        <v>Medium Risk</v>
      </c>
      <c r="S1167" t="str">
        <f>IF(OR(Loans[[#This Row],[LoanStatus]]="Default",Loans[[#This Row],[LoanStatus]]="Watchlist",Loans[[#This Row],[CollateralRisk]]="Undersecured",Loans[[#This Row],[RiskCategory]]="High Risk"),"High Risk Exposure","Normal")</f>
        <v>High Risk Exposure</v>
      </c>
      <c r="T1167" t="str" cm="1">
        <f t="array" ref="T1167">_xlfn.IFS(
Loans[[#This Row],[LoanStatus]]="Default","Critical",
OR(Loans[[#This Row],[LoanStatus]]="Watchlist",Loans[[#This Row],[CollateralRisk]]="Undersecured",Loans[[#This Row],[RiskCategory]]="High Risk"),"High",
TRUE,"Normal"
)</f>
        <v>High</v>
      </c>
    </row>
    <row r="1168" spans="1:20" x14ac:dyDescent="0.35">
      <c r="A1168" t="s">
        <v>1920</v>
      </c>
      <c r="B1168" t="s">
        <v>302</v>
      </c>
      <c r="C1168" t="s">
        <v>267</v>
      </c>
      <c r="D1168" t="s">
        <v>157</v>
      </c>
      <c r="E1168" s="34">
        <v>80000000</v>
      </c>
      <c r="F1168" s="29">
        <v>0.13289999999999999</v>
      </c>
      <c r="G1168" s="30">
        <v>44951</v>
      </c>
      <c r="H1168">
        <v>60</v>
      </c>
      <c r="I1168">
        <v>0</v>
      </c>
      <c r="J1168" s="34">
        <v>78400000</v>
      </c>
      <c r="K1168" t="s">
        <v>171</v>
      </c>
      <c r="L1168" s="34">
        <f>PMT(Loans[[#This Row],[InterestRate]]/12,Loans[[#This Row],[LoanTenureMonths]],-Loans[[#This Row],[LoanAmount]])</f>
        <v>1832144.1792918183</v>
      </c>
      <c r="M1168" s="30">
        <f>EDATE(Loans[[#This Row],[LoanStartDate]],Loans[[#This Row],[LoanTenureMonths]])</f>
        <v>46777</v>
      </c>
      <c r="N1168" s="33">
        <f>IF(Loans[[#This Row],[LoanAmount]]=0,0,Loans[[#This Row],[CollateralValue]]/Loans[[#This Row],[LoanAmount]])</f>
        <v>0.98</v>
      </c>
      <c r="O1168" t="str">
        <f>IF(Loans[[#This Row],[CollateralCoverageRatio]]&lt;1,"Undersecured","Secured")</f>
        <v>Undersecured</v>
      </c>
      <c r="P1168" t="str">
        <f>_xlfn.XLOOKUP(Loans[[#This Row],[BranchCode]],BranchesTbl[BranchCode],BranchesTbl[BranchName])</f>
        <v>Malindi</v>
      </c>
      <c r="Q1168">
        <f>_xlfn.XLOOKUP(Loans[[#This Row],[CustomerID]],CustomerTbl[CustomerID],CustomerTbl[RiskScore])</f>
        <v>555</v>
      </c>
      <c r="R1168" t="str">
        <f>IFERROR(INDEX(RiskTbl[Risk_Category],MATCH(Loans[[#This Row],[RiskScore]],RiskTbl[Score_Min],1)),"Unknown")</f>
        <v>High Risk</v>
      </c>
      <c r="S1168" t="str">
        <f>IF(OR(Loans[[#This Row],[LoanStatus]]="Default",Loans[[#This Row],[LoanStatus]]="Watchlist",Loans[[#This Row],[CollateralRisk]]="Undersecured",Loans[[#This Row],[RiskCategory]]="High Risk"),"High Risk Exposure","Normal")</f>
        <v>High Risk Exposure</v>
      </c>
      <c r="T1168" t="str" cm="1">
        <f t="array" ref="T1168">_xlfn.IFS(
Loans[[#This Row],[LoanStatus]]="Default","Critical",
OR(Loans[[#This Row],[LoanStatus]]="Watchlist",Loans[[#This Row],[CollateralRisk]]="Undersecured",Loans[[#This Row],[RiskCategory]]="High Risk"),"High",
TRUE,"Normal"
)</f>
        <v>High</v>
      </c>
    </row>
    <row r="1169" spans="1:20" x14ac:dyDescent="0.35">
      <c r="A1169" t="s">
        <v>1921</v>
      </c>
      <c r="B1169" t="s">
        <v>876</v>
      </c>
      <c r="C1169" t="s">
        <v>170</v>
      </c>
      <c r="D1169" t="s">
        <v>158</v>
      </c>
      <c r="E1169" s="34">
        <v>500000</v>
      </c>
      <c r="F1169" s="29">
        <v>0.19009999999999999</v>
      </c>
      <c r="G1169" s="30">
        <v>44451</v>
      </c>
      <c r="H1169">
        <v>12</v>
      </c>
      <c r="I1169">
        <v>90</v>
      </c>
      <c r="J1169" s="34">
        <v>410000</v>
      </c>
      <c r="K1169" t="s">
        <v>199</v>
      </c>
      <c r="L1169" s="34">
        <f>PMT(Loans[[#This Row],[InterestRate]]/12,Loans[[#This Row],[LoanTenureMonths]],-Loans[[#This Row],[LoanAmount]])</f>
        <v>46080.675430457428</v>
      </c>
      <c r="M1169" s="30">
        <f>EDATE(Loans[[#This Row],[LoanStartDate]],Loans[[#This Row],[LoanTenureMonths]])</f>
        <v>44816</v>
      </c>
      <c r="N1169" s="33">
        <f>IF(Loans[[#This Row],[LoanAmount]]=0,0,Loans[[#This Row],[CollateralValue]]/Loans[[#This Row],[LoanAmount]])</f>
        <v>0.82</v>
      </c>
      <c r="O1169" t="str">
        <f>IF(Loans[[#This Row],[CollateralCoverageRatio]]&lt;1,"Undersecured","Secured")</f>
        <v>Undersecured</v>
      </c>
      <c r="P1169" t="str">
        <f>_xlfn.XLOOKUP(Loans[[#This Row],[BranchCode]],BranchesTbl[BranchCode],BranchesTbl[BranchName])</f>
        <v>Thika</v>
      </c>
      <c r="Q1169">
        <f>_xlfn.XLOOKUP(Loans[[#This Row],[CustomerID]],CustomerTbl[CustomerID],CustomerTbl[RiskScore])</f>
        <v>313</v>
      </c>
      <c r="R1169" t="str">
        <f>IFERROR(INDEX(RiskTbl[Risk_Category],MATCH(Loans[[#This Row],[RiskScore]],RiskTbl[Score_Min],1)),"Unknown")</f>
        <v>High Risk</v>
      </c>
      <c r="S1169" t="str">
        <f>IF(OR(Loans[[#This Row],[LoanStatus]]="Default",Loans[[#This Row],[LoanStatus]]="Watchlist",Loans[[#This Row],[CollateralRisk]]="Undersecured",Loans[[#This Row],[RiskCategory]]="High Risk"),"High Risk Exposure","Normal")</f>
        <v>High Risk Exposure</v>
      </c>
      <c r="T1169" t="str" cm="1">
        <f t="array" ref="T1169">_xlfn.IFS(
Loans[[#This Row],[LoanStatus]]="Default","Critical",
OR(Loans[[#This Row],[LoanStatus]]="Watchlist",Loans[[#This Row],[CollateralRisk]]="Undersecured",Loans[[#This Row],[RiskCategory]]="High Risk"),"High",
TRUE,"Normal"
)</f>
        <v>High</v>
      </c>
    </row>
    <row r="1170" spans="1:20" x14ac:dyDescent="0.35">
      <c r="A1170" t="s">
        <v>1922</v>
      </c>
      <c r="B1170" t="s">
        <v>1119</v>
      </c>
      <c r="C1170" t="s">
        <v>270</v>
      </c>
      <c r="D1170" t="s">
        <v>157</v>
      </c>
      <c r="E1170" s="34">
        <v>80000000</v>
      </c>
      <c r="F1170" s="29">
        <v>0.1207</v>
      </c>
      <c r="G1170" s="30">
        <v>45085</v>
      </c>
      <c r="H1170">
        <v>72</v>
      </c>
      <c r="I1170">
        <v>20</v>
      </c>
      <c r="J1170" s="34">
        <v>72800000</v>
      </c>
      <c r="K1170" t="s">
        <v>171</v>
      </c>
      <c r="L1170" s="34">
        <f>PMT(Loans[[#This Row],[InterestRate]]/12,Loans[[#This Row],[LoanTenureMonths]],-Loans[[#This Row],[LoanAmount]])</f>
        <v>1566929.0723282096</v>
      </c>
      <c r="M1170" s="30">
        <f>EDATE(Loans[[#This Row],[LoanStartDate]],Loans[[#This Row],[LoanTenureMonths]])</f>
        <v>47277</v>
      </c>
      <c r="N1170" s="33">
        <f>IF(Loans[[#This Row],[LoanAmount]]=0,0,Loans[[#This Row],[CollateralValue]]/Loans[[#This Row],[LoanAmount]])</f>
        <v>0.91</v>
      </c>
      <c r="O1170" t="str">
        <f>IF(Loans[[#This Row],[CollateralCoverageRatio]]&lt;1,"Undersecured","Secured")</f>
        <v>Undersecured</v>
      </c>
      <c r="P1170" t="str">
        <f>_xlfn.XLOOKUP(Loans[[#This Row],[BranchCode]],BranchesTbl[BranchCode],BranchesTbl[BranchName])</f>
        <v>Nakuru</v>
      </c>
      <c r="Q1170">
        <f>_xlfn.XLOOKUP(Loans[[#This Row],[CustomerID]],CustomerTbl[CustomerID],CustomerTbl[RiskScore])</f>
        <v>441</v>
      </c>
      <c r="R1170" t="str">
        <f>IFERROR(INDEX(RiskTbl[Risk_Category],MATCH(Loans[[#This Row],[RiskScore]],RiskTbl[Score_Min],1)),"Unknown")</f>
        <v>High Risk</v>
      </c>
      <c r="S1170" t="str">
        <f>IF(OR(Loans[[#This Row],[LoanStatus]]="Default",Loans[[#This Row],[LoanStatus]]="Watchlist",Loans[[#This Row],[CollateralRisk]]="Undersecured",Loans[[#This Row],[RiskCategory]]="High Risk"),"High Risk Exposure","Normal")</f>
        <v>High Risk Exposure</v>
      </c>
      <c r="T1170" t="str" cm="1">
        <f t="array" ref="T1170">_xlfn.IFS(
Loans[[#This Row],[LoanStatus]]="Default","Critical",
OR(Loans[[#This Row],[LoanStatus]]="Watchlist",Loans[[#This Row],[CollateralRisk]]="Undersecured",Loans[[#This Row],[RiskCategory]]="High Risk"),"High",
TRUE,"Normal"
)</f>
        <v>High</v>
      </c>
    </row>
    <row r="1171" spans="1:20" x14ac:dyDescent="0.35">
      <c r="A1171" t="s">
        <v>1923</v>
      </c>
      <c r="B1171" t="s">
        <v>696</v>
      </c>
      <c r="C1171" t="s">
        <v>239</v>
      </c>
      <c r="D1171" t="s">
        <v>155</v>
      </c>
      <c r="E1171" s="34">
        <v>1000000</v>
      </c>
      <c r="F1171" s="29">
        <v>0.19239999999999999</v>
      </c>
      <c r="G1171" s="30">
        <v>44950</v>
      </c>
      <c r="H1171">
        <v>24</v>
      </c>
      <c r="I1171">
        <v>20</v>
      </c>
      <c r="J1171" s="34">
        <v>0</v>
      </c>
      <c r="K1171" t="s">
        <v>171</v>
      </c>
      <c r="L1171" s="34">
        <f>PMT(Loans[[#This Row],[InterestRate]]/12,Loans[[#This Row],[LoanTenureMonths]],-Loans[[#This Row],[LoanAmount]])</f>
        <v>50525.298460400365</v>
      </c>
      <c r="M1171" s="30">
        <f>EDATE(Loans[[#This Row],[LoanStartDate]],Loans[[#This Row],[LoanTenureMonths]])</f>
        <v>45681</v>
      </c>
      <c r="N1171" s="33">
        <f>IF(Loans[[#This Row],[LoanAmount]]=0,0,Loans[[#This Row],[CollateralValue]]/Loans[[#This Row],[LoanAmount]])</f>
        <v>0</v>
      </c>
      <c r="O1171" t="str">
        <f>IF(Loans[[#This Row],[CollateralCoverageRatio]]&lt;1,"Undersecured","Secured")</f>
        <v>Undersecured</v>
      </c>
      <c r="P1171" t="str">
        <f>_xlfn.XLOOKUP(Loans[[#This Row],[BranchCode]],BranchesTbl[BranchCode],BranchesTbl[BranchName])</f>
        <v>Machakos</v>
      </c>
      <c r="Q1171">
        <f>_xlfn.XLOOKUP(Loans[[#This Row],[CustomerID]],CustomerTbl[CustomerID],CustomerTbl[RiskScore])</f>
        <v>376</v>
      </c>
      <c r="R1171" t="str">
        <f>IFERROR(INDEX(RiskTbl[Risk_Category],MATCH(Loans[[#This Row],[RiskScore]],RiskTbl[Score_Min],1)),"Unknown")</f>
        <v>High Risk</v>
      </c>
      <c r="S1171" t="str">
        <f>IF(OR(Loans[[#This Row],[LoanStatus]]="Default",Loans[[#This Row],[LoanStatus]]="Watchlist",Loans[[#This Row],[CollateralRisk]]="Undersecured",Loans[[#This Row],[RiskCategory]]="High Risk"),"High Risk Exposure","Normal")</f>
        <v>High Risk Exposure</v>
      </c>
      <c r="T1171" t="str" cm="1">
        <f t="array" ref="T1171">_xlfn.IFS(
Loans[[#This Row],[LoanStatus]]="Default","Critical",
OR(Loans[[#This Row],[LoanStatus]]="Watchlist",Loans[[#This Row],[CollateralRisk]]="Undersecured",Loans[[#This Row],[RiskCategory]]="High Risk"),"High",
TRUE,"Normal"
)</f>
        <v>High</v>
      </c>
    </row>
    <row r="1172" spans="1:20" x14ac:dyDescent="0.35">
      <c r="A1172" t="s">
        <v>1924</v>
      </c>
      <c r="B1172" t="s">
        <v>854</v>
      </c>
      <c r="C1172" t="s">
        <v>196</v>
      </c>
      <c r="D1172" t="s">
        <v>156</v>
      </c>
      <c r="E1172" s="34">
        <v>6000000</v>
      </c>
      <c r="F1172" s="29">
        <v>0.2147</v>
      </c>
      <c r="G1172" s="30">
        <v>45908</v>
      </c>
      <c r="H1172">
        <v>12</v>
      </c>
      <c r="I1172">
        <v>0</v>
      </c>
      <c r="J1172" s="34">
        <v>6300000</v>
      </c>
      <c r="K1172" t="s">
        <v>171</v>
      </c>
      <c r="L1172" s="34">
        <f>PMT(Loans[[#This Row],[InterestRate]]/12,Loans[[#This Row],[LoanTenureMonths]],-Loans[[#This Row],[LoanAmount]])</f>
        <v>560036.9520605345</v>
      </c>
      <c r="M1172" s="30">
        <f>EDATE(Loans[[#This Row],[LoanStartDate]],Loans[[#This Row],[LoanTenureMonths]])</f>
        <v>46273</v>
      </c>
      <c r="N1172" s="33">
        <f>IF(Loans[[#This Row],[LoanAmount]]=0,0,Loans[[#This Row],[CollateralValue]]/Loans[[#This Row],[LoanAmount]])</f>
        <v>1.05</v>
      </c>
      <c r="O1172" t="str">
        <f>IF(Loans[[#This Row],[CollateralCoverageRatio]]&lt;1,"Undersecured","Secured")</f>
        <v>Secured</v>
      </c>
      <c r="P1172" t="str">
        <f>_xlfn.XLOOKUP(Loans[[#This Row],[BranchCode]],BranchesTbl[BranchCode],BranchesTbl[BranchName])</f>
        <v>Karen</v>
      </c>
      <c r="Q1172">
        <f>_xlfn.XLOOKUP(Loans[[#This Row],[CustomerID]],CustomerTbl[CustomerID],CustomerTbl[RiskScore])</f>
        <v>455</v>
      </c>
      <c r="R1172" t="str">
        <f>IFERROR(INDEX(RiskTbl[Risk_Category],MATCH(Loans[[#This Row],[RiskScore]],RiskTbl[Score_Min],1)),"Unknown")</f>
        <v>High Risk</v>
      </c>
      <c r="S1172" t="str">
        <f>IF(OR(Loans[[#This Row],[LoanStatus]]="Default",Loans[[#This Row],[LoanStatus]]="Watchlist",Loans[[#This Row],[CollateralRisk]]="Undersecured",Loans[[#This Row],[RiskCategory]]="High Risk"),"High Risk Exposure","Normal")</f>
        <v>High Risk Exposure</v>
      </c>
      <c r="T1172" t="str" cm="1">
        <f t="array" ref="T1172">_xlfn.IFS(
Loans[[#This Row],[LoanStatus]]="Default","Critical",
OR(Loans[[#This Row],[LoanStatus]]="Watchlist",Loans[[#This Row],[CollateralRisk]]="Undersecured",Loans[[#This Row],[RiskCategory]]="High Risk"),"High",
TRUE,"Normal"
)</f>
        <v>High</v>
      </c>
    </row>
    <row r="1173" spans="1:20" x14ac:dyDescent="0.35">
      <c r="A1173" t="s">
        <v>1925</v>
      </c>
      <c r="B1173" t="s">
        <v>1926</v>
      </c>
      <c r="C1173" t="s">
        <v>270</v>
      </c>
      <c r="D1173" t="s">
        <v>155</v>
      </c>
      <c r="E1173" s="34">
        <v>100000</v>
      </c>
      <c r="F1173" s="29">
        <v>0.1633</v>
      </c>
      <c r="G1173" s="30">
        <v>44258</v>
      </c>
      <c r="H1173">
        <v>36</v>
      </c>
      <c r="I1173">
        <v>0</v>
      </c>
      <c r="J1173" s="34">
        <v>0</v>
      </c>
      <c r="K1173" t="s">
        <v>171</v>
      </c>
      <c r="L1173" s="34">
        <f>PMT(Loans[[#This Row],[InterestRate]]/12,Loans[[#This Row],[LoanTenureMonths]],-Loans[[#This Row],[LoanAmount]])</f>
        <v>3532.0171921588985</v>
      </c>
      <c r="M1173" s="30">
        <f>EDATE(Loans[[#This Row],[LoanStartDate]],Loans[[#This Row],[LoanTenureMonths]])</f>
        <v>45354</v>
      </c>
      <c r="N1173" s="33">
        <f>IF(Loans[[#This Row],[LoanAmount]]=0,0,Loans[[#This Row],[CollateralValue]]/Loans[[#This Row],[LoanAmount]])</f>
        <v>0</v>
      </c>
      <c r="O1173" t="str">
        <f>IF(Loans[[#This Row],[CollateralCoverageRatio]]&lt;1,"Undersecured","Secured")</f>
        <v>Undersecured</v>
      </c>
      <c r="P1173" t="str">
        <f>_xlfn.XLOOKUP(Loans[[#This Row],[BranchCode]],BranchesTbl[BranchCode],BranchesTbl[BranchName])</f>
        <v>Nakuru</v>
      </c>
      <c r="Q1173">
        <f>_xlfn.XLOOKUP(Loans[[#This Row],[CustomerID]],CustomerTbl[CustomerID],CustomerTbl[RiskScore])</f>
        <v>767</v>
      </c>
      <c r="R1173" t="str">
        <f>IFERROR(INDEX(RiskTbl[Risk_Category],MATCH(Loans[[#This Row],[RiskScore]],RiskTbl[Score_Min],1)),"Unknown")</f>
        <v>Very Low Risk</v>
      </c>
      <c r="S1173" t="str">
        <f>IF(OR(Loans[[#This Row],[LoanStatus]]="Default",Loans[[#This Row],[LoanStatus]]="Watchlist",Loans[[#This Row],[CollateralRisk]]="Undersecured",Loans[[#This Row],[RiskCategory]]="High Risk"),"High Risk Exposure","Normal")</f>
        <v>High Risk Exposure</v>
      </c>
      <c r="T1173" t="str" cm="1">
        <f t="array" ref="T1173">_xlfn.IFS(
Loans[[#This Row],[LoanStatus]]="Default","Critical",
OR(Loans[[#This Row],[LoanStatus]]="Watchlist",Loans[[#This Row],[CollateralRisk]]="Undersecured",Loans[[#This Row],[RiskCategory]]="High Risk"),"High",
TRUE,"Normal"
)</f>
        <v>High</v>
      </c>
    </row>
    <row r="1174" spans="1:20" x14ac:dyDescent="0.35">
      <c r="A1174" t="s">
        <v>1927</v>
      </c>
      <c r="B1174" t="s">
        <v>1454</v>
      </c>
      <c r="C1174" t="s">
        <v>193</v>
      </c>
      <c r="D1174" t="s">
        <v>157</v>
      </c>
      <c r="E1174" s="34">
        <v>25000000</v>
      </c>
      <c r="F1174" s="29">
        <v>0.1234</v>
      </c>
      <c r="G1174" s="30">
        <v>45273</v>
      </c>
      <c r="H1174">
        <v>36</v>
      </c>
      <c r="I1174">
        <v>0</v>
      </c>
      <c r="J1174" s="34">
        <v>32250000</v>
      </c>
      <c r="K1174" t="s">
        <v>171</v>
      </c>
      <c r="L1174" s="34">
        <f>PMT(Loans[[#This Row],[InterestRate]]/12,Loans[[#This Row],[LoanTenureMonths]],-Loans[[#This Row],[LoanAmount]])</f>
        <v>834423.36222416093</v>
      </c>
      <c r="M1174" s="30">
        <f>EDATE(Loans[[#This Row],[LoanStartDate]],Loans[[#This Row],[LoanTenureMonths]])</f>
        <v>46369</v>
      </c>
      <c r="N1174" s="33">
        <f>IF(Loans[[#This Row],[LoanAmount]]=0,0,Loans[[#This Row],[CollateralValue]]/Loans[[#This Row],[LoanAmount]])</f>
        <v>1.29</v>
      </c>
      <c r="O1174" t="str">
        <f>IF(Loans[[#This Row],[CollateralCoverageRatio]]&lt;1,"Undersecured","Secured")</f>
        <v>Secured</v>
      </c>
      <c r="P1174" t="str">
        <f>_xlfn.XLOOKUP(Loans[[#This Row],[BranchCode]],BranchesTbl[BranchCode],BranchesTbl[BranchName])</f>
        <v>Mombasa</v>
      </c>
      <c r="Q1174">
        <f>_xlfn.XLOOKUP(Loans[[#This Row],[CustomerID]],CustomerTbl[CustomerID],CustomerTbl[RiskScore])</f>
        <v>502</v>
      </c>
      <c r="R1174" t="str">
        <f>IFERROR(INDEX(RiskTbl[Risk_Category],MATCH(Loans[[#This Row],[RiskScore]],RiskTbl[Score_Min],1)),"Unknown")</f>
        <v>High Risk</v>
      </c>
      <c r="S1174" t="str">
        <f>IF(OR(Loans[[#This Row],[LoanStatus]]="Default",Loans[[#This Row],[LoanStatus]]="Watchlist",Loans[[#This Row],[CollateralRisk]]="Undersecured",Loans[[#This Row],[RiskCategory]]="High Risk"),"High Risk Exposure","Normal")</f>
        <v>High Risk Exposure</v>
      </c>
      <c r="T1174" t="str" cm="1">
        <f t="array" ref="T1174">_xlfn.IFS(
Loans[[#This Row],[LoanStatus]]="Default","Critical",
OR(Loans[[#This Row],[LoanStatus]]="Watchlist",Loans[[#This Row],[CollateralRisk]]="Undersecured",Loans[[#This Row],[RiskCategory]]="High Risk"),"High",
TRUE,"Normal"
)</f>
        <v>High</v>
      </c>
    </row>
    <row r="1175" spans="1:20" x14ac:dyDescent="0.35">
      <c r="A1175" t="s">
        <v>1928</v>
      </c>
      <c r="B1175" t="s">
        <v>1929</v>
      </c>
      <c r="C1175" t="s">
        <v>239</v>
      </c>
      <c r="D1175" t="s">
        <v>156</v>
      </c>
      <c r="E1175" s="34">
        <v>3000000</v>
      </c>
      <c r="F1175" s="29">
        <v>0.22509999999999999</v>
      </c>
      <c r="G1175" s="30">
        <v>44329</v>
      </c>
      <c r="H1175">
        <v>24</v>
      </c>
      <c r="I1175">
        <v>0</v>
      </c>
      <c r="J1175" s="34">
        <v>1890000</v>
      </c>
      <c r="K1175" t="s">
        <v>171</v>
      </c>
      <c r="L1175" s="34">
        <f>PMT(Loans[[#This Row],[InterestRate]]/12,Loans[[#This Row],[LoanTenureMonths]],-Loans[[#This Row],[LoanAmount]])</f>
        <v>156391.0545394081</v>
      </c>
      <c r="M1175" s="30">
        <f>EDATE(Loans[[#This Row],[LoanStartDate]],Loans[[#This Row],[LoanTenureMonths]])</f>
        <v>45059</v>
      </c>
      <c r="N1175" s="33">
        <f>IF(Loans[[#This Row],[LoanAmount]]=0,0,Loans[[#This Row],[CollateralValue]]/Loans[[#This Row],[LoanAmount]])</f>
        <v>0.63</v>
      </c>
      <c r="O1175" t="str">
        <f>IF(Loans[[#This Row],[CollateralCoverageRatio]]&lt;1,"Undersecured","Secured")</f>
        <v>Undersecured</v>
      </c>
      <c r="P1175" t="str">
        <f>_xlfn.XLOOKUP(Loans[[#This Row],[BranchCode]],BranchesTbl[BranchCode],BranchesTbl[BranchName])</f>
        <v>Machakos</v>
      </c>
      <c r="Q1175">
        <f>_xlfn.XLOOKUP(Loans[[#This Row],[CustomerID]],CustomerTbl[CustomerID],CustomerTbl[RiskScore])</f>
        <v>485</v>
      </c>
      <c r="R1175" t="str">
        <f>IFERROR(INDEX(RiskTbl[Risk_Category],MATCH(Loans[[#This Row],[RiskScore]],RiskTbl[Score_Min],1)),"Unknown")</f>
        <v>High Risk</v>
      </c>
      <c r="S1175" t="str">
        <f>IF(OR(Loans[[#This Row],[LoanStatus]]="Default",Loans[[#This Row],[LoanStatus]]="Watchlist",Loans[[#This Row],[CollateralRisk]]="Undersecured",Loans[[#This Row],[RiskCategory]]="High Risk"),"High Risk Exposure","Normal")</f>
        <v>High Risk Exposure</v>
      </c>
      <c r="T1175" t="str" cm="1">
        <f t="array" ref="T1175">_xlfn.IFS(
Loans[[#This Row],[LoanStatus]]="Default","Critical",
OR(Loans[[#This Row],[LoanStatus]]="Watchlist",Loans[[#This Row],[CollateralRisk]]="Undersecured",Loans[[#This Row],[RiskCategory]]="High Risk"),"High",
TRUE,"Normal"
)</f>
        <v>High</v>
      </c>
    </row>
    <row r="1176" spans="1:20" x14ac:dyDescent="0.35">
      <c r="A1176" t="s">
        <v>1930</v>
      </c>
      <c r="B1176" t="s">
        <v>940</v>
      </c>
      <c r="C1176" t="s">
        <v>219</v>
      </c>
      <c r="D1176" t="s">
        <v>157</v>
      </c>
      <c r="E1176" s="34">
        <v>6000000</v>
      </c>
      <c r="F1176" s="29">
        <v>0.11609999999999999</v>
      </c>
      <c r="G1176" s="30">
        <v>44445</v>
      </c>
      <c r="H1176">
        <v>36</v>
      </c>
      <c r="I1176">
        <v>0</v>
      </c>
      <c r="J1176" s="34">
        <v>7980000</v>
      </c>
      <c r="K1176" t="s">
        <v>171</v>
      </c>
      <c r="L1176" s="34">
        <f>PMT(Loans[[#This Row],[InterestRate]]/12,Loans[[#This Row],[LoanTenureMonths]],-Loans[[#This Row],[LoanAmount]])</f>
        <v>198170.07736630767</v>
      </c>
      <c r="M1176" s="30">
        <f>EDATE(Loans[[#This Row],[LoanStartDate]],Loans[[#This Row],[LoanTenureMonths]])</f>
        <v>45541</v>
      </c>
      <c r="N1176" s="33">
        <f>IF(Loans[[#This Row],[LoanAmount]]=0,0,Loans[[#This Row],[CollateralValue]]/Loans[[#This Row],[LoanAmount]])</f>
        <v>1.33</v>
      </c>
      <c r="O1176" t="str">
        <f>IF(Loans[[#This Row],[CollateralCoverageRatio]]&lt;1,"Undersecured","Secured")</f>
        <v>Secured</v>
      </c>
      <c r="P1176" t="str">
        <f>_xlfn.XLOOKUP(Loans[[#This Row],[BranchCode]],BranchesTbl[BranchCode],BranchesTbl[BranchName])</f>
        <v>Meru</v>
      </c>
      <c r="Q1176">
        <f>_xlfn.XLOOKUP(Loans[[#This Row],[CustomerID]],CustomerTbl[CustomerID],CustomerTbl[RiskScore])</f>
        <v>794</v>
      </c>
      <c r="R1176" t="str">
        <f>IFERROR(INDEX(RiskTbl[Risk_Category],MATCH(Loans[[#This Row],[RiskScore]],RiskTbl[Score_Min],1)),"Unknown")</f>
        <v>Very Low Risk</v>
      </c>
      <c r="S1176" t="str">
        <f>IF(OR(Loans[[#This Row],[LoanStatus]]="Default",Loans[[#This Row],[LoanStatus]]="Watchlist",Loans[[#This Row],[CollateralRisk]]="Undersecured",Loans[[#This Row],[RiskCategory]]="High Risk"),"High Risk Exposure","Normal")</f>
        <v>Normal</v>
      </c>
      <c r="T1176" t="str" cm="1">
        <f t="array" ref="T1176">_xlfn.IFS(
Loans[[#This Row],[LoanStatus]]="Default","Critical",
OR(Loans[[#This Row],[LoanStatus]]="Watchlist",Loans[[#This Row],[CollateralRisk]]="Undersecured",Loans[[#This Row],[RiskCategory]]="High Risk"),"High",
TRUE,"Normal"
)</f>
        <v>Normal</v>
      </c>
    </row>
    <row r="1177" spans="1:20" x14ac:dyDescent="0.35">
      <c r="A1177" t="s">
        <v>1931</v>
      </c>
      <c r="B1177" t="s">
        <v>954</v>
      </c>
      <c r="C1177" t="s">
        <v>232</v>
      </c>
      <c r="D1177" t="s">
        <v>155</v>
      </c>
      <c r="E1177" s="34">
        <v>1000000</v>
      </c>
      <c r="F1177" s="29">
        <v>0.23499999999999999</v>
      </c>
      <c r="G1177" s="30">
        <v>45262</v>
      </c>
      <c r="H1177">
        <v>24</v>
      </c>
      <c r="I1177">
        <v>0</v>
      </c>
      <c r="J1177" s="34">
        <v>0</v>
      </c>
      <c r="K1177" t="s">
        <v>171</v>
      </c>
      <c r="L1177" s="34">
        <f>PMT(Loans[[#This Row],[InterestRate]]/12,Loans[[#This Row],[LoanTenureMonths]],-Loans[[#This Row],[LoanAmount]])</f>
        <v>52621.872158845632</v>
      </c>
      <c r="M1177" s="30">
        <f>EDATE(Loans[[#This Row],[LoanStartDate]],Loans[[#This Row],[LoanTenureMonths]])</f>
        <v>45993</v>
      </c>
      <c r="N1177" s="33">
        <f>IF(Loans[[#This Row],[LoanAmount]]=0,0,Loans[[#This Row],[CollateralValue]]/Loans[[#This Row],[LoanAmount]])</f>
        <v>0</v>
      </c>
      <c r="O1177" t="str">
        <f>IF(Loans[[#This Row],[CollateralCoverageRatio]]&lt;1,"Undersecured","Secured")</f>
        <v>Undersecured</v>
      </c>
      <c r="P1177" t="str">
        <f>_xlfn.XLOOKUP(Loans[[#This Row],[BranchCode]],BranchesTbl[BranchCode],BranchesTbl[BranchName])</f>
        <v>Upper Hill</v>
      </c>
      <c r="Q1177">
        <f>_xlfn.XLOOKUP(Loans[[#This Row],[CustomerID]],CustomerTbl[CustomerID],CustomerTbl[RiskScore])</f>
        <v>771</v>
      </c>
      <c r="R1177" t="str">
        <f>IFERROR(INDEX(RiskTbl[Risk_Category],MATCH(Loans[[#This Row],[RiskScore]],RiskTbl[Score_Min],1)),"Unknown")</f>
        <v>Very Low Risk</v>
      </c>
      <c r="S1177" t="str">
        <f>IF(OR(Loans[[#This Row],[LoanStatus]]="Default",Loans[[#This Row],[LoanStatus]]="Watchlist",Loans[[#This Row],[CollateralRisk]]="Undersecured",Loans[[#This Row],[RiskCategory]]="High Risk"),"High Risk Exposure","Normal")</f>
        <v>High Risk Exposure</v>
      </c>
      <c r="T1177" t="str" cm="1">
        <f t="array" ref="T1177">_xlfn.IFS(
Loans[[#This Row],[LoanStatus]]="Default","Critical",
OR(Loans[[#This Row],[LoanStatus]]="Watchlist",Loans[[#This Row],[CollateralRisk]]="Undersecured",Loans[[#This Row],[RiskCategory]]="High Risk"),"High",
TRUE,"Normal"
)</f>
        <v>High</v>
      </c>
    </row>
    <row r="1178" spans="1:20" x14ac:dyDescent="0.35">
      <c r="A1178" t="s">
        <v>1932</v>
      </c>
      <c r="B1178" t="s">
        <v>1933</v>
      </c>
      <c r="C1178" t="s">
        <v>239</v>
      </c>
      <c r="D1178" t="s">
        <v>156</v>
      </c>
      <c r="E1178" s="34">
        <v>6000000</v>
      </c>
      <c r="F1178" s="29">
        <v>0.19620000000000001</v>
      </c>
      <c r="G1178" s="30">
        <v>44342</v>
      </c>
      <c r="H1178">
        <v>72</v>
      </c>
      <c r="I1178">
        <v>10</v>
      </c>
      <c r="J1178" s="34">
        <v>5040000</v>
      </c>
      <c r="K1178" t="s">
        <v>171</v>
      </c>
      <c r="L1178" s="34">
        <f>PMT(Loans[[#This Row],[InterestRate]]/12,Loans[[#This Row],[LoanTenureMonths]],-Loans[[#This Row],[LoanAmount]])</f>
        <v>142398.41197934633</v>
      </c>
      <c r="M1178" s="30">
        <f>EDATE(Loans[[#This Row],[LoanStartDate]],Loans[[#This Row],[LoanTenureMonths]])</f>
        <v>46533</v>
      </c>
      <c r="N1178" s="33">
        <f>IF(Loans[[#This Row],[LoanAmount]]=0,0,Loans[[#This Row],[CollateralValue]]/Loans[[#This Row],[LoanAmount]])</f>
        <v>0.84</v>
      </c>
      <c r="O1178" t="str">
        <f>IF(Loans[[#This Row],[CollateralCoverageRatio]]&lt;1,"Undersecured","Secured")</f>
        <v>Undersecured</v>
      </c>
      <c r="P1178" t="str">
        <f>_xlfn.XLOOKUP(Loans[[#This Row],[BranchCode]],BranchesTbl[BranchCode],BranchesTbl[BranchName])</f>
        <v>Machakos</v>
      </c>
      <c r="Q1178">
        <f>_xlfn.XLOOKUP(Loans[[#This Row],[CustomerID]],CustomerTbl[CustomerID],CustomerTbl[RiskScore])</f>
        <v>747</v>
      </c>
      <c r="R1178" t="str">
        <f>IFERROR(INDEX(RiskTbl[Risk_Category],MATCH(Loans[[#This Row],[RiskScore]],RiskTbl[Score_Min],1)),"Unknown")</f>
        <v>Very Low Risk</v>
      </c>
      <c r="S1178" t="str">
        <f>IF(OR(Loans[[#This Row],[LoanStatus]]="Default",Loans[[#This Row],[LoanStatus]]="Watchlist",Loans[[#This Row],[CollateralRisk]]="Undersecured",Loans[[#This Row],[RiskCategory]]="High Risk"),"High Risk Exposure","Normal")</f>
        <v>High Risk Exposure</v>
      </c>
      <c r="T1178" t="str" cm="1">
        <f t="array" ref="T1178">_xlfn.IFS(
Loans[[#This Row],[LoanStatus]]="Default","Critical",
OR(Loans[[#This Row],[LoanStatus]]="Watchlist",Loans[[#This Row],[CollateralRisk]]="Undersecured",Loans[[#This Row],[RiskCategory]]="High Risk"),"High",
TRUE,"Normal"
)</f>
        <v>High</v>
      </c>
    </row>
    <row r="1179" spans="1:20" x14ac:dyDescent="0.35">
      <c r="A1179" t="s">
        <v>1934</v>
      </c>
      <c r="B1179" t="s">
        <v>983</v>
      </c>
      <c r="C1179" t="s">
        <v>193</v>
      </c>
      <c r="D1179" t="s">
        <v>157</v>
      </c>
      <c r="E1179" s="34">
        <v>80000000</v>
      </c>
      <c r="F1179" s="29">
        <v>0.13750000000000001</v>
      </c>
      <c r="G1179" s="30">
        <v>45101</v>
      </c>
      <c r="H1179">
        <v>60</v>
      </c>
      <c r="I1179">
        <v>20</v>
      </c>
      <c r="J1179" s="34">
        <v>48800000</v>
      </c>
      <c r="K1179" t="s">
        <v>171</v>
      </c>
      <c r="L1179" s="34">
        <f>PMT(Loans[[#This Row],[InterestRate]]/12,Loans[[#This Row],[LoanTenureMonths]],-Loans[[#This Row],[LoanAmount]])</f>
        <v>1851107.5880466925</v>
      </c>
      <c r="M1179" s="30">
        <f>EDATE(Loans[[#This Row],[LoanStartDate]],Loans[[#This Row],[LoanTenureMonths]])</f>
        <v>46928</v>
      </c>
      <c r="N1179" s="33">
        <f>IF(Loans[[#This Row],[LoanAmount]]=0,0,Loans[[#This Row],[CollateralValue]]/Loans[[#This Row],[LoanAmount]])</f>
        <v>0.61</v>
      </c>
      <c r="O1179" t="str">
        <f>IF(Loans[[#This Row],[CollateralCoverageRatio]]&lt;1,"Undersecured","Secured")</f>
        <v>Undersecured</v>
      </c>
      <c r="P1179" t="str">
        <f>_xlfn.XLOOKUP(Loans[[#This Row],[BranchCode]],BranchesTbl[BranchCode],BranchesTbl[BranchName])</f>
        <v>Mombasa</v>
      </c>
      <c r="Q1179">
        <f>_xlfn.XLOOKUP(Loans[[#This Row],[CustomerID]],CustomerTbl[CustomerID],CustomerTbl[RiskScore])</f>
        <v>368</v>
      </c>
      <c r="R1179" t="str">
        <f>IFERROR(INDEX(RiskTbl[Risk_Category],MATCH(Loans[[#This Row],[RiskScore]],RiskTbl[Score_Min],1)),"Unknown")</f>
        <v>High Risk</v>
      </c>
      <c r="S1179" t="str">
        <f>IF(OR(Loans[[#This Row],[LoanStatus]]="Default",Loans[[#This Row],[LoanStatus]]="Watchlist",Loans[[#This Row],[CollateralRisk]]="Undersecured",Loans[[#This Row],[RiskCategory]]="High Risk"),"High Risk Exposure","Normal")</f>
        <v>High Risk Exposure</v>
      </c>
      <c r="T1179" t="str" cm="1">
        <f t="array" ref="T1179">_xlfn.IFS(
Loans[[#This Row],[LoanStatus]]="Default","Critical",
OR(Loans[[#This Row],[LoanStatus]]="Watchlist",Loans[[#This Row],[CollateralRisk]]="Undersecured",Loans[[#This Row],[RiskCategory]]="High Risk"),"High",
TRUE,"Normal"
)</f>
        <v>High</v>
      </c>
    </row>
    <row r="1180" spans="1:20" x14ac:dyDescent="0.35">
      <c r="A1180" t="s">
        <v>1935</v>
      </c>
      <c r="B1180" t="s">
        <v>805</v>
      </c>
      <c r="C1180" t="s">
        <v>196</v>
      </c>
      <c r="D1180" t="s">
        <v>157</v>
      </c>
      <c r="E1180" s="34">
        <v>80000000</v>
      </c>
      <c r="F1180" s="29">
        <v>9.4299999999999995E-2</v>
      </c>
      <c r="G1180" s="30">
        <v>43926</v>
      </c>
      <c r="H1180">
        <v>24</v>
      </c>
      <c r="I1180">
        <v>0</v>
      </c>
      <c r="J1180" s="34">
        <v>40800000</v>
      </c>
      <c r="K1180" t="s">
        <v>171</v>
      </c>
      <c r="L1180" s="34">
        <f>PMT(Loans[[#This Row],[InterestRate]]/12,Loans[[#This Row],[LoanTenureMonths]],-Loans[[#This Row],[LoanAmount]])</f>
        <v>3670582.9423336633</v>
      </c>
      <c r="M1180" s="30">
        <f>EDATE(Loans[[#This Row],[LoanStartDate]],Loans[[#This Row],[LoanTenureMonths]])</f>
        <v>44656</v>
      </c>
      <c r="N1180" s="33">
        <f>IF(Loans[[#This Row],[LoanAmount]]=0,0,Loans[[#This Row],[CollateralValue]]/Loans[[#This Row],[LoanAmount]])</f>
        <v>0.51</v>
      </c>
      <c r="O1180" t="str">
        <f>IF(Loans[[#This Row],[CollateralCoverageRatio]]&lt;1,"Undersecured","Secured")</f>
        <v>Undersecured</v>
      </c>
      <c r="P1180" t="str">
        <f>_xlfn.XLOOKUP(Loans[[#This Row],[BranchCode]],BranchesTbl[BranchCode],BranchesTbl[BranchName])</f>
        <v>Karen</v>
      </c>
      <c r="Q1180">
        <f>_xlfn.XLOOKUP(Loans[[#This Row],[CustomerID]],CustomerTbl[CustomerID],CustomerTbl[RiskScore])</f>
        <v>755</v>
      </c>
      <c r="R1180" t="str">
        <f>IFERROR(INDEX(RiskTbl[Risk_Category],MATCH(Loans[[#This Row],[RiskScore]],RiskTbl[Score_Min],1)),"Unknown")</f>
        <v>Very Low Risk</v>
      </c>
      <c r="S1180" t="str">
        <f>IF(OR(Loans[[#This Row],[LoanStatus]]="Default",Loans[[#This Row],[LoanStatus]]="Watchlist",Loans[[#This Row],[CollateralRisk]]="Undersecured",Loans[[#This Row],[RiskCategory]]="High Risk"),"High Risk Exposure","Normal")</f>
        <v>High Risk Exposure</v>
      </c>
      <c r="T1180" t="str" cm="1">
        <f t="array" ref="T1180">_xlfn.IFS(
Loans[[#This Row],[LoanStatus]]="Default","Critical",
OR(Loans[[#This Row],[LoanStatus]]="Watchlist",Loans[[#This Row],[CollateralRisk]]="Undersecured",Loans[[#This Row],[RiskCategory]]="High Risk"),"High",
TRUE,"Normal"
)</f>
        <v>High</v>
      </c>
    </row>
    <row r="1181" spans="1:20" x14ac:dyDescent="0.35">
      <c r="A1181" t="s">
        <v>1936</v>
      </c>
      <c r="B1181" t="s">
        <v>1382</v>
      </c>
      <c r="C1181" t="s">
        <v>170</v>
      </c>
      <c r="D1181" t="s">
        <v>155</v>
      </c>
      <c r="E1181" s="34">
        <v>500000</v>
      </c>
      <c r="F1181" s="29">
        <v>0.24279999999999999</v>
      </c>
      <c r="G1181" s="30">
        <v>44661</v>
      </c>
      <c r="H1181">
        <v>72</v>
      </c>
      <c r="I1181">
        <v>0</v>
      </c>
      <c r="J1181" s="34">
        <v>0</v>
      </c>
      <c r="K1181" t="s">
        <v>171</v>
      </c>
      <c r="L1181" s="34">
        <f>PMT(Loans[[#This Row],[InterestRate]]/12,Loans[[#This Row],[LoanTenureMonths]],-Loans[[#This Row],[LoanAmount]])</f>
        <v>13248.532425319074</v>
      </c>
      <c r="M1181" s="30">
        <f>EDATE(Loans[[#This Row],[LoanStartDate]],Loans[[#This Row],[LoanTenureMonths]])</f>
        <v>46853</v>
      </c>
      <c r="N1181" s="33">
        <f>IF(Loans[[#This Row],[LoanAmount]]=0,0,Loans[[#This Row],[CollateralValue]]/Loans[[#This Row],[LoanAmount]])</f>
        <v>0</v>
      </c>
      <c r="O1181" t="str">
        <f>IF(Loans[[#This Row],[CollateralCoverageRatio]]&lt;1,"Undersecured","Secured")</f>
        <v>Undersecured</v>
      </c>
      <c r="P1181" t="str">
        <f>_xlfn.XLOOKUP(Loans[[#This Row],[BranchCode]],BranchesTbl[BranchCode],BranchesTbl[BranchName])</f>
        <v>Thika</v>
      </c>
      <c r="Q1181">
        <f>_xlfn.XLOOKUP(Loans[[#This Row],[CustomerID]],CustomerTbl[CustomerID],CustomerTbl[RiskScore])</f>
        <v>789</v>
      </c>
      <c r="R1181" t="str">
        <f>IFERROR(INDEX(RiskTbl[Risk_Category],MATCH(Loans[[#This Row],[RiskScore]],RiskTbl[Score_Min],1)),"Unknown")</f>
        <v>Very Low Risk</v>
      </c>
      <c r="S1181" t="str">
        <f>IF(OR(Loans[[#This Row],[LoanStatus]]="Default",Loans[[#This Row],[LoanStatus]]="Watchlist",Loans[[#This Row],[CollateralRisk]]="Undersecured",Loans[[#This Row],[RiskCategory]]="High Risk"),"High Risk Exposure","Normal")</f>
        <v>High Risk Exposure</v>
      </c>
      <c r="T1181" t="str" cm="1">
        <f t="array" ref="T1181">_xlfn.IFS(
Loans[[#This Row],[LoanStatus]]="Default","Critical",
OR(Loans[[#This Row],[LoanStatus]]="Watchlist",Loans[[#This Row],[CollateralRisk]]="Undersecured",Loans[[#This Row],[RiskCategory]]="High Risk"),"High",
TRUE,"Normal"
)</f>
        <v>High</v>
      </c>
    </row>
    <row r="1182" spans="1:20" x14ac:dyDescent="0.35">
      <c r="A1182" t="s">
        <v>1937</v>
      </c>
      <c r="B1182" t="s">
        <v>1592</v>
      </c>
      <c r="C1182" t="s">
        <v>170</v>
      </c>
      <c r="D1182" t="s">
        <v>156</v>
      </c>
      <c r="E1182" s="34">
        <v>25000000</v>
      </c>
      <c r="F1182" s="29">
        <v>0.20549999999999999</v>
      </c>
      <c r="G1182" s="30">
        <v>44069</v>
      </c>
      <c r="H1182">
        <v>48</v>
      </c>
      <c r="I1182">
        <v>0</v>
      </c>
      <c r="J1182" s="34">
        <v>21250000</v>
      </c>
      <c r="K1182" t="s">
        <v>171</v>
      </c>
      <c r="L1182" s="34">
        <f>PMT(Loans[[#This Row],[InterestRate]]/12,Loans[[#This Row],[LoanTenureMonths]],-Loans[[#This Row],[LoanAmount]])</f>
        <v>768104.200057699</v>
      </c>
      <c r="M1182" s="30">
        <f>EDATE(Loans[[#This Row],[LoanStartDate]],Loans[[#This Row],[LoanTenureMonths]])</f>
        <v>45530</v>
      </c>
      <c r="N1182" s="33">
        <f>IF(Loans[[#This Row],[LoanAmount]]=0,0,Loans[[#This Row],[CollateralValue]]/Loans[[#This Row],[LoanAmount]])</f>
        <v>0.85</v>
      </c>
      <c r="O1182" t="str">
        <f>IF(Loans[[#This Row],[CollateralCoverageRatio]]&lt;1,"Undersecured","Secured")</f>
        <v>Undersecured</v>
      </c>
      <c r="P1182" t="str">
        <f>_xlfn.XLOOKUP(Loans[[#This Row],[BranchCode]],BranchesTbl[BranchCode],BranchesTbl[BranchName])</f>
        <v>Thika</v>
      </c>
      <c r="Q1182">
        <f>_xlfn.XLOOKUP(Loans[[#This Row],[CustomerID]],CustomerTbl[CustomerID],CustomerTbl[RiskScore])</f>
        <v>641</v>
      </c>
      <c r="R1182" t="str">
        <f>IFERROR(INDEX(RiskTbl[Risk_Category],MATCH(Loans[[#This Row],[RiskScore]],RiskTbl[Score_Min],1)),"Unknown")</f>
        <v>Medium Risk</v>
      </c>
      <c r="S1182" t="str">
        <f>IF(OR(Loans[[#This Row],[LoanStatus]]="Default",Loans[[#This Row],[LoanStatus]]="Watchlist",Loans[[#This Row],[CollateralRisk]]="Undersecured",Loans[[#This Row],[RiskCategory]]="High Risk"),"High Risk Exposure","Normal")</f>
        <v>High Risk Exposure</v>
      </c>
      <c r="T1182" t="str" cm="1">
        <f t="array" ref="T1182">_xlfn.IFS(
Loans[[#This Row],[LoanStatus]]="Default","Critical",
OR(Loans[[#This Row],[LoanStatus]]="Watchlist",Loans[[#This Row],[CollateralRisk]]="Undersecured",Loans[[#This Row],[RiskCategory]]="High Risk"),"High",
TRUE,"Normal"
)</f>
        <v>High</v>
      </c>
    </row>
    <row r="1183" spans="1:20" x14ac:dyDescent="0.35">
      <c r="A1183" t="s">
        <v>1938</v>
      </c>
      <c r="B1183" t="s">
        <v>904</v>
      </c>
      <c r="C1183" t="s">
        <v>170</v>
      </c>
      <c r="D1183" t="s">
        <v>156</v>
      </c>
      <c r="E1183" s="34">
        <v>1000000</v>
      </c>
      <c r="F1183" s="29">
        <v>0.18559999999999999</v>
      </c>
      <c r="G1183" s="30">
        <v>44673</v>
      </c>
      <c r="H1183">
        <v>72</v>
      </c>
      <c r="I1183">
        <v>120</v>
      </c>
      <c r="J1183" s="34">
        <v>1410000</v>
      </c>
      <c r="K1183" t="s">
        <v>178</v>
      </c>
      <c r="L1183" s="34">
        <f>PMT(Loans[[#This Row],[InterestRate]]/12,Loans[[#This Row],[LoanTenureMonths]],-Loans[[#This Row],[LoanAmount]])</f>
        <v>23125.503421866852</v>
      </c>
      <c r="M1183" s="30">
        <f>EDATE(Loans[[#This Row],[LoanStartDate]],Loans[[#This Row],[LoanTenureMonths]])</f>
        <v>46865</v>
      </c>
      <c r="N1183" s="33">
        <f>IF(Loans[[#This Row],[LoanAmount]]=0,0,Loans[[#This Row],[CollateralValue]]/Loans[[#This Row],[LoanAmount]])</f>
        <v>1.41</v>
      </c>
      <c r="O1183" t="str">
        <f>IF(Loans[[#This Row],[CollateralCoverageRatio]]&lt;1,"Undersecured","Secured")</f>
        <v>Secured</v>
      </c>
      <c r="P1183" t="str">
        <f>_xlfn.XLOOKUP(Loans[[#This Row],[BranchCode]],BranchesTbl[BranchCode],BranchesTbl[BranchName])</f>
        <v>Thika</v>
      </c>
      <c r="Q1183">
        <f>_xlfn.XLOOKUP(Loans[[#This Row],[CustomerID]],CustomerTbl[CustomerID],CustomerTbl[RiskScore])</f>
        <v>679</v>
      </c>
      <c r="R1183" t="str">
        <f>IFERROR(INDEX(RiskTbl[Risk_Category],MATCH(Loans[[#This Row],[RiskScore]],RiskTbl[Score_Min],1)),"Unknown")</f>
        <v>Low Risk</v>
      </c>
      <c r="S1183" t="str">
        <f>IF(OR(Loans[[#This Row],[LoanStatus]]="Default",Loans[[#This Row],[LoanStatus]]="Watchlist",Loans[[#This Row],[CollateralRisk]]="Undersecured",Loans[[#This Row],[RiskCategory]]="High Risk"),"High Risk Exposure","Normal")</f>
        <v>High Risk Exposure</v>
      </c>
      <c r="T1183" t="str" cm="1">
        <f t="array" ref="T1183">_xlfn.IFS(
Loans[[#This Row],[LoanStatus]]="Default","Critical",
OR(Loans[[#This Row],[LoanStatus]]="Watchlist",Loans[[#This Row],[CollateralRisk]]="Undersecured",Loans[[#This Row],[RiskCategory]]="High Risk"),"High",
TRUE,"Normal"
)</f>
        <v>Critical</v>
      </c>
    </row>
    <row r="1184" spans="1:20" x14ac:dyDescent="0.35">
      <c r="A1184" t="s">
        <v>1939</v>
      </c>
      <c r="B1184" t="s">
        <v>1885</v>
      </c>
      <c r="C1184" t="s">
        <v>190</v>
      </c>
      <c r="D1184" t="s">
        <v>156</v>
      </c>
      <c r="E1184" s="34">
        <v>1000000</v>
      </c>
      <c r="F1184" s="29">
        <v>0.22239999999999999</v>
      </c>
      <c r="G1184" s="30">
        <v>45715</v>
      </c>
      <c r="H1184">
        <v>24</v>
      </c>
      <c r="I1184">
        <v>0</v>
      </c>
      <c r="J1184" s="34">
        <v>1180000</v>
      </c>
      <c r="K1184" t="s">
        <v>171</v>
      </c>
      <c r="L1184" s="34">
        <f>PMT(Loans[[#This Row],[InterestRate]]/12,Loans[[#This Row],[LoanTenureMonths]],-Loans[[#This Row],[LoanAmount]])</f>
        <v>51996.749802949031</v>
      </c>
      <c r="M1184" s="30">
        <f>EDATE(Loans[[#This Row],[LoanStartDate]],Loans[[#This Row],[LoanTenureMonths]])</f>
        <v>46445</v>
      </c>
      <c r="N1184" s="33">
        <f>IF(Loans[[#This Row],[LoanAmount]]=0,0,Loans[[#This Row],[CollateralValue]]/Loans[[#This Row],[LoanAmount]])</f>
        <v>1.18</v>
      </c>
      <c r="O1184" t="str">
        <f>IF(Loans[[#This Row],[CollateralCoverageRatio]]&lt;1,"Undersecured","Secured")</f>
        <v>Secured</v>
      </c>
      <c r="P1184" t="str">
        <f>_xlfn.XLOOKUP(Loans[[#This Row],[BranchCode]],BranchesTbl[BranchCode],BranchesTbl[BranchName])</f>
        <v>Nyeri</v>
      </c>
      <c r="Q1184">
        <f>_xlfn.XLOOKUP(Loans[[#This Row],[CustomerID]],CustomerTbl[CustomerID],CustomerTbl[RiskScore])</f>
        <v>529</v>
      </c>
      <c r="R1184" t="str">
        <f>IFERROR(INDEX(RiskTbl[Risk_Category],MATCH(Loans[[#This Row],[RiskScore]],RiskTbl[Score_Min],1)),"Unknown")</f>
        <v>High Risk</v>
      </c>
      <c r="S1184" t="str">
        <f>IF(OR(Loans[[#This Row],[LoanStatus]]="Default",Loans[[#This Row],[LoanStatus]]="Watchlist",Loans[[#This Row],[CollateralRisk]]="Undersecured",Loans[[#This Row],[RiskCategory]]="High Risk"),"High Risk Exposure","Normal")</f>
        <v>High Risk Exposure</v>
      </c>
      <c r="T1184" t="str" cm="1">
        <f t="array" ref="T1184">_xlfn.IFS(
Loans[[#This Row],[LoanStatus]]="Default","Critical",
OR(Loans[[#This Row],[LoanStatus]]="Watchlist",Loans[[#This Row],[CollateralRisk]]="Undersecured",Loans[[#This Row],[RiskCategory]]="High Risk"),"High",
TRUE,"Normal"
)</f>
        <v>High</v>
      </c>
    </row>
    <row r="1185" spans="1:20" x14ac:dyDescent="0.35">
      <c r="A1185" t="s">
        <v>1940</v>
      </c>
      <c r="B1185" t="s">
        <v>212</v>
      </c>
      <c r="C1185" t="s">
        <v>187</v>
      </c>
      <c r="D1185" t="s">
        <v>158</v>
      </c>
      <c r="E1185" s="34">
        <v>6000000</v>
      </c>
      <c r="F1185" s="29">
        <v>0.1389</v>
      </c>
      <c r="G1185" s="30">
        <v>45666</v>
      </c>
      <c r="H1185">
        <v>60</v>
      </c>
      <c r="I1185">
        <v>10</v>
      </c>
      <c r="J1185" s="34">
        <v>7980000</v>
      </c>
      <c r="K1185" t="s">
        <v>171</v>
      </c>
      <c r="L1185" s="34">
        <f>PMT(Loans[[#This Row],[InterestRate]]/12,Loans[[#This Row],[LoanTenureMonths]],-Loans[[#This Row],[LoanAmount]])</f>
        <v>139267.57259403897</v>
      </c>
      <c r="M1185" s="30">
        <f>EDATE(Loans[[#This Row],[LoanStartDate]],Loans[[#This Row],[LoanTenureMonths]])</f>
        <v>47492</v>
      </c>
      <c r="N1185" s="33">
        <f>IF(Loans[[#This Row],[LoanAmount]]=0,0,Loans[[#This Row],[CollateralValue]]/Loans[[#This Row],[LoanAmount]])</f>
        <v>1.33</v>
      </c>
      <c r="O1185" t="str">
        <f>IF(Loans[[#This Row],[CollateralCoverageRatio]]&lt;1,"Undersecured","Secured")</f>
        <v>Secured</v>
      </c>
      <c r="P1185" t="str">
        <f>_xlfn.XLOOKUP(Loans[[#This Row],[BranchCode]],BranchesTbl[BranchCode],BranchesTbl[BranchName])</f>
        <v>Eldoret</v>
      </c>
      <c r="Q1185">
        <f>_xlfn.XLOOKUP(Loans[[#This Row],[CustomerID]],CustomerTbl[CustomerID],CustomerTbl[RiskScore])</f>
        <v>423</v>
      </c>
      <c r="R1185" t="str">
        <f>IFERROR(INDEX(RiskTbl[Risk_Category],MATCH(Loans[[#This Row],[RiskScore]],RiskTbl[Score_Min],1)),"Unknown")</f>
        <v>High Risk</v>
      </c>
      <c r="S1185" t="str">
        <f>IF(OR(Loans[[#This Row],[LoanStatus]]="Default",Loans[[#This Row],[LoanStatus]]="Watchlist",Loans[[#This Row],[CollateralRisk]]="Undersecured",Loans[[#This Row],[RiskCategory]]="High Risk"),"High Risk Exposure","Normal")</f>
        <v>High Risk Exposure</v>
      </c>
      <c r="T1185" t="str" cm="1">
        <f t="array" ref="T1185">_xlfn.IFS(
Loans[[#This Row],[LoanStatus]]="Default","Critical",
OR(Loans[[#This Row],[LoanStatus]]="Watchlist",Loans[[#This Row],[CollateralRisk]]="Undersecured",Loans[[#This Row],[RiskCategory]]="High Risk"),"High",
TRUE,"Normal"
)</f>
        <v>High</v>
      </c>
    </row>
    <row r="1186" spans="1:20" x14ac:dyDescent="0.35">
      <c r="A1186" t="s">
        <v>1941</v>
      </c>
      <c r="B1186" t="s">
        <v>1096</v>
      </c>
      <c r="C1186" t="s">
        <v>196</v>
      </c>
      <c r="D1186" t="s">
        <v>155</v>
      </c>
      <c r="E1186" s="34">
        <v>100000</v>
      </c>
      <c r="F1186" s="29">
        <v>0.25140000000000001</v>
      </c>
      <c r="G1186" s="30">
        <v>45056</v>
      </c>
      <c r="H1186">
        <v>72</v>
      </c>
      <c r="I1186">
        <v>0</v>
      </c>
      <c r="J1186" s="34">
        <v>0</v>
      </c>
      <c r="K1186" t="s">
        <v>171</v>
      </c>
      <c r="L1186" s="34">
        <f>PMT(Loans[[#This Row],[InterestRate]]/12,Loans[[#This Row],[LoanTenureMonths]],-Loans[[#This Row],[LoanAmount]])</f>
        <v>2702.3147728943504</v>
      </c>
      <c r="M1186" s="30">
        <f>EDATE(Loans[[#This Row],[LoanStartDate]],Loans[[#This Row],[LoanTenureMonths]])</f>
        <v>47248</v>
      </c>
      <c r="N1186" s="33">
        <f>IF(Loans[[#This Row],[LoanAmount]]=0,0,Loans[[#This Row],[CollateralValue]]/Loans[[#This Row],[LoanAmount]])</f>
        <v>0</v>
      </c>
      <c r="O1186" t="str">
        <f>IF(Loans[[#This Row],[CollateralCoverageRatio]]&lt;1,"Undersecured","Secured")</f>
        <v>Undersecured</v>
      </c>
      <c r="P1186" t="str">
        <f>_xlfn.XLOOKUP(Loans[[#This Row],[BranchCode]],BranchesTbl[BranchCode],BranchesTbl[BranchName])</f>
        <v>Karen</v>
      </c>
      <c r="Q1186">
        <f>_xlfn.XLOOKUP(Loans[[#This Row],[CustomerID]],CustomerTbl[CustomerID],CustomerTbl[RiskScore])</f>
        <v>419</v>
      </c>
      <c r="R1186" t="str">
        <f>IFERROR(INDEX(RiskTbl[Risk_Category],MATCH(Loans[[#This Row],[RiskScore]],RiskTbl[Score_Min],1)),"Unknown")</f>
        <v>High Risk</v>
      </c>
      <c r="S1186" t="str">
        <f>IF(OR(Loans[[#This Row],[LoanStatus]]="Default",Loans[[#This Row],[LoanStatus]]="Watchlist",Loans[[#This Row],[CollateralRisk]]="Undersecured",Loans[[#This Row],[RiskCategory]]="High Risk"),"High Risk Exposure","Normal")</f>
        <v>High Risk Exposure</v>
      </c>
      <c r="T1186" t="str" cm="1">
        <f t="array" ref="T1186">_xlfn.IFS(
Loans[[#This Row],[LoanStatus]]="Default","Critical",
OR(Loans[[#This Row],[LoanStatus]]="Watchlist",Loans[[#This Row],[CollateralRisk]]="Undersecured",Loans[[#This Row],[RiskCategory]]="High Risk"),"High",
TRUE,"Normal"
)</f>
        <v>High</v>
      </c>
    </row>
    <row r="1187" spans="1:20" x14ac:dyDescent="0.35">
      <c r="A1187" t="s">
        <v>1942</v>
      </c>
      <c r="B1187" t="s">
        <v>1283</v>
      </c>
      <c r="C1187" t="s">
        <v>270</v>
      </c>
      <c r="D1187" t="s">
        <v>156</v>
      </c>
      <c r="E1187" s="34">
        <v>1000000</v>
      </c>
      <c r="F1187" s="29">
        <v>0.22020000000000001</v>
      </c>
      <c r="G1187" s="30">
        <v>44088</v>
      </c>
      <c r="H1187">
        <v>12</v>
      </c>
      <c r="I1187">
        <v>10</v>
      </c>
      <c r="J1187" s="34">
        <v>1030000</v>
      </c>
      <c r="K1187" t="s">
        <v>171</v>
      </c>
      <c r="L1187" s="34">
        <f>PMT(Loans[[#This Row],[InterestRate]]/12,Loans[[#This Row],[LoanTenureMonths]],-Loans[[#This Row],[LoanAmount]])</f>
        <v>93604.005392343475</v>
      </c>
      <c r="M1187" s="30">
        <f>EDATE(Loans[[#This Row],[LoanStartDate]],Loans[[#This Row],[LoanTenureMonths]])</f>
        <v>44453</v>
      </c>
      <c r="N1187" s="33">
        <f>IF(Loans[[#This Row],[LoanAmount]]=0,0,Loans[[#This Row],[CollateralValue]]/Loans[[#This Row],[LoanAmount]])</f>
        <v>1.03</v>
      </c>
      <c r="O1187" t="str">
        <f>IF(Loans[[#This Row],[CollateralCoverageRatio]]&lt;1,"Undersecured","Secured")</f>
        <v>Secured</v>
      </c>
      <c r="P1187" t="str">
        <f>_xlfn.XLOOKUP(Loans[[#This Row],[BranchCode]],BranchesTbl[BranchCode],BranchesTbl[BranchName])</f>
        <v>Nakuru</v>
      </c>
      <c r="Q1187">
        <f>_xlfn.XLOOKUP(Loans[[#This Row],[CustomerID]],CustomerTbl[CustomerID],CustomerTbl[RiskScore])</f>
        <v>649</v>
      </c>
      <c r="R1187" t="str">
        <f>IFERROR(INDEX(RiskTbl[Risk_Category],MATCH(Loans[[#This Row],[RiskScore]],RiskTbl[Score_Min],1)),"Unknown")</f>
        <v>Medium Risk</v>
      </c>
      <c r="S1187" t="str">
        <f>IF(OR(Loans[[#This Row],[LoanStatus]]="Default",Loans[[#This Row],[LoanStatus]]="Watchlist",Loans[[#This Row],[CollateralRisk]]="Undersecured",Loans[[#This Row],[RiskCategory]]="High Risk"),"High Risk Exposure","Normal")</f>
        <v>Normal</v>
      </c>
      <c r="T1187" t="str" cm="1">
        <f t="array" ref="T1187">_xlfn.IFS(
Loans[[#This Row],[LoanStatus]]="Default","Critical",
OR(Loans[[#This Row],[LoanStatus]]="Watchlist",Loans[[#This Row],[CollateralRisk]]="Undersecured",Loans[[#This Row],[RiskCategory]]="High Risk"),"High",
TRUE,"Normal"
)</f>
        <v>Normal</v>
      </c>
    </row>
    <row r="1188" spans="1:20" x14ac:dyDescent="0.35">
      <c r="A1188" t="s">
        <v>1943</v>
      </c>
      <c r="B1188" t="s">
        <v>614</v>
      </c>
      <c r="C1188" t="s">
        <v>190</v>
      </c>
      <c r="D1188" t="s">
        <v>155</v>
      </c>
      <c r="E1188" s="34">
        <v>100000</v>
      </c>
      <c r="F1188" s="29">
        <v>0.20699999999999999</v>
      </c>
      <c r="G1188" s="30">
        <v>45977</v>
      </c>
      <c r="H1188">
        <v>24</v>
      </c>
      <c r="I1188">
        <v>120</v>
      </c>
      <c r="J1188" s="34">
        <v>0</v>
      </c>
      <c r="K1188" t="s">
        <v>178</v>
      </c>
      <c r="L1188" s="34">
        <f>PMT(Loans[[#This Row],[InterestRate]]/12,Loans[[#This Row],[LoanTenureMonths]],-Loans[[#This Row],[LoanAmount]])</f>
        <v>5123.8417305326057</v>
      </c>
      <c r="M1188" s="30">
        <f>EDATE(Loans[[#This Row],[LoanStartDate]],Loans[[#This Row],[LoanTenureMonths]])</f>
        <v>46707</v>
      </c>
      <c r="N1188" s="33">
        <f>IF(Loans[[#This Row],[LoanAmount]]=0,0,Loans[[#This Row],[CollateralValue]]/Loans[[#This Row],[LoanAmount]])</f>
        <v>0</v>
      </c>
      <c r="O1188" t="str">
        <f>IF(Loans[[#This Row],[CollateralCoverageRatio]]&lt;1,"Undersecured","Secured")</f>
        <v>Undersecured</v>
      </c>
      <c r="P1188" t="str">
        <f>_xlfn.XLOOKUP(Loans[[#This Row],[BranchCode]],BranchesTbl[BranchCode],BranchesTbl[BranchName])</f>
        <v>Nyeri</v>
      </c>
      <c r="Q1188">
        <f>_xlfn.XLOOKUP(Loans[[#This Row],[CustomerID]],CustomerTbl[CustomerID],CustomerTbl[RiskScore])</f>
        <v>834</v>
      </c>
      <c r="R1188" t="str">
        <f>IFERROR(INDEX(RiskTbl[Risk_Category],MATCH(Loans[[#This Row],[RiskScore]],RiskTbl[Score_Min],1)),"Unknown")</f>
        <v>Prime</v>
      </c>
      <c r="S1188" t="str">
        <f>IF(OR(Loans[[#This Row],[LoanStatus]]="Default",Loans[[#This Row],[LoanStatus]]="Watchlist",Loans[[#This Row],[CollateralRisk]]="Undersecured",Loans[[#This Row],[RiskCategory]]="High Risk"),"High Risk Exposure","Normal")</f>
        <v>High Risk Exposure</v>
      </c>
      <c r="T1188" t="str" cm="1">
        <f t="array" ref="T1188">_xlfn.IFS(
Loans[[#This Row],[LoanStatus]]="Default","Critical",
OR(Loans[[#This Row],[LoanStatus]]="Watchlist",Loans[[#This Row],[CollateralRisk]]="Undersecured",Loans[[#This Row],[RiskCategory]]="High Risk"),"High",
TRUE,"Normal"
)</f>
        <v>Critical</v>
      </c>
    </row>
    <row r="1189" spans="1:20" x14ac:dyDescent="0.35">
      <c r="A1189" t="s">
        <v>1944</v>
      </c>
      <c r="B1189" t="s">
        <v>1100</v>
      </c>
      <c r="C1189" t="s">
        <v>184</v>
      </c>
      <c r="D1189" t="s">
        <v>156</v>
      </c>
      <c r="E1189" s="34">
        <v>6000000</v>
      </c>
      <c r="F1189" s="29">
        <v>0.15140000000000001</v>
      </c>
      <c r="G1189" s="30">
        <v>45866</v>
      </c>
      <c r="H1189">
        <v>24</v>
      </c>
      <c r="I1189">
        <v>0</v>
      </c>
      <c r="J1189" s="34">
        <v>4560000</v>
      </c>
      <c r="K1189" t="s">
        <v>171</v>
      </c>
      <c r="L1189" s="34">
        <f>PMT(Loans[[#This Row],[InterestRate]]/12,Loans[[#This Row],[LoanTenureMonths]],-Loans[[#This Row],[LoanAmount]])</f>
        <v>291319.14324389625</v>
      </c>
      <c r="M1189" s="30">
        <f>EDATE(Loans[[#This Row],[LoanStartDate]],Loans[[#This Row],[LoanTenureMonths]])</f>
        <v>46596</v>
      </c>
      <c r="N1189" s="33">
        <f>IF(Loans[[#This Row],[LoanAmount]]=0,0,Loans[[#This Row],[CollateralValue]]/Loans[[#This Row],[LoanAmount]])</f>
        <v>0.76</v>
      </c>
      <c r="O1189" t="str">
        <f>IF(Loans[[#This Row],[CollateralCoverageRatio]]&lt;1,"Undersecured","Secured")</f>
        <v>Undersecured</v>
      </c>
      <c r="P1189" t="str">
        <f>_xlfn.XLOOKUP(Loans[[#This Row],[BranchCode]],BranchesTbl[BranchCode],BranchesTbl[BranchName])</f>
        <v>Kisumu</v>
      </c>
      <c r="Q1189">
        <f>_xlfn.XLOOKUP(Loans[[#This Row],[CustomerID]],CustomerTbl[CustomerID],CustomerTbl[RiskScore])</f>
        <v>441</v>
      </c>
      <c r="R1189" t="str">
        <f>IFERROR(INDEX(RiskTbl[Risk_Category],MATCH(Loans[[#This Row],[RiskScore]],RiskTbl[Score_Min],1)),"Unknown")</f>
        <v>High Risk</v>
      </c>
      <c r="S1189" t="str">
        <f>IF(OR(Loans[[#This Row],[LoanStatus]]="Default",Loans[[#This Row],[LoanStatus]]="Watchlist",Loans[[#This Row],[CollateralRisk]]="Undersecured",Loans[[#This Row],[RiskCategory]]="High Risk"),"High Risk Exposure","Normal")</f>
        <v>High Risk Exposure</v>
      </c>
      <c r="T1189" t="str" cm="1">
        <f t="array" ref="T1189">_xlfn.IFS(
Loans[[#This Row],[LoanStatus]]="Default","Critical",
OR(Loans[[#This Row],[LoanStatus]]="Watchlist",Loans[[#This Row],[CollateralRisk]]="Undersecured",Loans[[#This Row],[RiskCategory]]="High Risk"),"High",
TRUE,"Normal"
)</f>
        <v>High</v>
      </c>
    </row>
    <row r="1190" spans="1:20" x14ac:dyDescent="0.35">
      <c r="A1190" t="s">
        <v>1945</v>
      </c>
      <c r="B1190" t="s">
        <v>1307</v>
      </c>
      <c r="C1190" t="s">
        <v>177</v>
      </c>
      <c r="D1190" t="s">
        <v>155</v>
      </c>
      <c r="E1190" s="34">
        <v>250000</v>
      </c>
      <c r="F1190" s="29">
        <v>0.23449999999999999</v>
      </c>
      <c r="G1190" s="30">
        <v>45191</v>
      </c>
      <c r="H1190">
        <v>72</v>
      </c>
      <c r="I1190">
        <v>45</v>
      </c>
      <c r="J1190" s="34">
        <v>0</v>
      </c>
      <c r="K1190" t="s">
        <v>199</v>
      </c>
      <c r="L1190" s="34">
        <f>PMT(Loans[[#This Row],[InterestRate]]/12,Loans[[#This Row],[LoanTenureMonths]],-Loans[[#This Row],[LoanAmount]])</f>
        <v>6498.4891997514642</v>
      </c>
      <c r="M1190" s="30">
        <f>EDATE(Loans[[#This Row],[LoanStartDate]],Loans[[#This Row],[LoanTenureMonths]])</f>
        <v>47383</v>
      </c>
      <c r="N1190" s="33">
        <f>IF(Loans[[#This Row],[LoanAmount]]=0,0,Loans[[#This Row],[CollateralValue]]/Loans[[#This Row],[LoanAmount]])</f>
        <v>0</v>
      </c>
      <c r="O1190" t="str">
        <f>IF(Loans[[#This Row],[CollateralCoverageRatio]]&lt;1,"Undersecured","Secured")</f>
        <v>Undersecured</v>
      </c>
      <c r="P1190" t="str">
        <f>_xlfn.XLOOKUP(Loans[[#This Row],[BranchCode]],BranchesTbl[BranchCode],BranchesTbl[BranchName])</f>
        <v>Naivasha</v>
      </c>
      <c r="Q1190">
        <f>_xlfn.XLOOKUP(Loans[[#This Row],[CustomerID]],CustomerTbl[CustomerID],CustomerTbl[RiskScore])</f>
        <v>655</v>
      </c>
      <c r="R1190" t="str">
        <f>IFERROR(INDEX(RiskTbl[Risk_Category],MATCH(Loans[[#This Row],[RiskScore]],RiskTbl[Score_Min],1)),"Unknown")</f>
        <v>Medium Risk</v>
      </c>
      <c r="S1190" t="str">
        <f>IF(OR(Loans[[#This Row],[LoanStatus]]="Default",Loans[[#This Row],[LoanStatus]]="Watchlist",Loans[[#This Row],[CollateralRisk]]="Undersecured",Loans[[#This Row],[RiskCategory]]="High Risk"),"High Risk Exposure","Normal")</f>
        <v>High Risk Exposure</v>
      </c>
      <c r="T1190" t="str" cm="1">
        <f t="array" ref="T1190">_xlfn.IFS(
Loans[[#This Row],[LoanStatus]]="Default","Critical",
OR(Loans[[#This Row],[LoanStatus]]="Watchlist",Loans[[#This Row],[CollateralRisk]]="Undersecured",Loans[[#This Row],[RiskCategory]]="High Risk"),"High",
TRUE,"Normal"
)</f>
        <v>High</v>
      </c>
    </row>
    <row r="1191" spans="1:20" x14ac:dyDescent="0.35">
      <c r="A1191" t="s">
        <v>1946</v>
      </c>
      <c r="B1191" t="s">
        <v>1571</v>
      </c>
      <c r="C1191" t="s">
        <v>232</v>
      </c>
      <c r="D1191" t="s">
        <v>156</v>
      </c>
      <c r="E1191" s="34">
        <v>25000000</v>
      </c>
      <c r="F1191" s="29">
        <v>0.14960000000000001</v>
      </c>
      <c r="G1191" s="30">
        <v>45144</v>
      </c>
      <c r="H1191">
        <v>12</v>
      </c>
      <c r="I1191">
        <v>90</v>
      </c>
      <c r="J1191" s="34">
        <v>16000000</v>
      </c>
      <c r="K1191" t="s">
        <v>199</v>
      </c>
      <c r="L1191" s="34">
        <f>PMT(Loans[[#This Row],[InterestRate]]/12,Loans[[#This Row],[LoanTenureMonths]],-Loans[[#This Row],[LoanAmount]])</f>
        <v>2255985.9651771323</v>
      </c>
      <c r="M1191" s="30">
        <f>EDATE(Loans[[#This Row],[LoanStartDate]],Loans[[#This Row],[LoanTenureMonths]])</f>
        <v>45510</v>
      </c>
      <c r="N1191" s="33">
        <f>IF(Loans[[#This Row],[LoanAmount]]=0,0,Loans[[#This Row],[CollateralValue]]/Loans[[#This Row],[LoanAmount]])</f>
        <v>0.64</v>
      </c>
      <c r="O1191" t="str">
        <f>IF(Loans[[#This Row],[CollateralCoverageRatio]]&lt;1,"Undersecured","Secured")</f>
        <v>Undersecured</v>
      </c>
      <c r="P1191" t="str">
        <f>_xlfn.XLOOKUP(Loans[[#This Row],[BranchCode]],BranchesTbl[BranchCode],BranchesTbl[BranchName])</f>
        <v>Upper Hill</v>
      </c>
      <c r="Q1191">
        <f>_xlfn.XLOOKUP(Loans[[#This Row],[CustomerID]],CustomerTbl[CustomerID],CustomerTbl[RiskScore])</f>
        <v>662</v>
      </c>
      <c r="R1191" t="str">
        <f>IFERROR(INDEX(RiskTbl[Risk_Category],MATCH(Loans[[#This Row],[RiskScore]],RiskTbl[Score_Min],1)),"Unknown")</f>
        <v>Medium Risk</v>
      </c>
      <c r="S1191" t="str">
        <f>IF(OR(Loans[[#This Row],[LoanStatus]]="Default",Loans[[#This Row],[LoanStatus]]="Watchlist",Loans[[#This Row],[CollateralRisk]]="Undersecured",Loans[[#This Row],[RiskCategory]]="High Risk"),"High Risk Exposure","Normal")</f>
        <v>High Risk Exposure</v>
      </c>
      <c r="T1191" t="str" cm="1">
        <f t="array" ref="T1191">_xlfn.IFS(
Loans[[#This Row],[LoanStatus]]="Default","Critical",
OR(Loans[[#This Row],[LoanStatus]]="Watchlist",Loans[[#This Row],[CollateralRisk]]="Undersecured",Loans[[#This Row],[RiskCategory]]="High Risk"),"High",
TRUE,"Normal"
)</f>
        <v>High</v>
      </c>
    </row>
    <row r="1192" spans="1:20" x14ac:dyDescent="0.35">
      <c r="A1192" t="s">
        <v>1947</v>
      </c>
      <c r="B1192" t="s">
        <v>277</v>
      </c>
      <c r="C1192" t="s">
        <v>193</v>
      </c>
      <c r="D1192" t="s">
        <v>156</v>
      </c>
      <c r="E1192" s="34">
        <v>3000000</v>
      </c>
      <c r="F1192" s="29">
        <v>0.22650000000000001</v>
      </c>
      <c r="G1192" s="30">
        <v>44463</v>
      </c>
      <c r="H1192">
        <v>24</v>
      </c>
      <c r="I1192">
        <v>20</v>
      </c>
      <c r="J1192" s="34">
        <v>3120000</v>
      </c>
      <c r="K1192" t="s">
        <v>171</v>
      </c>
      <c r="L1192" s="34">
        <f>PMT(Loans[[#This Row],[InterestRate]]/12,Loans[[#This Row],[LoanTenureMonths]],-Loans[[#This Row],[LoanAmount]])</f>
        <v>156599.10707584524</v>
      </c>
      <c r="M1192" s="30">
        <f>EDATE(Loans[[#This Row],[LoanStartDate]],Loans[[#This Row],[LoanTenureMonths]])</f>
        <v>45193</v>
      </c>
      <c r="N1192" s="33">
        <f>IF(Loans[[#This Row],[LoanAmount]]=0,0,Loans[[#This Row],[CollateralValue]]/Loans[[#This Row],[LoanAmount]])</f>
        <v>1.04</v>
      </c>
      <c r="O1192" t="str">
        <f>IF(Loans[[#This Row],[CollateralCoverageRatio]]&lt;1,"Undersecured","Secured")</f>
        <v>Secured</v>
      </c>
      <c r="P1192" t="str">
        <f>_xlfn.XLOOKUP(Loans[[#This Row],[BranchCode]],BranchesTbl[BranchCode],BranchesTbl[BranchName])</f>
        <v>Mombasa</v>
      </c>
      <c r="Q1192">
        <f>_xlfn.XLOOKUP(Loans[[#This Row],[CustomerID]],CustomerTbl[CustomerID],CustomerTbl[RiskScore])</f>
        <v>748</v>
      </c>
      <c r="R1192" t="str">
        <f>IFERROR(INDEX(RiskTbl[Risk_Category],MATCH(Loans[[#This Row],[RiskScore]],RiskTbl[Score_Min],1)),"Unknown")</f>
        <v>Very Low Risk</v>
      </c>
      <c r="S1192" t="str">
        <f>IF(OR(Loans[[#This Row],[LoanStatus]]="Default",Loans[[#This Row],[LoanStatus]]="Watchlist",Loans[[#This Row],[CollateralRisk]]="Undersecured",Loans[[#This Row],[RiskCategory]]="High Risk"),"High Risk Exposure","Normal")</f>
        <v>Normal</v>
      </c>
      <c r="T1192" t="str" cm="1">
        <f t="array" ref="T1192">_xlfn.IFS(
Loans[[#This Row],[LoanStatus]]="Default","Critical",
OR(Loans[[#This Row],[LoanStatus]]="Watchlist",Loans[[#This Row],[CollateralRisk]]="Undersecured",Loans[[#This Row],[RiskCategory]]="High Risk"),"High",
TRUE,"Normal"
)</f>
        <v>Normal</v>
      </c>
    </row>
    <row r="1193" spans="1:20" x14ac:dyDescent="0.35">
      <c r="A1193" t="s">
        <v>1948</v>
      </c>
      <c r="B1193" t="s">
        <v>1263</v>
      </c>
      <c r="C1193" t="s">
        <v>206</v>
      </c>
      <c r="D1193" t="s">
        <v>156</v>
      </c>
      <c r="E1193" s="34">
        <v>1000000</v>
      </c>
      <c r="F1193" s="29">
        <v>0.18579999999999999</v>
      </c>
      <c r="G1193" s="30">
        <v>45989</v>
      </c>
      <c r="H1193">
        <v>72</v>
      </c>
      <c r="I1193">
        <v>120</v>
      </c>
      <c r="J1193" s="34">
        <v>1050000</v>
      </c>
      <c r="K1193" t="s">
        <v>178</v>
      </c>
      <c r="L1193" s="34">
        <f>PMT(Loans[[#This Row],[InterestRate]]/12,Loans[[#This Row],[LoanTenureMonths]],-Loans[[#This Row],[LoanAmount]])</f>
        <v>23136.892249859771</v>
      </c>
      <c r="M1193" s="30">
        <f>EDATE(Loans[[#This Row],[LoanStartDate]],Loans[[#This Row],[LoanTenureMonths]])</f>
        <v>48180</v>
      </c>
      <c r="N1193" s="33">
        <f>IF(Loans[[#This Row],[LoanAmount]]=0,0,Loans[[#This Row],[CollateralValue]]/Loans[[#This Row],[LoanAmount]])</f>
        <v>1.05</v>
      </c>
      <c r="O1193" t="str">
        <f>IF(Loans[[#This Row],[CollateralCoverageRatio]]&lt;1,"Undersecured","Secured")</f>
        <v>Secured</v>
      </c>
      <c r="P1193" t="str">
        <f>_xlfn.XLOOKUP(Loans[[#This Row],[BranchCode]],BranchesTbl[BranchCode],BranchesTbl[BranchName])</f>
        <v>Nyahururu</v>
      </c>
      <c r="Q1193">
        <f>_xlfn.XLOOKUP(Loans[[#This Row],[CustomerID]],CustomerTbl[CustomerID],CustomerTbl[RiskScore])</f>
        <v>486</v>
      </c>
      <c r="R1193" t="str">
        <f>IFERROR(INDEX(RiskTbl[Risk_Category],MATCH(Loans[[#This Row],[RiskScore]],RiskTbl[Score_Min],1)),"Unknown")</f>
        <v>High Risk</v>
      </c>
      <c r="S1193" t="str">
        <f>IF(OR(Loans[[#This Row],[LoanStatus]]="Default",Loans[[#This Row],[LoanStatus]]="Watchlist",Loans[[#This Row],[CollateralRisk]]="Undersecured",Loans[[#This Row],[RiskCategory]]="High Risk"),"High Risk Exposure","Normal")</f>
        <v>High Risk Exposure</v>
      </c>
      <c r="T1193" t="str" cm="1">
        <f t="array" ref="T1193">_xlfn.IFS(
Loans[[#This Row],[LoanStatus]]="Default","Critical",
OR(Loans[[#This Row],[LoanStatus]]="Watchlist",Loans[[#This Row],[CollateralRisk]]="Undersecured",Loans[[#This Row],[RiskCategory]]="High Risk"),"High",
TRUE,"Normal"
)</f>
        <v>Critical</v>
      </c>
    </row>
    <row r="1194" spans="1:20" x14ac:dyDescent="0.35">
      <c r="A1194" t="s">
        <v>1949</v>
      </c>
      <c r="B1194" t="s">
        <v>1488</v>
      </c>
      <c r="C1194" t="s">
        <v>219</v>
      </c>
      <c r="D1194" t="s">
        <v>155</v>
      </c>
      <c r="E1194" s="34">
        <v>250000</v>
      </c>
      <c r="F1194" s="29">
        <v>0.26100000000000001</v>
      </c>
      <c r="G1194" s="30">
        <v>44545</v>
      </c>
      <c r="H1194">
        <v>12</v>
      </c>
      <c r="I1194">
        <v>0</v>
      </c>
      <c r="J1194" s="34">
        <v>0</v>
      </c>
      <c r="K1194" t="s">
        <v>171</v>
      </c>
      <c r="L1194" s="34">
        <f>PMT(Loans[[#This Row],[InterestRate]]/12,Loans[[#This Row],[LoanTenureMonths]],-Loans[[#This Row],[LoanAmount]])</f>
        <v>23894.70139611623</v>
      </c>
      <c r="M1194" s="30">
        <f>EDATE(Loans[[#This Row],[LoanStartDate]],Loans[[#This Row],[LoanTenureMonths]])</f>
        <v>44910</v>
      </c>
      <c r="N1194" s="33">
        <f>IF(Loans[[#This Row],[LoanAmount]]=0,0,Loans[[#This Row],[CollateralValue]]/Loans[[#This Row],[LoanAmount]])</f>
        <v>0</v>
      </c>
      <c r="O1194" t="str">
        <f>IF(Loans[[#This Row],[CollateralCoverageRatio]]&lt;1,"Undersecured","Secured")</f>
        <v>Undersecured</v>
      </c>
      <c r="P1194" t="str">
        <f>_xlfn.XLOOKUP(Loans[[#This Row],[BranchCode]],BranchesTbl[BranchCode],BranchesTbl[BranchName])</f>
        <v>Meru</v>
      </c>
      <c r="Q1194">
        <f>_xlfn.XLOOKUP(Loans[[#This Row],[CustomerID]],CustomerTbl[CustomerID],CustomerTbl[RiskScore])</f>
        <v>692</v>
      </c>
      <c r="R1194" t="str">
        <f>IFERROR(INDEX(RiskTbl[Risk_Category],MATCH(Loans[[#This Row],[RiskScore]],RiskTbl[Score_Min],1)),"Unknown")</f>
        <v>Low Risk</v>
      </c>
      <c r="S1194" t="str">
        <f>IF(OR(Loans[[#This Row],[LoanStatus]]="Default",Loans[[#This Row],[LoanStatus]]="Watchlist",Loans[[#This Row],[CollateralRisk]]="Undersecured",Loans[[#This Row],[RiskCategory]]="High Risk"),"High Risk Exposure","Normal")</f>
        <v>High Risk Exposure</v>
      </c>
      <c r="T1194" t="str" cm="1">
        <f t="array" ref="T1194">_xlfn.IFS(
Loans[[#This Row],[LoanStatus]]="Default","Critical",
OR(Loans[[#This Row],[LoanStatus]]="Watchlist",Loans[[#This Row],[CollateralRisk]]="Undersecured",Loans[[#This Row],[RiskCategory]]="High Risk"),"High",
TRUE,"Normal"
)</f>
        <v>High</v>
      </c>
    </row>
    <row r="1195" spans="1:20" x14ac:dyDescent="0.35">
      <c r="A1195" t="s">
        <v>1950</v>
      </c>
      <c r="B1195" t="s">
        <v>883</v>
      </c>
      <c r="C1195" t="s">
        <v>187</v>
      </c>
      <c r="D1195" t="s">
        <v>158</v>
      </c>
      <c r="E1195" s="34">
        <v>3000000</v>
      </c>
      <c r="F1195" s="29">
        <v>0.1419</v>
      </c>
      <c r="G1195" s="30">
        <v>44486</v>
      </c>
      <c r="H1195">
        <v>24</v>
      </c>
      <c r="I1195">
        <v>20</v>
      </c>
      <c r="J1195" s="34">
        <v>2730000</v>
      </c>
      <c r="K1195" t="s">
        <v>171</v>
      </c>
      <c r="L1195" s="34">
        <f>PMT(Loans[[#This Row],[InterestRate]]/12,Loans[[#This Row],[LoanTenureMonths]],-Loans[[#This Row],[LoanAmount]])</f>
        <v>144308.07206657421</v>
      </c>
      <c r="M1195" s="30">
        <f>EDATE(Loans[[#This Row],[LoanStartDate]],Loans[[#This Row],[LoanTenureMonths]])</f>
        <v>45216</v>
      </c>
      <c r="N1195" s="33">
        <f>IF(Loans[[#This Row],[LoanAmount]]=0,0,Loans[[#This Row],[CollateralValue]]/Loans[[#This Row],[LoanAmount]])</f>
        <v>0.91</v>
      </c>
      <c r="O1195" t="str">
        <f>IF(Loans[[#This Row],[CollateralCoverageRatio]]&lt;1,"Undersecured","Secured")</f>
        <v>Undersecured</v>
      </c>
      <c r="P1195" t="str">
        <f>_xlfn.XLOOKUP(Loans[[#This Row],[BranchCode]],BranchesTbl[BranchCode],BranchesTbl[BranchName])</f>
        <v>Eldoret</v>
      </c>
      <c r="Q1195">
        <f>_xlfn.XLOOKUP(Loans[[#This Row],[CustomerID]],CustomerTbl[CustomerID],CustomerTbl[RiskScore])</f>
        <v>493</v>
      </c>
      <c r="R1195" t="str">
        <f>IFERROR(INDEX(RiskTbl[Risk_Category],MATCH(Loans[[#This Row],[RiskScore]],RiskTbl[Score_Min],1)),"Unknown")</f>
        <v>High Risk</v>
      </c>
      <c r="S1195" t="str">
        <f>IF(OR(Loans[[#This Row],[LoanStatus]]="Default",Loans[[#This Row],[LoanStatus]]="Watchlist",Loans[[#This Row],[CollateralRisk]]="Undersecured",Loans[[#This Row],[RiskCategory]]="High Risk"),"High Risk Exposure","Normal")</f>
        <v>High Risk Exposure</v>
      </c>
      <c r="T1195" t="str" cm="1">
        <f t="array" ref="T1195">_xlfn.IFS(
Loans[[#This Row],[LoanStatus]]="Default","Critical",
OR(Loans[[#This Row],[LoanStatus]]="Watchlist",Loans[[#This Row],[CollateralRisk]]="Undersecured",Loans[[#This Row],[RiskCategory]]="High Risk"),"High",
TRUE,"Normal"
)</f>
        <v>High</v>
      </c>
    </row>
    <row r="1196" spans="1:20" x14ac:dyDescent="0.35">
      <c r="A1196" t="s">
        <v>1951</v>
      </c>
      <c r="B1196" t="s">
        <v>1952</v>
      </c>
      <c r="C1196" t="s">
        <v>170</v>
      </c>
      <c r="D1196" t="s">
        <v>157</v>
      </c>
      <c r="E1196" s="34">
        <v>6000000</v>
      </c>
      <c r="F1196" s="29">
        <v>0.1153</v>
      </c>
      <c r="G1196" s="30">
        <v>45909</v>
      </c>
      <c r="H1196">
        <v>24</v>
      </c>
      <c r="I1196">
        <v>90</v>
      </c>
      <c r="J1196" s="34">
        <v>8400000</v>
      </c>
      <c r="K1196" t="s">
        <v>199</v>
      </c>
      <c r="L1196" s="34">
        <f>PMT(Loans[[#This Row],[InterestRate]]/12,Loans[[#This Row],[LoanTenureMonths]],-Loans[[#This Row],[LoanAmount]])</f>
        <v>281125.71330254618</v>
      </c>
      <c r="M1196" s="30">
        <f>EDATE(Loans[[#This Row],[LoanStartDate]],Loans[[#This Row],[LoanTenureMonths]])</f>
        <v>46639</v>
      </c>
      <c r="N1196" s="33">
        <f>IF(Loans[[#This Row],[LoanAmount]]=0,0,Loans[[#This Row],[CollateralValue]]/Loans[[#This Row],[LoanAmount]])</f>
        <v>1.4</v>
      </c>
      <c r="O1196" t="str">
        <f>IF(Loans[[#This Row],[CollateralCoverageRatio]]&lt;1,"Undersecured","Secured")</f>
        <v>Secured</v>
      </c>
      <c r="P1196" t="str">
        <f>_xlfn.XLOOKUP(Loans[[#This Row],[BranchCode]],BranchesTbl[BranchCode],BranchesTbl[BranchName])</f>
        <v>Thika</v>
      </c>
      <c r="Q1196">
        <f>_xlfn.XLOOKUP(Loans[[#This Row],[CustomerID]],CustomerTbl[CustomerID],CustomerTbl[RiskScore])</f>
        <v>310</v>
      </c>
      <c r="R1196" t="str">
        <f>IFERROR(INDEX(RiskTbl[Risk_Category],MATCH(Loans[[#This Row],[RiskScore]],RiskTbl[Score_Min],1)),"Unknown")</f>
        <v>High Risk</v>
      </c>
      <c r="S1196" t="str">
        <f>IF(OR(Loans[[#This Row],[LoanStatus]]="Default",Loans[[#This Row],[LoanStatus]]="Watchlist",Loans[[#This Row],[CollateralRisk]]="Undersecured",Loans[[#This Row],[RiskCategory]]="High Risk"),"High Risk Exposure","Normal")</f>
        <v>High Risk Exposure</v>
      </c>
      <c r="T1196" t="str" cm="1">
        <f t="array" ref="T1196">_xlfn.IFS(
Loans[[#This Row],[LoanStatus]]="Default","Critical",
OR(Loans[[#This Row],[LoanStatus]]="Watchlist",Loans[[#This Row],[CollateralRisk]]="Undersecured",Loans[[#This Row],[RiskCategory]]="High Risk"),"High",
TRUE,"Normal"
)</f>
        <v>High</v>
      </c>
    </row>
    <row r="1197" spans="1:20" x14ac:dyDescent="0.35">
      <c r="A1197" t="s">
        <v>1953</v>
      </c>
      <c r="B1197" t="s">
        <v>945</v>
      </c>
      <c r="C1197" t="s">
        <v>184</v>
      </c>
      <c r="D1197" t="s">
        <v>155</v>
      </c>
      <c r="E1197" s="34">
        <v>500000</v>
      </c>
      <c r="F1197" s="29">
        <v>0.19980000000000001</v>
      </c>
      <c r="G1197" s="30">
        <v>45764</v>
      </c>
      <c r="H1197">
        <v>48</v>
      </c>
      <c r="I1197">
        <v>45</v>
      </c>
      <c r="J1197" s="34">
        <v>0</v>
      </c>
      <c r="K1197" t="s">
        <v>199</v>
      </c>
      <c r="L1197" s="34">
        <f>PMT(Loans[[#This Row],[InterestRate]]/12,Loans[[#This Row],[LoanTenureMonths]],-Loans[[#This Row],[LoanAmount]])</f>
        <v>15209.853734316386</v>
      </c>
      <c r="M1197" s="30">
        <f>EDATE(Loans[[#This Row],[LoanStartDate]],Loans[[#This Row],[LoanTenureMonths]])</f>
        <v>47225</v>
      </c>
      <c r="N1197" s="33">
        <f>IF(Loans[[#This Row],[LoanAmount]]=0,0,Loans[[#This Row],[CollateralValue]]/Loans[[#This Row],[LoanAmount]])</f>
        <v>0</v>
      </c>
      <c r="O1197" t="str">
        <f>IF(Loans[[#This Row],[CollateralCoverageRatio]]&lt;1,"Undersecured","Secured")</f>
        <v>Undersecured</v>
      </c>
      <c r="P1197" t="str">
        <f>_xlfn.XLOOKUP(Loans[[#This Row],[BranchCode]],BranchesTbl[BranchCode],BranchesTbl[BranchName])</f>
        <v>Kisumu</v>
      </c>
      <c r="Q1197">
        <f>_xlfn.XLOOKUP(Loans[[#This Row],[CustomerID]],CustomerTbl[CustomerID],CustomerTbl[RiskScore])</f>
        <v>457</v>
      </c>
      <c r="R1197" t="str">
        <f>IFERROR(INDEX(RiskTbl[Risk_Category],MATCH(Loans[[#This Row],[RiskScore]],RiskTbl[Score_Min],1)),"Unknown")</f>
        <v>High Risk</v>
      </c>
      <c r="S1197" t="str">
        <f>IF(OR(Loans[[#This Row],[LoanStatus]]="Default",Loans[[#This Row],[LoanStatus]]="Watchlist",Loans[[#This Row],[CollateralRisk]]="Undersecured",Loans[[#This Row],[RiskCategory]]="High Risk"),"High Risk Exposure","Normal")</f>
        <v>High Risk Exposure</v>
      </c>
      <c r="T1197" t="str" cm="1">
        <f t="array" ref="T1197">_xlfn.IFS(
Loans[[#This Row],[LoanStatus]]="Default","Critical",
OR(Loans[[#This Row],[LoanStatus]]="Watchlist",Loans[[#This Row],[CollateralRisk]]="Undersecured",Loans[[#This Row],[RiskCategory]]="High Risk"),"High",
TRUE,"Normal"
)</f>
        <v>High</v>
      </c>
    </row>
    <row r="1198" spans="1:20" x14ac:dyDescent="0.35">
      <c r="A1198" t="s">
        <v>1954</v>
      </c>
      <c r="B1198" t="s">
        <v>800</v>
      </c>
      <c r="C1198" t="s">
        <v>219</v>
      </c>
      <c r="D1198" t="s">
        <v>155</v>
      </c>
      <c r="E1198" s="34">
        <v>1000000</v>
      </c>
      <c r="F1198" s="29">
        <v>0.16520000000000001</v>
      </c>
      <c r="G1198" s="30">
        <v>45421</v>
      </c>
      <c r="H1198">
        <v>24</v>
      </c>
      <c r="I1198">
        <v>20</v>
      </c>
      <c r="J1198" s="34">
        <v>0</v>
      </c>
      <c r="K1198" t="s">
        <v>171</v>
      </c>
      <c r="L1198" s="34">
        <f>PMT(Loans[[#This Row],[InterestRate]]/12,Loans[[#This Row],[LoanTenureMonths]],-Loans[[#This Row],[LoanAmount]])</f>
        <v>49211.934948427726</v>
      </c>
      <c r="M1198" s="30">
        <f>EDATE(Loans[[#This Row],[LoanStartDate]],Loans[[#This Row],[LoanTenureMonths]])</f>
        <v>46151</v>
      </c>
      <c r="N1198" s="33">
        <f>IF(Loans[[#This Row],[LoanAmount]]=0,0,Loans[[#This Row],[CollateralValue]]/Loans[[#This Row],[LoanAmount]])</f>
        <v>0</v>
      </c>
      <c r="O1198" t="str">
        <f>IF(Loans[[#This Row],[CollateralCoverageRatio]]&lt;1,"Undersecured","Secured")</f>
        <v>Undersecured</v>
      </c>
      <c r="P1198" t="str">
        <f>_xlfn.XLOOKUP(Loans[[#This Row],[BranchCode]],BranchesTbl[BranchCode],BranchesTbl[BranchName])</f>
        <v>Meru</v>
      </c>
      <c r="Q1198">
        <f>_xlfn.XLOOKUP(Loans[[#This Row],[CustomerID]],CustomerTbl[CustomerID],CustomerTbl[RiskScore])</f>
        <v>305</v>
      </c>
      <c r="R1198" t="str">
        <f>IFERROR(INDEX(RiskTbl[Risk_Category],MATCH(Loans[[#This Row],[RiskScore]],RiskTbl[Score_Min],1)),"Unknown")</f>
        <v>High Risk</v>
      </c>
      <c r="S1198" t="str">
        <f>IF(OR(Loans[[#This Row],[LoanStatus]]="Default",Loans[[#This Row],[LoanStatus]]="Watchlist",Loans[[#This Row],[CollateralRisk]]="Undersecured",Loans[[#This Row],[RiskCategory]]="High Risk"),"High Risk Exposure","Normal")</f>
        <v>High Risk Exposure</v>
      </c>
      <c r="T1198" t="str" cm="1">
        <f t="array" ref="T1198">_xlfn.IFS(
Loans[[#This Row],[LoanStatus]]="Default","Critical",
OR(Loans[[#This Row],[LoanStatus]]="Watchlist",Loans[[#This Row],[CollateralRisk]]="Undersecured",Loans[[#This Row],[RiskCategory]]="High Risk"),"High",
TRUE,"Normal"
)</f>
        <v>High</v>
      </c>
    </row>
    <row r="1199" spans="1:20" x14ac:dyDescent="0.35">
      <c r="A1199" t="s">
        <v>1955</v>
      </c>
      <c r="B1199" t="s">
        <v>604</v>
      </c>
      <c r="C1199" t="s">
        <v>177</v>
      </c>
      <c r="D1199" t="s">
        <v>156</v>
      </c>
      <c r="E1199" s="34">
        <v>25000000</v>
      </c>
      <c r="F1199" s="29">
        <v>0.2109</v>
      </c>
      <c r="G1199" s="30">
        <v>45233</v>
      </c>
      <c r="H1199">
        <v>48</v>
      </c>
      <c r="I1199">
        <v>0</v>
      </c>
      <c r="J1199" s="34">
        <v>13500000</v>
      </c>
      <c r="K1199" t="s">
        <v>171</v>
      </c>
      <c r="L1199" s="34">
        <f>PMT(Loans[[#This Row],[InterestRate]]/12,Loans[[#This Row],[LoanTenureMonths]],-Loans[[#This Row],[LoanAmount]])</f>
        <v>775353.07985310804</v>
      </c>
      <c r="M1199" s="30">
        <f>EDATE(Loans[[#This Row],[LoanStartDate]],Loans[[#This Row],[LoanTenureMonths]])</f>
        <v>46694</v>
      </c>
      <c r="N1199" s="33">
        <f>IF(Loans[[#This Row],[LoanAmount]]=0,0,Loans[[#This Row],[CollateralValue]]/Loans[[#This Row],[LoanAmount]])</f>
        <v>0.54</v>
      </c>
      <c r="O1199" t="str">
        <f>IF(Loans[[#This Row],[CollateralCoverageRatio]]&lt;1,"Undersecured","Secured")</f>
        <v>Undersecured</v>
      </c>
      <c r="P1199" t="str">
        <f>_xlfn.XLOOKUP(Loans[[#This Row],[BranchCode]],BranchesTbl[BranchCode],BranchesTbl[BranchName])</f>
        <v>Naivasha</v>
      </c>
      <c r="Q1199">
        <f>_xlfn.XLOOKUP(Loans[[#This Row],[CustomerID]],CustomerTbl[CustomerID],CustomerTbl[RiskScore])</f>
        <v>563</v>
      </c>
      <c r="R1199" t="str">
        <f>IFERROR(INDEX(RiskTbl[Risk_Category],MATCH(Loans[[#This Row],[RiskScore]],RiskTbl[Score_Min],1)),"Unknown")</f>
        <v>High Risk</v>
      </c>
      <c r="S1199" t="str">
        <f>IF(OR(Loans[[#This Row],[LoanStatus]]="Default",Loans[[#This Row],[LoanStatus]]="Watchlist",Loans[[#This Row],[CollateralRisk]]="Undersecured",Loans[[#This Row],[RiskCategory]]="High Risk"),"High Risk Exposure","Normal")</f>
        <v>High Risk Exposure</v>
      </c>
      <c r="T1199" t="str" cm="1">
        <f t="array" ref="T1199">_xlfn.IFS(
Loans[[#This Row],[LoanStatus]]="Default","Critical",
OR(Loans[[#This Row],[LoanStatus]]="Watchlist",Loans[[#This Row],[CollateralRisk]]="Undersecured",Loans[[#This Row],[RiskCategory]]="High Risk"),"High",
TRUE,"Normal"
)</f>
        <v>High</v>
      </c>
    </row>
    <row r="1200" spans="1:20" x14ac:dyDescent="0.35">
      <c r="A1200" t="s">
        <v>1956</v>
      </c>
      <c r="B1200" t="s">
        <v>457</v>
      </c>
      <c r="C1200" t="s">
        <v>219</v>
      </c>
      <c r="D1200" t="s">
        <v>158</v>
      </c>
      <c r="E1200" s="34">
        <v>1000000</v>
      </c>
      <c r="F1200" s="29">
        <v>0.14860000000000001</v>
      </c>
      <c r="G1200" s="30">
        <v>45144</v>
      </c>
      <c r="H1200">
        <v>48</v>
      </c>
      <c r="I1200">
        <v>20</v>
      </c>
      <c r="J1200" s="34">
        <v>720000</v>
      </c>
      <c r="K1200" t="s">
        <v>171</v>
      </c>
      <c r="L1200" s="34">
        <f>PMT(Loans[[#This Row],[InterestRate]]/12,Loans[[#This Row],[LoanTenureMonths]],-Loans[[#This Row],[LoanAmount]])</f>
        <v>27759.832809759198</v>
      </c>
      <c r="M1200" s="30">
        <f>EDATE(Loans[[#This Row],[LoanStartDate]],Loans[[#This Row],[LoanTenureMonths]])</f>
        <v>46605</v>
      </c>
      <c r="N1200" s="33">
        <f>IF(Loans[[#This Row],[LoanAmount]]=0,0,Loans[[#This Row],[CollateralValue]]/Loans[[#This Row],[LoanAmount]])</f>
        <v>0.72</v>
      </c>
      <c r="O1200" t="str">
        <f>IF(Loans[[#This Row],[CollateralCoverageRatio]]&lt;1,"Undersecured","Secured")</f>
        <v>Undersecured</v>
      </c>
      <c r="P1200" t="str">
        <f>_xlfn.XLOOKUP(Loans[[#This Row],[BranchCode]],BranchesTbl[BranchCode],BranchesTbl[BranchName])</f>
        <v>Meru</v>
      </c>
      <c r="Q1200">
        <f>_xlfn.XLOOKUP(Loans[[#This Row],[CustomerID]],CustomerTbl[CustomerID],CustomerTbl[RiskScore])</f>
        <v>802</v>
      </c>
      <c r="R1200" t="str">
        <f>IFERROR(INDEX(RiskTbl[Risk_Category],MATCH(Loans[[#This Row],[RiskScore]],RiskTbl[Score_Min],1)),"Unknown")</f>
        <v>Prime</v>
      </c>
      <c r="S1200" t="str">
        <f>IF(OR(Loans[[#This Row],[LoanStatus]]="Default",Loans[[#This Row],[LoanStatus]]="Watchlist",Loans[[#This Row],[CollateralRisk]]="Undersecured",Loans[[#This Row],[RiskCategory]]="High Risk"),"High Risk Exposure","Normal")</f>
        <v>High Risk Exposure</v>
      </c>
      <c r="T1200" t="str" cm="1">
        <f t="array" ref="T1200">_xlfn.IFS(
Loans[[#This Row],[LoanStatus]]="Default","Critical",
OR(Loans[[#This Row],[LoanStatus]]="Watchlist",Loans[[#This Row],[CollateralRisk]]="Undersecured",Loans[[#This Row],[RiskCategory]]="High Risk"),"High",
TRUE,"Normal"
)</f>
        <v>High</v>
      </c>
    </row>
    <row r="1201" spans="1:20" x14ac:dyDescent="0.35">
      <c r="A1201" t="s">
        <v>1957</v>
      </c>
      <c r="B1201" t="s">
        <v>218</v>
      </c>
      <c r="C1201" t="s">
        <v>232</v>
      </c>
      <c r="D1201" t="s">
        <v>157</v>
      </c>
      <c r="E1201" s="34">
        <v>80000000</v>
      </c>
      <c r="F1201" s="29">
        <v>0.11</v>
      </c>
      <c r="G1201" s="30">
        <v>45530</v>
      </c>
      <c r="H1201">
        <v>60</v>
      </c>
      <c r="I1201">
        <v>10</v>
      </c>
      <c r="J1201" s="34">
        <v>70400000</v>
      </c>
      <c r="K1201" t="s">
        <v>171</v>
      </c>
      <c r="L1201" s="34">
        <f>PMT(Loans[[#This Row],[InterestRate]]/12,Loans[[#This Row],[LoanTenureMonths]],-Loans[[#This Row],[LoanAmount]])</f>
        <v>1739393.8458114646</v>
      </c>
      <c r="M1201" s="30">
        <f>EDATE(Loans[[#This Row],[LoanStartDate]],Loans[[#This Row],[LoanTenureMonths]])</f>
        <v>47356</v>
      </c>
      <c r="N1201" s="33">
        <f>IF(Loans[[#This Row],[LoanAmount]]=0,0,Loans[[#This Row],[CollateralValue]]/Loans[[#This Row],[LoanAmount]])</f>
        <v>0.88</v>
      </c>
      <c r="O1201" t="str">
        <f>IF(Loans[[#This Row],[CollateralCoverageRatio]]&lt;1,"Undersecured","Secured")</f>
        <v>Undersecured</v>
      </c>
      <c r="P1201" t="str">
        <f>_xlfn.XLOOKUP(Loans[[#This Row],[BranchCode]],BranchesTbl[BranchCode],BranchesTbl[BranchName])</f>
        <v>Upper Hill</v>
      </c>
      <c r="Q1201">
        <f>_xlfn.XLOOKUP(Loans[[#This Row],[CustomerID]],CustomerTbl[CustomerID],CustomerTbl[RiskScore])</f>
        <v>576</v>
      </c>
      <c r="R1201" t="str">
        <f>IFERROR(INDEX(RiskTbl[Risk_Category],MATCH(Loans[[#This Row],[RiskScore]],RiskTbl[Score_Min],1)),"Unknown")</f>
        <v>High Risk</v>
      </c>
      <c r="S1201" t="str">
        <f>IF(OR(Loans[[#This Row],[LoanStatus]]="Default",Loans[[#This Row],[LoanStatus]]="Watchlist",Loans[[#This Row],[CollateralRisk]]="Undersecured",Loans[[#This Row],[RiskCategory]]="High Risk"),"High Risk Exposure","Normal")</f>
        <v>High Risk Exposure</v>
      </c>
      <c r="T1201" t="str" cm="1">
        <f t="array" ref="T1201">_xlfn.IFS(
Loans[[#This Row],[LoanStatus]]="Default","Critical",
OR(Loans[[#This Row],[LoanStatus]]="Watchlist",Loans[[#This Row],[CollateralRisk]]="Undersecured",Loans[[#This Row],[RiskCategory]]="High Risk"),"High",
TRUE,"Normal"
)</f>
        <v>High</v>
      </c>
    </row>
    <row r="1202" spans="1:20" x14ac:dyDescent="0.35">
      <c r="A1202" t="s">
        <v>1958</v>
      </c>
      <c r="B1202" t="s">
        <v>1283</v>
      </c>
      <c r="C1202" t="s">
        <v>184</v>
      </c>
      <c r="D1202" t="s">
        <v>155</v>
      </c>
      <c r="E1202" s="34">
        <v>1000000</v>
      </c>
      <c r="F1202" s="29">
        <v>0.20760000000000001</v>
      </c>
      <c r="G1202" s="30">
        <v>43850</v>
      </c>
      <c r="H1202">
        <v>12</v>
      </c>
      <c r="I1202">
        <v>0</v>
      </c>
      <c r="J1202" s="34">
        <v>0</v>
      </c>
      <c r="K1202" t="s">
        <v>171</v>
      </c>
      <c r="L1202" s="34">
        <f>PMT(Loans[[#This Row],[InterestRate]]/12,Loans[[#This Row],[LoanTenureMonths]],-Loans[[#This Row],[LoanAmount]])</f>
        <v>92998.627365471562</v>
      </c>
      <c r="M1202" s="30">
        <f>EDATE(Loans[[#This Row],[LoanStartDate]],Loans[[#This Row],[LoanTenureMonths]])</f>
        <v>44216</v>
      </c>
      <c r="N1202" s="33">
        <f>IF(Loans[[#This Row],[LoanAmount]]=0,0,Loans[[#This Row],[CollateralValue]]/Loans[[#This Row],[LoanAmount]])</f>
        <v>0</v>
      </c>
      <c r="O1202" t="str">
        <f>IF(Loans[[#This Row],[CollateralCoverageRatio]]&lt;1,"Undersecured","Secured")</f>
        <v>Undersecured</v>
      </c>
      <c r="P1202" t="str">
        <f>_xlfn.XLOOKUP(Loans[[#This Row],[BranchCode]],BranchesTbl[BranchCode],BranchesTbl[BranchName])</f>
        <v>Kisumu</v>
      </c>
      <c r="Q1202">
        <f>_xlfn.XLOOKUP(Loans[[#This Row],[CustomerID]],CustomerTbl[CustomerID],CustomerTbl[RiskScore])</f>
        <v>649</v>
      </c>
      <c r="R1202" t="str">
        <f>IFERROR(INDEX(RiskTbl[Risk_Category],MATCH(Loans[[#This Row],[RiskScore]],RiskTbl[Score_Min],1)),"Unknown")</f>
        <v>Medium Risk</v>
      </c>
      <c r="S1202" t="str">
        <f>IF(OR(Loans[[#This Row],[LoanStatus]]="Default",Loans[[#This Row],[LoanStatus]]="Watchlist",Loans[[#This Row],[CollateralRisk]]="Undersecured",Loans[[#This Row],[RiskCategory]]="High Risk"),"High Risk Exposure","Normal")</f>
        <v>High Risk Exposure</v>
      </c>
      <c r="T1202" t="str" cm="1">
        <f t="array" ref="T1202">_xlfn.IFS(
Loans[[#This Row],[LoanStatus]]="Default","Critical",
OR(Loans[[#This Row],[LoanStatus]]="Watchlist",Loans[[#This Row],[CollateralRisk]]="Undersecured",Loans[[#This Row],[RiskCategory]]="High Risk"),"High",
TRUE,"Normal"
)</f>
        <v>High</v>
      </c>
    </row>
    <row r="1203" spans="1:20" x14ac:dyDescent="0.35">
      <c r="A1203" t="s">
        <v>1959</v>
      </c>
      <c r="B1203" t="s">
        <v>528</v>
      </c>
      <c r="C1203" t="s">
        <v>232</v>
      </c>
      <c r="D1203" t="s">
        <v>157</v>
      </c>
      <c r="E1203" s="34">
        <v>25000000</v>
      </c>
      <c r="F1203" s="29">
        <v>0.13400000000000001</v>
      </c>
      <c r="G1203" s="30">
        <v>46009</v>
      </c>
      <c r="H1203">
        <v>36</v>
      </c>
      <c r="I1203">
        <v>0</v>
      </c>
      <c r="J1203" s="34">
        <v>14250000</v>
      </c>
      <c r="K1203" t="s">
        <v>171</v>
      </c>
      <c r="L1203" s="34">
        <f>PMT(Loans[[#This Row],[InterestRate]]/12,Loans[[#This Row],[LoanTenureMonths]],-Loans[[#This Row],[LoanAmount]])</f>
        <v>847173.49098156404</v>
      </c>
      <c r="M1203" s="30">
        <f>EDATE(Loans[[#This Row],[LoanStartDate]],Loans[[#This Row],[LoanTenureMonths]])</f>
        <v>47105</v>
      </c>
      <c r="N1203" s="33">
        <f>IF(Loans[[#This Row],[LoanAmount]]=0,0,Loans[[#This Row],[CollateralValue]]/Loans[[#This Row],[LoanAmount]])</f>
        <v>0.56999999999999995</v>
      </c>
      <c r="O1203" t="str">
        <f>IF(Loans[[#This Row],[CollateralCoverageRatio]]&lt;1,"Undersecured","Secured")</f>
        <v>Undersecured</v>
      </c>
      <c r="P1203" t="str">
        <f>_xlfn.XLOOKUP(Loans[[#This Row],[BranchCode]],BranchesTbl[BranchCode],BranchesTbl[BranchName])</f>
        <v>Upper Hill</v>
      </c>
      <c r="Q1203">
        <f>_xlfn.XLOOKUP(Loans[[#This Row],[CustomerID]],CustomerTbl[CustomerID],CustomerTbl[RiskScore])</f>
        <v>737</v>
      </c>
      <c r="R1203" t="str">
        <f>IFERROR(INDEX(RiskTbl[Risk_Category],MATCH(Loans[[#This Row],[RiskScore]],RiskTbl[Score_Min],1)),"Unknown")</f>
        <v>Low Risk</v>
      </c>
      <c r="S1203" t="str">
        <f>IF(OR(Loans[[#This Row],[LoanStatus]]="Default",Loans[[#This Row],[LoanStatus]]="Watchlist",Loans[[#This Row],[CollateralRisk]]="Undersecured",Loans[[#This Row],[RiskCategory]]="High Risk"),"High Risk Exposure","Normal")</f>
        <v>High Risk Exposure</v>
      </c>
      <c r="T1203" t="str" cm="1">
        <f t="array" ref="T1203">_xlfn.IFS(
Loans[[#This Row],[LoanStatus]]="Default","Critical",
OR(Loans[[#This Row],[LoanStatus]]="Watchlist",Loans[[#This Row],[CollateralRisk]]="Undersecured",Loans[[#This Row],[RiskCategory]]="High Risk"),"High",
TRUE,"Normal"
)</f>
        <v>High</v>
      </c>
    </row>
    <row r="1204" spans="1:20" x14ac:dyDescent="0.35">
      <c r="A1204" t="s">
        <v>1960</v>
      </c>
      <c r="B1204" t="s">
        <v>363</v>
      </c>
      <c r="C1204" t="s">
        <v>206</v>
      </c>
      <c r="D1204" t="s">
        <v>156</v>
      </c>
      <c r="E1204" s="34">
        <v>6000000</v>
      </c>
      <c r="F1204" s="29">
        <v>0.15709999999999999</v>
      </c>
      <c r="G1204" s="30">
        <v>44264</v>
      </c>
      <c r="H1204">
        <v>48</v>
      </c>
      <c r="I1204">
        <v>20</v>
      </c>
      <c r="J1204" s="34">
        <v>5400000</v>
      </c>
      <c r="K1204" t="s">
        <v>171</v>
      </c>
      <c r="L1204" s="34">
        <f>PMT(Loans[[#This Row],[InterestRate]]/12,Loans[[#This Row],[LoanTenureMonths]],-Loans[[#This Row],[LoanAmount]])</f>
        <v>169151.85967700277</v>
      </c>
      <c r="M1204" s="30">
        <f>EDATE(Loans[[#This Row],[LoanStartDate]],Loans[[#This Row],[LoanTenureMonths]])</f>
        <v>45725</v>
      </c>
      <c r="N1204" s="33">
        <f>IF(Loans[[#This Row],[LoanAmount]]=0,0,Loans[[#This Row],[CollateralValue]]/Loans[[#This Row],[LoanAmount]])</f>
        <v>0.9</v>
      </c>
      <c r="O1204" t="str">
        <f>IF(Loans[[#This Row],[CollateralCoverageRatio]]&lt;1,"Undersecured","Secured")</f>
        <v>Undersecured</v>
      </c>
      <c r="P1204" t="str">
        <f>_xlfn.XLOOKUP(Loans[[#This Row],[BranchCode]],BranchesTbl[BranchCode],BranchesTbl[BranchName])</f>
        <v>Nyahururu</v>
      </c>
      <c r="Q1204">
        <f>_xlfn.XLOOKUP(Loans[[#This Row],[CustomerID]],CustomerTbl[CustomerID],CustomerTbl[RiskScore])</f>
        <v>653</v>
      </c>
      <c r="R1204" t="str">
        <f>IFERROR(INDEX(RiskTbl[Risk_Category],MATCH(Loans[[#This Row],[RiskScore]],RiskTbl[Score_Min],1)),"Unknown")</f>
        <v>Medium Risk</v>
      </c>
      <c r="S1204" t="str">
        <f>IF(OR(Loans[[#This Row],[LoanStatus]]="Default",Loans[[#This Row],[LoanStatus]]="Watchlist",Loans[[#This Row],[CollateralRisk]]="Undersecured",Loans[[#This Row],[RiskCategory]]="High Risk"),"High Risk Exposure","Normal")</f>
        <v>High Risk Exposure</v>
      </c>
      <c r="T1204" t="str" cm="1">
        <f t="array" ref="T1204">_xlfn.IFS(
Loans[[#This Row],[LoanStatus]]="Default","Critical",
OR(Loans[[#This Row],[LoanStatus]]="Watchlist",Loans[[#This Row],[CollateralRisk]]="Undersecured",Loans[[#This Row],[RiskCategory]]="High Risk"),"High",
TRUE,"Normal"
)</f>
        <v>High</v>
      </c>
    </row>
    <row r="1205" spans="1:20" x14ac:dyDescent="0.35">
      <c r="A1205" t="s">
        <v>1961</v>
      </c>
      <c r="B1205" t="s">
        <v>201</v>
      </c>
      <c r="C1205" t="s">
        <v>184</v>
      </c>
      <c r="D1205" t="s">
        <v>157</v>
      </c>
      <c r="E1205" s="34">
        <v>80000000</v>
      </c>
      <c r="F1205" s="29">
        <v>0.10639999999999999</v>
      </c>
      <c r="G1205" s="30">
        <v>45783</v>
      </c>
      <c r="H1205">
        <v>48</v>
      </c>
      <c r="I1205">
        <v>0</v>
      </c>
      <c r="J1205" s="34">
        <v>96000000</v>
      </c>
      <c r="K1205" t="s">
        <v>171</v>
      </c>
      <c r="L1205" s="34">
        <f>PMT(Loans[[#This Row],[InterestRate]]/12,Loans[[#This Row],[LoanTenureMonths]],-Loans[[#This Row],[LoanAmount]])</f>
        <v>2053683.5322380075</v>
      </c>
      <c r="M1205" s="30">
        <f>EDATE(Loans[[#This Row],[LoanStartDate]],Loans[[#This Row],[LoanTenureMonths]])</f>
        <v>47244</v>
      </c>
      <c r="N1205" s="33">
        <f>IF(Loans[[#This Row],[LoanAmount]]=0,0,Loans[[#This Row],[CollateralValue]]/Loans[[#This Row],[LoanAmount]])</f>
        <v>1.2</v>
      </c>
      <c r="O1205" t="str">
        <f>IF(Loans[[#This Row],[CollateralCoverageRatio]]&lt;1,"Undersecured","Secured")</f>
        <v>Secured</v>
      </c>
      <c r="P1205" t="str">
        <f>_xlfn.XLOOKUP(Loans[[#This Row],[BranchCode]],BranchesTbl[BranchCode],BranchesTbl[BranchName])</f>
        <v>Kisumu</v>
      </c>
      <c r="Q1205">
        <f>_xlfn.XLOOKUP(Loans[[#This Row],[CustomerID]],CustomerTbl[CustomerID],CustomerTbl[RiskScore])</f>
        <v>459</v>
      </c>
      <c r="R1205" t="str">
        <f>IFERROR(INDEX(RiskTbl[Risk_Category],MATCH(Loans[[#This Row],[RiskScore]],RiskTbl[Score_Min],1)),"Unknown")</f>
        <v>High Risk</v>
      </c>
      <c r="S1205" t="str">
        <f>IF(OR(Loans[[#This Row],[LoanStatus]]="Default",Loans[[#This Row],[LoanStatus]]="Watchlist",Loans[[#This Row],[CollateralRisk]]="Undersecured",Loans[[#This Row],[RiskCategory]]="High Risk"),"High Risk Exposure","Normal")</f>
        <v>High Risk Exposure</v>
      </c>
      <c r="T1205" t="str" cm="1">
        <f t="array" ref="T1205">_xlfn.IFS(
Loans[[#This Row],[LoanStatus]]="Default","Critical",
OR(Loans[[#This Row],[LoanStatus]]="Watchlist",Loans[[#This Row],[CollateralRisk]]="Undersecured",Loans[[#This Row],[RiskCategory]]="High Risk"),"High",
TRUE,"Normal"
)</f>
        <v>High</v>
      </c>
    </row>
    <row r="1206" spans="1:20" x14ac:dyDescent="0.35">
      <c r="A1206" t="s">
        <v>1962</v>
      </c>
      <c r="B1206" t="s">
        <v>183</v>
      </c>
      <c r="C1206" t="s">
        <v>196</v>
      </c>
      <c r="D1206" t="s">
        <v>155</v>
      </c>
      <c r="E1206" s="34">
        <v>500000</v>
      </c>
      <c r="F1206" s="29">
        <v>0.1764</v>
      </c>
      <c r="G1206" s="30">
        <v>44857</v>
      </c>
      <c r="H1206">
        <v>12</v>
      </c>
      <c r="I1206">
        <v>0</v>
      </c>
      <c r="J1206" s="34">
        <v>0</v>
      </c>
      <c r="K1206" t="s">
        <v>171</v>
      </c>
      <c r="L1206" s="34">
        <f>PMT(Loans[[#This Row],[InterestRate]]/12,Loans[[#This Row],[LoanTenureMonths]],-Loans[[#This Row],[LoanAmount]])</f>
        <v>45754.375605892252</v>
      </c>
      <c r="M1206" s="30">
        <f>EDATE(Loans[[#This Row],[LoanStartDate]],Loans[[#This Row],[LoanTenureMonths]])</f>
        <v>45222</v>
      </c>
      <c r="N1206" s="33">
        <f>IF(Loans[[#This Row],[LoanAmount]]=0,0,Loans[[#This Row],[CollateralValue]]/Loans[[#This Row],[LoanAmount]])</f>
        <v>0</v>
      </c>
      <c r="O1206" t="str">
        <f>IF(Loans[[#This Row],[CollateralCoverageRatio]]&lt;1,"Undersecured","Secured")</f>
        <v>Undersecured</v>
      </c>
      <c r="P1206" t="str">
        <f>_xlfn.XLOOKUP(Loans[[#This Row],[BranchCode]],BranchesTbl[BranchCode],BranchesTbl[BranchName])</f>
        <v>Karen</v>
      </c>
      <c r="Q1206">
        <f>_xlfn.XLOOKUP(Loans[[#This Row],[CustomerID]],CustomerTbl[CustomerID],CustomerTbl[RiskScore])</f>
        <v>446</v>
      </c>
      <c r="R1206" t="str">
        <f>IFERROR(INDEX(RiskTbl[Risk_Category],MATCH(Loans[[#This Row],[RiskScore]],RiskTbl[Score_Min],1)),"Unknown")</f>
        <v>High Risk</v>
      </c>
      <c r="S1206" t="str">
        <f>IF(OR(Loans[[#This Row],[LoanStatus]]="Default",Loans[[#This Row],[LoanStatus]]="Watchlist",Loans[[#This Row],[CollateralRisk]]="Undersecured",Loans[[#This Row],[RiskCategory]]="High Risk"),"High Risk Exposure","Normal")</f>
        <v>High Risk Exposure</v>
      </c>
      <c r="T1206" t="str" cm="1">
        <f t="array" ref="T1206">_xlfn.IFS(
Loans[[#This Row],[LoanStatus]]="Default","Critical",
OR(Loans[[#This Row],[LoanStatus]]="Watchlist",Loans[[#This Row],[CollateralRisk]]="Undersecured",Loans[[#This Row],[RiskCategory]]="High Risk"),"High",
TRUE,"Normal"
)</f>
        <v>High</v>
      </c>
    </row>
    <row r="1207" spans="1:20" x14ac:dyDescent="0.35">
      <c r="A1207" t="s">
        <v>1963</v>
      </c>
      <c r="B1207" t="s">
        <v>464</v>
      </c>
      <c r="C1207" t="s">
        <v>190</v>
      </c>
      <c r="D1207" t="s">
        <v>157</v>
      </c>
      <c r="E1207" s="34">
        <v>6000000</v>
      </c>
      <c r="F1207" s="29">
        <v>0.12859999999999999</v>
      </c>
      <c r="G1207" s="30">
        <v>45927</v>
      </c>
      <c r="H1207">
        <v>48</v>
      </c>
      <c r="I1207">
        <v>45</v>
      </c>
      <c r="J1207" s="34">
        <v>4380000</v>
      </c>
      <c r="K1207" t="s">
        <v>199</v>
      </c>
      <c r="L1207" s="34">
        <f>PMT(Loans[[#This Row],[InterestRate]]/12,Loans[[#This Row],[LoanTenureMonths]],-Loans[[#This Row],[LoanAmount]])</f>
        <v>160548.37507092656</v>
      </c>
      <c r="M1207" s="30">
        <f>EDATE(Loans[[#This Row],[LoanStartDate]],Loans[[#This Row],[LoanTenureMonths]])</f>
        <v>47388</v>
      </c>
      <c r="N1207" s="33">
        <f>IF(Loans[[#This Row],[LoanAmount]]=0,0,Loans[[#This Row],[CollateralValue]]/Loans[[#This Row],[LoanAmount]])</f>
        <v>0.73</v>
      </c>
      <c r="O1207" t="str">
        <f>IF(Loans[[#This Row],[CollateralCoverageRatio]]&lt;1,"Undersecured","Secured")</f>
        <v>Undersecured</v>
      </c>
      <c r="P1207" t="str">
        <f>_xlfn.XLOOKUP(Loans[[#This Row],[BranchCode]],BranchesTbl[BranchCode],BranchesTbl[BranchName])</f>
        <v>Nyeri</v>
      </c>
      <c r="Q1207">
        <f>_xlfn.XLOOKUP(Loans[[#This Row],[CustomerID]],CustomerTbl[CustomerID],CustomerTbl[RiskScore])</f>
        <v>306</v>
      </c>
      <c r="R1207" t="str">
        <f>IFERROR(INDEX(RiskTbl[Risk_Category],MATCH(Loans[[#This Row],[RiskScore]],RiskTbl[Score_Min],1)),"Unknown")</f>
        <v>High Risk</v>
      </c>
      <c r="S1207" t="str">
        <f>IF(OR(Loans[[#This Row],[LoanStatus]]="Default",Loans[[#This Row],[LoanStatus]]="Watchlist",Loans[[#This Row],[CollateralRisk]]="Undersecured",Loans[[#This Row],[RiskCategory]]="High Risk"),"High Risk Exposure","Normal")</f>
        <v>High Risk Exposure</v>
      </c>
      <c r="T1207" t="str" cm="1">
        <f t="array" ref="T1207">_xlfn.IFS(
Loans[[#This Row],[LoanStatus]]="Default","Critical",
OR(Loans[[#This Row],[LoanStatus]]="Watchlist",Loans[[#This Row],[CollateralRisk]]="Undersecured",Loans[[#This Row],[RiskCategory]]="High Risk"),"High",
TRUE,"Normal"
)</f>
        <v>High</v>
      </c>
    </row>
    <row r="1208" spans="1:20" x14ac:dyDescent="0.35">
      <c r="A1208" t="s">
        <v>1964</v>
      </c>
      <c r="B1208" t="s">
        <v>225</v>
      </c>
      <c r="C1208" t="s">
        <v>170</v>
      </c>
      <c r="D1208" t="s">
        <v>157</v>
      </c>
      <c r="E1208" s="34">
        <v>80000000</v>
      </c>
      <c r="F1208" s="29">
        <v>9.4899999999999998E-2</v>
      </c>
      <c r="G1208" s="30">
        <v>45949</v>
      </c>
      <c r="H1208">
        <v>12</v>
      </c>
      <c r="I1208">
        <v>0</v>
      </c>
      <c r="J1208" s="34">
        <v>81600000</v>
      </c>
      <c r="K1208" t="s">
        <v>171</v>
      </c>
      <c r="L1208" s="34">
        <f>PMT(Loans[[#This Row],[InterestRate]]/12,Loans[[#This Row],[LoanTenureMonths]],-Loans[[#This Row],[LoanAmount]])</f>
        <v>7014309.4189342186</v>
      </c>
      <c r="M1208" s="30">
        <f>EDATE(Loans[[#This Row],[LoanStartDate]],Loans[[#This Row],[LoanTenureMonths]])</f>
        <v>46314</v>
      </c>
      <c r="N1208" s="33">
        <f>IF(Loans[[#This Row],[LoanAmount]]=0,0,Loans[[#This Row],[CollateralValue]]/Loans[[#This Row],[LoanAmount]])</f>
        <v>1.02</v>
      </c>
      <c r="O1208" t="str">
        <f>IF(Loans[[#This Row],[CollateralCoverageRatio]]&lt;1,"Undersecured","Secured")</f>
        <v>Secured</v>
      </c>
      <c r="P1208" t="str">
        <f>_xlfn.XLOOKUP(Loans[[#This Row],[BranchCode]],BranchesTbl[BranchCode],BranchesTbl[BranchName])</f>
        <v>Thika</v>
      </c>
      <c r="Q1208">
        <f>_xlfn.XLOOKUP(Loans[[#This Row],[CustomerID]],CustomerTbl[CustomerID],CustomerTbl[RiskScore])</f>
        <v>717</v>
      </c>
      <c r="R1208" t="str">
        <f>IFERROR(INDEX(RiskTbl[Risk_Category],MATCH(Loans[[#This Row],[RiskScore]],RiskTbl[Score_Min],1)),"Unknown")</f>
        <v>Low Risk</v>
      </c>
      <c r="S1208" t="str">
        <f>IF(OR(Loans[[#This Row],[LoanStatus]]="Default",Loans[[#This Row],[LoanStatus]]="Watchlist",Loans[[#This Row],[CollateralRisk]]="Undersecured",Loans[[#This Row],[RiskCategory]]="High Risk"),"High Risk Exposure","Normal")</f>
        <v>Normal</v>
      </c>
      <c r="T1208" t="str" cm="1">
        <f t="array" ref="T1208">_xlfn.IFS(
Loans[[#This Row],[LoanStatus]]="Default","Critical",
OR(Loans[[#This Row],[LoanStatus]]="Watchlist",Loans[[#This Row],[CollateralRisk]]="Undersecured",Loans[[#This Row],[RiskCategory]]="High Risk"),"High",
TRUE,"Normal"
)</f>
        <v>Normal</v>
      </c>
    </row>
    <row r="1209" spans="1:20" x14ac:dyDescent="0.35">
      <c r="A1209" t="s">
        <v>1965</v>
      </c>
      <c r="B1209" t="s">
        <v>1709</v>
      </c>
      <c r="C1209" t="s">
        <v>219</v>
      </c>
      <c r="D1209" t="s">
        <v>157</v>
      </c>
      <c r="E1209" s="34">
        <v>25000000</v>
      </c>
      <c r="F1209" s="29">
        <v>9.2399999999999996E-2</v>
      </c>
      <c r="G1209" s="30">
        <v>44867</v>
      </c>
      <c r="H1209">
        <v>72</v>
      </c>
      <c r="I1209">
        <v>0</v>
      </c>
      <c r="J1209" s="34">
        <v>23500000</v>
      </c>
      <c r="K1209" t="s">
        <v>171</v>
      </c>
      <c r="L1209" s="34">
        <f>PMT(Loans[[#This Row],[InterestRate]]/12,Loans[[#This Row],[LoanTenureMonths]],-Loans[[#This Row],[LoanAmount]])</f>
        <v>453622.04132255266</v>
      </c>
      <c r="M1209" s="30">
        <f>EDATE(Loans[[#This Row],[LoanStartDate]],Loans[[#This Row],[LoanTenureMonths]])</f>
        <v>47059</v>
      </c>
      <c r="N1209" s="33">
        <f>IF(Loans[[#This Row],[LoanAmount]]=0,0,Loans[[#This Row],[CollateralValue]]/Loans[[#This Row],[LoanAmount]])</f>
        <v>0.94</v>
      </c>
      <c r="O1209" t="str">
        <f>IF(Loans[[#This Row],[CollateralCoverageRatio]]&lt;1,"Undersecured","Secured")</f>
        <v>Undersecured</v>
      </c>
      <c r="P1209" t="str">
        <f>_xlfn.XLOOKUP(Loans[[#This Row],[BranchCode]],BranchesTbl[BranchCode],BranchesTbl[BranchName])</f>
        <v>Meru</v>
      </c>
      <c r="Q1209">
        <f>_xlfn.XLOOKUP(Loans[[#This Row],[CustomerID]],CustomerTbl[CustomerID],CustomerTbl[RiskScore])</f>
        <v>525</v>
      </c>
      <c r="R1209" t="str">
        <f>IFERROR(INDEX(RiskTbl[Risk_Category],MATCH(Loans[[#This Row],[RiskScore]],RiskTbl[Score_Min],1)),"Unknown")</f>
        <v>High Risk</v>
      </c>
      <c r="S1209" t="str">
        <f>IF(OR(Loans[[#This Row],[LoanStatus]]="Default",Loans[[#This Row],[LoanStatus]]="Watchlist",Loans[[#This Row],[CollateralRisk]]="Undersecured",Loans[[#This Row],[RiskCategory]]="High Risk"),"High Risk Exposure","Normal")</f>
        <v>High Risk Exposure</v>
      </c>
      <c r="T1209" t="str" cm="1">
        <f t="array" ref="T1209">_xlfn.IFS(
Loans[[#This Row],[LoanStatus]]="Default","Critical",
OR(Loans[[#This Row],[LoanStatus]]="Watchlist",Loans[[#This Row],[CollateralRisk]]="Undersecured",Loans[[#This Row],[RiskCategory]]="High Risk"),"High",
TRUE,"Normal"
)</f>
        <v>High</v>
      </c>
    </row>
    <row r="1210" spans="1:20" x14ac:dyDescent="0.35">
      <c r="A1210" t="s">
        <v>1966</v>
      </c>
      <c r="B1210" t="s">
        <v>284</v>
      </c>
      <c r="C1210" t="s">
        <v>184</v>
      </c>
      <c r="D1210" t="s">
        <v>157</v>
      </c>
      <c r="E1210" s="34">
        <v>80000000</v>
      </c>
      <c r="F1210" s="29">
        <v>9.9299999999999999E-2</v>
      </c>
      <c r="G1210" s="30">
        <v>45431</v>
      </c>
      <c r="H1210">
        <v>48</v>
      </c>
      <c r="I1210">
        <v>0</v>
      </c>
      <c r="J1210" s="34">
        <v>88000000</v>
      </c>
      <c r="K1210" t="s">
        <v>171</v>
      </c>
      <c r="L1210" s="34">
        <f>PMT(Loans[[#This Row],[InterestRate]]/12,Loans[[#This Row],[LoanTenureMonths]],-Loans[[#This Row],[LoanAmount]])</f>
        <v>2026318.3661610147</v>
      </c>
      <c r="M1210" s="30">
        <f>EDATE(Loans[[#This Row],[LoanStartDate]],Loans[[#This Row],[LoanTenureMonths]])</f>
        <v>46892</v>
      </c>
      <c r="N1210" s="33">
        <f>IF(Loans[[#This Row],[LoanAmount]]=0,0,Loans[[#This Row],[CollateralValue]]/Loans[[#This Row],[LoanAmount]])</f>
        <v>1.1000000000000001</v>
      </c>
      <c r="O1210" t="str">
        <f>IF(Loans[[#This Row],[CollateralCoverageRatio]]&lt;1,"Undersecured","Secured")</f>
        <v>Secured</v>
      </c>
      <c r="P1210" t="str">
        <f>_xlfn.XLOOKUP(Loans[[#This Row],[BranchCode]],BranchesTbl[BranchCode],BranchesTbl[BranchName])</f>
        <v>Kisumu</v>
      </c>
      <c r="Q1210">
        <f>_xlfn.XLOOKUP(Loans[[#This Row],[CustomerID]],CustomerTbl[CustomerID],CustomerTbl[RiskScore])</f>
        <v>822</v>
      </c>
      <c r="R1210" t="str">
        <f>IFERROR(INDEX(RiskTbl[Risk_Category],MATCH(Loans[[#This Row],[RiskScore]],RiskTbl[Score_Min],1)),"Unknown")</f>
        <v>Prime</v>
      </c>
      <c r="S1210" t="str">
        <f>IF(OR(Loans[[#This Row],[LoanStatus]]="Default",Loans[[#This Row],[LoanStatus]]="Watchlist",Loans[[#This Row],[CollateralRisk]]="Undersecured",Loans[[#This Row],[RiskCategory]]="High Risk"),"High Risk Exposure","Normal")</f>
        <v>Normal</v>
      </c>
      <c r="T1210" t="str" cm="1">
        <f t="array" ref="T1210">_xlfn.IFS(
Loans[[#This Row],[LoanStatus]]="Default","Critical",
OR(Loans[[#This Row],[LoanStatus]]="Watchlist",Loans[[#This Row],[CollateralRisk]]="Undersecured",Loans[[#This Row],[RiskCategory]]="High Risk"),"High",
TRUE,"Normal"
)</f>
        <v>Normal</v>
      </c>
    </row>
    <row r="1211" spans="1:20" x14ac:dyDescent="0.35">
      <c r="A1211" t="s">
        <v>1967</v>
      </c>
      <c r="B1211" t="s">
        <v>375</v>
      </c>
      <c r="C1211" t="s">
        <v>206</v>
      </c>
      <c r="D1211" t="s">
        <v>156</v>
      </c>
      <c r="E1211" s="34">
        <v>1000000</v>
      </c>
      <c r="F1211" s="29">
        <v>0.21920000000000001</v>
      </c>
      <c r="G1211" s="30">
        <v>44138</v>
      </c>
      <c r="H1211">
        <v>24</v>
      </c>
      <c r="I1211">
        <v>90</v>
      </c>
      <c r="J1211" s="34">
        <v>760000</v>
      </c>
      <c r="K1211" t="s">
        <v>199</v>
      </c>
      <c r="L1211" s="34">
        <f>PMT(Loans[[#This Row],[InterestRate]]/12,Loans[[#This Row],[LoanTenureMonths]],-Loans[[#This Row],[LoanAmount]])</f>
        <v>51838.656814681883</v>
      </c>
      <c r="M1211" s="30">
        <f>EDATE(Loans[[#This Row],[LoanStartDate]],Loans[[#This Row],[LoanTenureMonths]])</f>
        <v>44868</v>
      </c>
      <c r="N1211" s="33">
        <f>IF(Loans[[#This Row],[LoanAmount]]=0,0,Loans[[#This Row],[CollateralValue]]/Loans[[#This Row],[LoanAmount]])</f>
        <v>0.76</v>
      </c>
      <c r="O1211" t="str">
        <f>IF(Loans[[#This Row],[CollateralCoverageRatio]]&lt;1,"Undersecured","Secured")</f>
        <v>Undersecured</v>
      </c>
      <c r="P1211" t="str">
        <f>_xlfn.XLOOKUP(Loans[[#This Row],[BranchCode]],BranchesTbl[BranchCode],BranchesTbl[BranchName])</f>
        <v>Nyahururu</v>
      </c>
      <c r="Q1211">
        <f>_xlfn.XLOOKUP(Loans[[#This Row],[CustomerID]],CustomerTbl[CustomerID],CustomerTbl[RiskScore])</f>
        <v>358</v>
      </c>
      <c r="R1211" t="str">
        <f>IFERROR(INDEX(RiskTbl[Risk_Category],MATCH(Loans[[#This Row],[RiskScore]],RiskTbl[Score_Min],1)),"Unknown")</f>
        <v>High Risk</v>
      </c>
      <c r="S1211" t="str">
        <f>IF(OR(Loans[[#This Row],[LoanStatus]]="Default",Loans[[#This Row],[LoanStatus]]="Watchlist",Loans[[#This Row],[CollateralRisk]]="Undersecured",Loans[[#This Row],[RiskCategory]]="High Risk"),"High Risk Exposure","Normal")</f>
        <v>High Risk Exposure</v>
      </c>
      <c r="T1211" t="str" cm="1">
        <f t="array" ref="T1211">_xlfn.IFS(
Loans[[#This Row],[LoanStatus]]="Default","Critical",
OR(Loans[[#This Row],[LoanStatus]]="Watchlist",Loans[[#This Row],[CollateralRisk]]="Undersecured",Loans[[#This Row],[RiskCategory]]="High Risk"),"High",
TRUE,"Normal"
)</f>
        <v>High</v>
      </c>
    </row>
    <row r="1212" spans="1:20" x14ac:dyDescent="0.35">
      <c r="A1212" t="s">
        <v>1968</v>
      </c>
      <c r="B1212" t="s">
        <v>585</v>
      </c>
      <c r="C1212" t="s">
        <v>232</v>
      </c>
      <c r="D1212" t="s">
        <v>155</v>
      </c>
      <c r="E1212" s="34">
        <v>100000</v>
      </c>
      <c r="F1212" s="29">
        <v>0.2157</v>
      </c>
      <c r="G1212" s="30">
        <v>44817</v>
      </c>
      <c r="H1212">
        <v>36</v>
      </c>
      <c r="I1212">
        <v>5</v>
      </c>
      <c r="J1212" s="34">
        <v>0</v>
      </c>
      <c r="K1212" t="s">
        <v>171</v>
      </c>
      <c r="L1212" s="34">
        <f>PMT(Loans[[#This Row],[InterestRate]]/12,Loans[[#This Row],[LoanTenureMonths]],-Loans[[#This Row],[LoanAmount]])</f>
        <v>3796.8360319583826</v>
      </c>
      <c r="M1212" s="30">
        <f>EDATE(Loans[[#This Row],[LoanStartDate]],Loans[[#This Row],[LoanTenureMonths]])</f>
        <v>45913</v>
      </c>
      <c r="N1212" s="33">
        <f>IF(Loans[[#This Row],[LoanAmount]]=0,0,Loans[[#This Row],[CollateralValue]]/Loans[[#This Row],[LoanAmount]])</f>
        <v>0</v>
      </c>
      <c r="O1212" t="str">
        <f>IF(Loans[[#This Row],[CollateralCoverageRatio]]&lt;1,"Undersecured","Secured")</f>
        <v>Undersecured</v>
      </c>
      <c r="P1212" t="str">
        <f>_xlfn.XLOOKUP(Loans[[#This Row],[BranchCode]],BranchesTbl[BranchCode],BranchesTbl[BranchName])</f>
        <v>Upper Hill</v>
      </c>
      <c r="Q1212">
        <f>_xlfn.XLOOKUP(Loans[[#This Row],[CustomerID]],CustomerTbl[CustomerID],CustomerTbl[RiskScore])</f>
        <v>623</v>
      </c>
      <c r="R1212" t="str">
        <f>IFERROR(INDEX(RiskTbl[Risk_Category],MATCH(Loans[[#This Row],[RiskScore]],RiskTbl[Score_Min],1)),"Unknown")</f>
        <v>Medium Risk</v>
      </c>
      <c r="S1212" t="str">
        <f>IF(OR(Loans[[#This Row],[LoanStatus]]="Default",Loans[[#This Row],[LoanStatus]]="Watchlist",Loans[[#This Row],[CollateralRisk]]="Undersecured",Loans[[#This Row],[RiskCategory]]="High Risk"),"High Risk Exposure","Normal")</f>
        <v>High Risk Exposure</v>
      </c>
      <c r="T1212" t="str" cm="1">
        <f t="array" ref="T1212">_xlfn.IFS(
Loans[[#This Row],[LoanStatus]]="Default","Critical",
OR(Loans[[#This Row],[LoanStatus]]="Watchlist",Loans[[#This Row],[CollateralRisk]]="Undersecured",Loans[[#This Row],[RiskCategory]]="High Risk"),"High",
TRUE,"Normal"
)</f>
        <v>High</v>
      </c>
    </row>
    <row r="1213" spans="1:20" x14ac:dyDescent="0.35">
      <c r="A1213" t="s">
        <v>1969</v>
      </c>
      <c r="B1213" t="s">
        <v>509</v>
      </c>
      <c r="C1213" t="s">
        <v>239</v>
      </c>
      <c r="D1213" t="s">
        <v>158</v>
      </c>
      <c r="E1213" s="34">
        <v>6000000</v>
      </c>
      <c r="F1213" s="29">
        <v>0.16689999999999999</v>
      </c>
      <c r="G1213" s="30">
        <v>44101</v>
      </c>
      <c r="H1213">
        <v>24</v>
      </c>
      <c r="I1213">
        <v>0</v>
      </c>
      <c r="J1213" s="34">
        <v>5100000</v>
      </c>
      <c r="K1213" t="s">
        <v>171</v>
      </c>
      <c r="L1213" s="34">
        <f>PMT(Loans[[#This Row],[InterestRate]]/12,Loans[[#This Row],[LoanTenureMonths]],-Loans[[#This Row],[LoanAmount]])</f>
        <v>295760.63442901487</v>
      </c>
      <c r="M1213" s="30">
        <f>EDATE(Loans[[#This Row],[LoanStartDate]],Loans[[#This Row],[LoanTenureMonths]])</f>
        <v>44831</v>
      </c>
      <c r="N1213" s="33">
        <f>IF(Loans[[#This Row],[LoanAmount]]=0,0,Loans[[#This Row],[CollateralValue]]/Loans[[#This Row],[LoanAmount]])</f>
        <v>0.85</v>
      </c>
      <c r="O1213" t="str">
        <f>IF(Loans[[#This Row],[CollateralCoverageRatio]]&lt;1,"Undersecured","Secured")</f>
        <v>Undersecured</v>
      </c>
      <c r="P1213" t="str">
        <f>_xlfn.XLOOKUP(Loans[[#This Row],[BranchCode]],BranchesTbl[BranchCode],BranchesTbl[BranchName])</f>
        <v>Machakos</v>
      </c>
      <c r="Q1213">
        <f>_xlfn.XLOOKUP(Loans[[#This Row],[CustomerID]],CustomerTbl[CustomerID],CustomerTbl[RiskScore])</f>
        <v>733</v>
      </c>
      <c r="R1213" t="str">
        <f>IFERROR(INDEX(RiskTbl[Risk_Category],MATCH(Loans[[#This Row],[RiskScore]],RiskTbl[Score_Min],1)),"Unknown")</f>
        <v>Low Risk</v>
      </c>
      <c r="S1213" t="str">
        <f>IF(OR(Loans[[#This Row],[LoanStatus]]="Default",Loans[[#This Row],[LoanStatus]]="Watchlist",Loans[[#This Row],[CollateralRisk]]="Undersecured",Loans[[#This Row],[RiskCategory]]="High Risk"),"High Risk Exposure","Normal")</f>
        <v>High Risk Exposure</v>
      </c>
      <c r="T1213" t="str" cm="1">
        <f t="array" ref="T1213">_xlfn.IFS(
Loans[[#This Row],[LoanStatus]]="Default","Critical",
OR(Loans[[#This Row],[LoanStatus]]="Watchlist",Loans[[#This Row],[CollateralRisk]]="Undersecured",Loans[[#This Row],[RiskCategory]]="High Risk"),"High",
TRUE,"Normal"
)</f>
        <v>High</v>
      </c>
    </row>
    <row r="1214" spans="1:20" x14ac:dyDescent="0.35">
      <c r="A1214" t="s">
        <v>1970</v>
      </c>
      <c r="B1214" t="s">
        <v>1227</v>
      </c>
      <c r="C1214" t="s">
        <v>267</v>
      </c>
      <c r="D1214" t="s">
        <v>155</v>
      </c>
      <c r="E1214" s="34">
        <v>500000</v>
      </c>
      <c r="F1214" s="29">
        <v>0.19869999999999999</v>
      </c>
      <c r="G1214" s="30">
        <v>45392</v>
      </c>
      <c r="H1214">
        <v>24</v>
      </c>
      <c r="I1214">
        <v>90</v>
      </c>
      <c r="J1214" s="34">
        <v>0</v>
      </c>
      <c r="K1214" t="s">
        <v>199</v>
      </c>
      <c r="L1214" s="34">
        <f>PMT(Loans[[#This Row],[InterestRate]]/12,Loans[[#This Row],[LoanTenureMonths]],-Loans[[#This Row],[LoanAmount]])</f>
        <v>25416.158896329558</v>
      </c>
      <c r="M1214" s="30">
        <f>EDATE(Loans[[#This Row],[LoanStartDate]],Loans[[#This Row],[LoanTenureMonths]])</f>
        <v>46122</v>
      </c>
      <c r="N1214" s="33">
        <f>IF(Loans[[#This Row],[LoanAmount]]=0,0,Loans[[#This Row],[CollateralValue]]/Loans[[#This Row],[LoanAmount]])</f>
        <v>0</v>
      </c>
      <c r="O1214" t="str">
        <f>IF(Loans[[#This Row],[CollateralCoverageRatio]]&lt;1,"Undersecured","Secured")</f>
        <v>Undersecured</v>
      </c>
      <c r="P1214" t="str">
        <f>_xlfn.XLOOKUP(Loans[[#This Row],[BranchCode]],BranchesTbl[BranchCode],BranchesTbl[BranchName])</f>
        <v>Malindi</v>
      </c>
      <c r="Q1214">
        <f>_xlfn.XLOOKUP(Loans[[#This Row],[CustomerID]],CustomerTbl[CustomerID],CustomerTbl[RiskScore])</f>
        <v>430</v>
      </c>
      <c r="R1214" t="str">
        <f>IFERROR(INDEX(RiskTbl[Risk_Category],MATCH(Loans[[#This Row],[RiskScore]],RiskTbl[Score_Min],1)),"Unknown")</f>
        <v>High Risk</v>
      </c>
      <c r="S1214" t="str">
        <f>IF(OR(Loans[[#This Row],[LoanStatus]]="Default",Loans[[#This Row],[LoanStatus]]="Watchlist",Loans[[#This Row],[CollateralRisk]]="Undersecured",Loans[[#This Row],[RiskCategory]]="High Risk"),"High Risk Exposure","Normal")</f>
        <v>High Risk Exposure</v>
      </c>
      <c r="T1214" t="str" cm="1">
        <f t="array" ref="T1214">_xlfn.IFS(
Loans[[#This Row],[LoanStatus]]="Default","Critical",
OR(Loans[[#This Row],[LoanStatus]]="Watchlist",Loans[[#This Row],[CollateralRisk]]="Undersecured",Loans[[#This Row],[RiskCategory]]="High Risk"),"High",
TRUE,"Normal"
)</f>
        <v>High</v>
      </c>
    </row>
    <row r="1215" spans="1:20" x14ac:dyDescent="0.35">
      <c r="A1215" t="s">
        <v>1971</v>
      </c>
      <c r="B1215" t="s">
        <v>1787</v>
      </c>
      <c r="C1215" t="s">
        <v>239</v>
      </c>
      <c r="D1215" t="s">
        <v>155</v>
      </c>
      <c r="E1215" s="34">
        <v>500000</v>
      </c>
      <c r="F1215" s="29">
        <v>0.1802</v>
      </c>
      <c r="G1215" s="30">
        <v>45399</v>
      </c>
      <c r="H1215">
        <v>12</v>
      </c>
      <c r="I1215">
        <v>10</v>
      </c>
      <c r="J1215" s="34">
        <v>0</v>
      </c>
      <c r="K1215" t="s">
        <v>171</v>
      </c>
      <c r="L1215" s="34">
        <f>PMT(Loans[[#This Row],[InterestRate]]/12,Loans[[#This Row],[LoanTenureMonths]],-Loans[[#This Row],[LoanAmount]])</f>
        <v>45844.755721843401</v>
      </c>
      <c r="M1215" s="30">
        <f>EDATE(Loans[[#This Row],[LoanStartDate]],Loans[[#This Row],[LoanTenureMonths]])</f>
        <v>45764</v>
      </c>
      <c r="N1215" s="33">
        <f>IF(Loans[[#This Row],[LoanAmount]]=0,0,Loans[[#This Row],[CollateralValue]]/Loans[[#This Row],[LoanAmount]])</f>
        <v>0</v>
      </c>
      <c r="O1215" t="str">
        <f>IF(Loans[[#This Row],[CollateralCoverageRatio]]&lt;1,"Undersecured","Secured")</f>
        <v>Undersecured</v>
      </c>
      <c r="P1215" t="str">
        <f>_xlfn.XLOOKUP(Loans[[#This Row],[BranchCode]],BranchesTbl[BranchCode],BranchesTbl[BranchName])</f>
        <v>Machakos</v>
      </c>
      <c r="Q1215">
        <f>_xlfn.XLOOKUP(Loans[[#This Row],[CustomerID]],CustomerTbl[CustomerID],CustomerTbl[RiskScore])</f>
        <v>487</v>
      </c>
      <c r="R1215" t="str">
        <f>IFERROR(INDEX(RiskTbl[Risk_Category],MATCH(Loans[[#This Row],[RiskScore]],RiskTbl[Score_Min],1)),"Unknown")</f>
        <v>High Risk</v>
      </c>
      <c r="S1215" t="str">
        <f>IF(OR(Loans[[#This Row],[LoanStatus]]="Default",Loans[[#This Row],[LoanStatus]]="Watchlist",Loans[[#This Row],[CollateralRisk]]="Undersecured",Loans[[#This Row],[RiskCategory]]="High Risk"),"High Risk Exposure","Normal")</f>
        <v>High Risk Exposure</v>
      </c>
      <c r="T1215" t="str" cm="1">
        <f t="array" ref="T1215">_xlfn.IFS(
Loans[[#This Row],[LoanStatus]]="Default","Critical",
OR(Loans[[#This Row],[LoanStatus]]="Watchlist",Loans[[#This Row],[CollateralRisk]]="Undersecured",Loans[[#This Row],[RiskCategory]]="High Risk"),"High",
TRUE,"Normal"
)</f>
        <v>High</v>
      </c>
    </row>
    <row r="1216" spans="1:20" x14ac:dyDescent="0.35">
      <c r="A1216" t="s">
        <v>1972</v>
      </c>
      <c r="B1216" t="s">
        <v>1592</v>
      </c>
      <c r="C1216" t="s">
        <v>206</v>
      </c>
      <c r="D1216" t="s">
        <v>155</v>
      </c>
      <c r="E1216" s="34">
        <v>250000</v>
      </c>
      <c r="F1216" s="29">
        <v>0.2586</v>
      </c>
      <c r="G1216" s="30">
        <v>44919</v>
      </c>
      <c r="H1216">
        <v>48</v>
      </c>
      <c r="I1216">
        <v>0</v>
      </c>
      <c r="J1216" s="34">
        <v>0</v>
      </c>
      <c r="K1216" t="s">
        <v>171</v>
      </c>
      <c r="L1216" s="34">
        <f>PMT(Loans[[#This Row],[InterestRate]]/12,Loans[[#This Row],[LoanTenureMonths]],-Loans[[#This Row],[LoanAmount]])</f>
        <v>8409.6473374681827</v>
      </c>
      <c r="M1216" s="30">
        <f>EDATE(Loans[[#This Row],[LoanStartDate]],Loans[[#This Row],[LoanTenureMonths]])</f>
        <v>46380</v>
      </c>
      <c r="N1216" s="33">
        <f>IF(Loans[[#This Row],[LoanAmount]]=0,0,Loans[[#This Row],[CollateralValue]]/Loans[[#This Row],[LoanAmount]])</f>
        <v>0</v>
      </c>
      <c r="O1216" t="str">
        <f>IF(Loans[[#This Row],[CollateralCoverageRatio]]&lt;1,"Undersecured","Secured")</f>
        <v>Undersecured</v>
      </c>
      <c r="P1216" t="str">
        <f>_xlfn.XLOOKUP(Loans[[#This Row],[BranchCode]],BranchesTbl[BranchCode],BranchesTbl[BranchName])</f>
        <v>Nyahururu</v>
      </c>
      <c r="Q1216">
        <f>_xlfn.XLOOKUP(Loans[[#This Row],[CustomerID]],CustomerTbl[CustomerID],CustomerTbl[RiskScore])</f>
        <v>641</v>
      </c>
      <c r="R1216" t="str">
        <f>IFERROR(INDEX(RiskTbl[Risk_Category],MATCH(Loans[[#This Row],[RiskScore]],RiskTbl[Score_Min],1)),"Unknown")</f>
        <v>Medium Risk</v>
      </c>
      <c r="S1216" t="str">
        <f>IF(OR(Loans[[#This Row],[LoanStatus]]="Default",Loans[[#This Row],[LoanStatus]]="Watchlist",Loans[[#This Row],[CollateralRisk]]="Undersecured",Loans[[#This Row],[RiskCategory]]="High Risk"),"High Risk Exposure","Normal")</f>
        <v>High Risk Exposure</v>
      </c>
      <c r="T1216" t="str" cm="1">
        <f t="array" ref="T1216">_xlfn.IFS(
Loans[[#This Row],[LoanStatus]]="Default","Critical",
OR(Loans[[#This Row],[LoanStatus]]="Watchlist",Loans[[#This Row],[CollateralRisk]]="Undersecured",Loans[[#This Row],[RiskCategory]]="High Risk"),"High",
TRUE,"Normal"
)</f>
        <v>High</v>
      </c>
    </row>
    <row r="1217" spans="1:20" x14ac:dyDescent="0.35">
      <c r="A1217" t="s">
        <v>1973</v>
      </c>
      <c r="B1217" t="s">
        <v>1426</v>
      </c>
      <c r="C1217" t="s">
        <v>177</v>
      </c>
      <c r="D1217" t="s">
        <v>156</v>
      </c>
      <c r="E1217" s="34">
        <v>6000000</v>
      </c>
      <c r="F1217" s="29">
        <v>0.1862</v>
      </c>
      <c r="G1217" s="30">
        <v>45791</v>
      </c>
      <c r="H1217">
        <v>24</v>
      </c>
      <c r="I1217">
        <v>0</v>
      </c>
      <c r="J1217" s="34">
        <v>7440000</v>
      </c>
      <c r="K1217" t="s">
        <v>171</v>
      </c>
      <c r="L1217" s="34">
        <f>PMT(Loans[[#This Row],[InterestRate]]/12,Loans[[#This Row],[LoanTenureMonths]],-Loans[[#This Row],[LoanAmount]])</f>
        <v>301345.11884345987</v>
      </c>
      <c r="M1217" s="30">
        <f>EDATE(Loans[[#This Row],[LoanStartDate]],Loans[[#This Row],[LoanTenureMonths]])</f>
        <v>46521</v>
      </c>
      <c r="N1217" s="33">
        <f>IF(Loans[[#This Row],[LoanAmount]]=0,0,Loans[[#This Row],[CollateralValue]]/Loans[[#This Row],[LoanAmount]])</f>
        <v>1.24</v>
      </c>
      <c r="O1217" t="str">
        <f>IF(Loans[[#This Row],[CollateralCoverageRatio]]&lt;1,"Undersecured","Secured")</f>
        <v>Secured</v>
      </c>
      <c r="P1217" t="str">
        <f>_xlfn.XLOOKUP(Loans[[#This Row],[BranchCode]],BranchesTbl[BranchCode],BranchesTbl[BranchName])</f>
        <v>Naivasha</v>
      </c>
      <c r="Q1217">
        <f>_xlfn.XLOOKUP(Loans[[#This Row],[CustomerID]],CustomerTbl[CustomerID],CustomerTbl[RiskScore])</f>
        <v>799</v>
      </c>
      <c r="R1217" t="str">
        <f>IFERROR(INDEX(RiskTbl[Risk_Category],MATCH(Loans[[#This Row],[RiskScore]],RiskTbl[Score_Min],1)),"Unknown")</f>
        <v>Very Low Risk</v>
      </c>
      <c r="S1217" t="str">
        <f>IF(OR(Loans[[#This Row],[LoanStatus]]="Default",Loans[[#This Row],[LoanStatus]]="Watchlist",Loans[[#This Row],[CollateralRisk]]="Undersecured",Loans[[#This Row],[RiskCategory]]="High Risk"),"High Risk Exposure","Normal")</f>
        <v>Normal</v>
      </c>
      <c r="T1217" t="str" cm="1">
        <f t="array" ref="T1217">_xlfn.IFS(
Loans[[#This Row],[LoanStatus]]="Default","Critical",
OR(Loans[[#This Row],[LoanStatus]]="Watchlist",Loans[[#This Row],[CollateralRisk]]="Undersecured",Loans[[#This Row],[RiskCategory]]="High Risk"),"High",
TRUE,"Normal"
)</f>
        <v>Normal</v>
      </c>
    </row>
    <row r="1218" spans="1:20" x14ac:dyDescent="0.35">
      <c r="A1218" t="s">
        <v>1974</v>
      </c>
      <c r="B1218" t="s">
        <v>1975</v>
      </c>
      <c r="C1218" t="s">
        <v>239</v>
      </c>
      <c r="D1218" t="s">
        <v>156</v>
      </c>
      <c r="E1218" s="34">
        <v>6000000</v>
      </c>
      <c r="F1218" s="29">
        <v>0.2346</v>
      </c>
      <c r="G1218" s="30">
        <v>44892</v>
      </c>
      <c r="H1218">
        <v>72</v>
      </c>
      <c r="I1218">
        <v>10</v>
      </c>
      <c r="J1218" s="34">
        <v>4500000</v>
      </c>
      <c r="K1218" t="s">
        <v>171</v>
      </c>
      <c r="L1218" s="34">
        <f>PMT(Loans[[#This Row],[InterestRate]]/12,Loans[[#This Row],[LoanTenureMonths]],-Loans[[#This Row],[LoanAmount]])</f>
        <v>155999.94630618667</v>
      </c>
      <c r="M1218" s="30">
        <f>EDATE(Loans[[#This Row],[LoanStartDate]],Loans[[#This Row],[LoanTenureMonths]])</f>
        <v>47084</v>
      </c>
      <c r="N1218" s="33">
        <f>IF(Loans[[#This Row],[LoanAmount]]=0,0,Loans[[#This Row],[CollateralValue]]/Loans[[#This Row],[LoanAmount]])</f>
        <v>0.75</v>
      </c>
      <c r="O1218" t="str">
        <f>IF(Loans[[#This Row],[CollateralCoverageRatio]]&lt;1,"Undersecured","Secured")</f>
        <v>Undersecured</v>
      </c>
      <c r="P1218" t="str">
        <f>_xlfn.XLOOKUP(Loans[[#This Row],[BranchCode]],BranchesTbl[BranchCode],BranchesTbl[BranchName])</f>
        <v>Machakos</v>
      </c>
      <c r="Q1218">
        <f>_xlfn.XLOOKUP(Loans[[#This Row],[CustomerID]],CustomerTbl[CustomerID],CustomerTbl[RiskScore])</f>
        <v>316</v>
      </c>
      <c r="R1218" t="str">
        <f>IFERROR(INDEX(RiskTbl[Risk_Category],MATCH(Loans[[#This Row],[RiskScore]],RiskTbl[Score_Min],1)),"Unknown")</f>
        <v>High Risk</v>
      </c>
      <c r="S1218" t="str">
        <f>IF(OR(Loans[[#This Row],[LoanStatus]]="Default",Loans[[#This Row],[LoanStatus]]="Watchlist",Loans[[#This Row],[CollateralRisk]]="Undersecured",Loans[[#This Row],[RiskCategory]]="High Risk"),"High Risk Exposure","Normal")</f>
        <v>High Risk Exposure</v>
      </c>
      <c r="T1218" t="str" cm="1">
        <f t="array" ref="T1218">_xlfn.IFS(
Loans[[#This Row],[LoanStatus]]="Default","Critical",
OR(Loans[[#This Row],[LoanStatus]]="Watchlist",Loans[[#This Row],[CollateralRisk]]="Undersecured",Loans[[#This Row],[RiskCategory]]="High Risk"),"High",
TRUE,"Normal"
)</f>
        <v>High</v>
      </c>
    </row>
    <row r="1219" spans="1:20" x14ac:dyDescent="0.35">
      <c r="A1219" t="s">
        <v>1976</v>
      </c>
      <c r="B1219" t="s">
        <v>266</v>
      </c>
      <c r="C1219" t="s">
        <v>270</v>
      </c>
      <c r="D1219" t="s">
        <v>156</v>
      </c>
      <c r="E1219" s="34">
        <v>6000000</v>
      </c>
      <c r="F1219" s="29">
        <v>0.19320000000000001</v>
      </c>
      <c r="G1219" s="30">
        <v>45845</v>
      </c>
      <c r="H1219">
        <v>72</v>
      </c>
      <c r="I1219">
        <v>120</v>
      </c>
      <c r="J1219" s="34">
        <v>8580000</v>
      </c>
      <c r="K1219" t="s">
        <v>178</v>
      </c>
      <c r="L1219" s="34">
        <f>PMT(Loans[[#This Row],[InterestRate]]/12,Loans[[#This Row],[LoanTenureMonths]],-Loans[[#This Row],[LoanAmount]])</f>
        <v>141361.80390177868</v>
      </c>
      <c r="M1219" s="30">
        <f>EDATE(Loans[[#This Row],[LoanStartDate]],Loans[[#This Row],[LoanTenureMonths]])</f>
        <v>48036</v>
      </c>
      <c r="N1219" s="33">
        <f>IF(Loans[[#This Row],[LoanAmount]]=0,0,Loans[[#This Row],[CollateralValue]]/Loans[[#This Row],[LoanAmount]])</f>
        <v>1.43</v>
      </c>
      <c r="O1219" t="str">
        <f>IF(Loans[[#This Row],[CollateralCoverageRatio]]&lt;1,"Undersecured","Secured")</f>
        <v>Secured</v>
      </c>
      <c r="P1219" t="str">
        <f>_xlfn.XLOOKUP(Loans[[#This Row],[BranchCode]],BranchesTbl[BranchCode],BranchesTbl[BranchName])</f>
        <v>Nakuru</v>
      </c>
      <c r="Q1219">
        <f>_xlfn.XLOOKUP(Loans[[#This Row],[CustomerID]],CustomerTbl[CustomerID],CustomerTbl[RiskScore])</f>
        <v>511</v>
      </c>
      <c r="R1219" t="str">
        <f>IFERROR(INDEX(RiskTbl[Risk_Category],MATCH(Loans[[#This Row],[RiskScore]],RiskTbl[Score_Min],1)),"Unknown")</f>
        <v>High Risk</v>
      </c>
      <c r="S1219" t="str">
        <f>IF(OR(Loans[[#This Row],[LoanStatus]]="Default",Loans[[#This Row],[LoanStatus]]="Watchlist",Loans[[#This Row],[CollateralRisk]]="Undersecured",Loans[[#This Row],[RiskCategory]]="High Risk"),"High Risk Exposure","Normal")</f>
        <v>High Risk Exposure</v>
      </c>
      <c r="T1219" t="str" cm="1">
        <f t="array" ref="T1219">_xlfn.IFS(
Loans[[#This Row],[LoanStatus]]="Default","Critical",
OR(Loans[[#This Row],[LoanStatus]]="Watchlist",Loans[[#This Row],[CollateralRisk]]="Undersecured",Loans[[#This Row],[RiskCategory]]="High Risk"),"High",
TRUE,"Normal"
)</f>
        <v>Critical</v>
      </c>
    </row>
    <row r="1220" spans="1:20" x14ac:dyDescent="0.35">
      <c r="A1220" t="s">
        <v>1977</v>
      </c>
      <c r="B1220" t="s">
        <v>1196</v>
      </c>
      <c r="C1220" t="s">
        <v>196</v>
      </c>
      <c r="D1220" t="s">
        <v>155</v>
      </c>
      <c r="E1220" s="34">
        <v>1000000</v>
      </c>
      <c r="F1220" s="29">
        <v>0.1653</v>
      </c>
      <c r="G1220" s="30">
        <v>45372</v>
      </c>
      <c r="H1220">
        <v>36</v>
      </c>
      <c r="I1220">
        <v>5</v>
      </c>
      <c r="J1220" s="34">
        <v>0</v>
      </c>
      <c r="K1220" t="s">
        <v>171</v>
      </c>
      <c r="L1220" s="34">
        <f>PMT(Loans[[#This Row],[InterestRate]]/12,Loans[[#This Row],[LoanTenureMonths]],-Loans[[#This Row],[LoanAmount]])</f>
        <v>35419.255197050843</v>
      </c>
      <c r="M1220" s="30">
        <f>EDATE(Loans[[#This Row],[LoanStartDate]],Loans[[#This Row],[LoanTenureMonths]])</f>
        <v>46467</v>
      </c>
      <c r="N1220" s="33">
        <f>IF(Loans[[#This Row],[LoanAmount]]=0,0,Loans[[#This Row],[CollateralValue]]/Loans[[#This Row],[LoanAmount]])</f>
        <v>0</v>
      </c>
      <c r="O1220" t="str">
        <f>IF(Loans[[#This Row],[CollateralCoverageRatio]]&lt;1,"Undersecured","Secured")</f>
        <v>Undersecured</v>
      </c>
      <c r="P1220" t="str">
        <f>_xlfn.XLOOKUP(Loans[[#This Row],[BranchCode]],BranchesTbl[BranchCode],BranchesTbl[BranchName])</f>
        <v>Karen</v>
      </c>
      <c r="Q1220">
        <f>_xlfn.XLOOKUP(Loans[[#This Row],[CustomerID]],CustomerTbl[CustomerID],CustomerTbl[RiskScore])</f>
        <v>657</v>
      </c>
      <c r="R1220" t="str">
        <f>IFERROR(INDEX(RiskTbl[Risk_Category],MATCH(Loans[[#This Row],[RiskScore]],RiskTbl[Score_Min],1)),"Unknown")</f>
        <v>Medium Risk</v>
      </c>
      <c r="S1220" t="str">
        <f>IF(OR(Loans[[#This Row],[LoanStatus]]="Default",Loans[[#This Row],[LoanStatus]]="Watchlist",Loans[[#This Row],[CollateralRisk]]="Undersecured",Loans[[#This Row],[RiskCategory]]="High Risk"),"High Risk Exposure","Normal")</f>
        <v>High Risk Exposure</v>
      </c>
      <c r="T1220" t="str" cm="1">
        <f t="array" ref="T1220">_xlfn.IFS(
Loans[[#This Row],[LoanStatus]]="Default","Critical",
OR(Loans[[#This Row],[LoanStatus]]="Watchlist",Loans[[#This Row],[CollateralRisk]]="Undersecured",Loans[[#This Row],[RiskCategory]]="High Risk"),"High",
TRUE,"Normal"
)</f>
        <v>High</v>
      </c>
    </row>
    <row r="1221" spans="1:20" x14ac:dyDescent="0.35">
      <c r="A1221" t="s">
        <v>1978</v>
      </c>
      <c r="B1221" t="s">
        <v>247</v>
      </c>
      <c r="C1221" t="s">
        <v>267</v>
      </c>
      <c r="D1221" t="s">
        <v>156</v>
      </c>
      <c r="E1221" s="34">
        <v>25000000</v>
      </c>
      <c r="F1221" s="29">
        <v>0.17699999999999999</v>
      </c>
      <c r="G1221" s="30">
        <v>45627</v>
      </c>
      <c r="H1221">
        <v>12</v>
      </c>
      <c r="I1221">
        <v>120</v>
      </c>
      <c r="J1221" s="34">
        <v>31250000</v>
      </c>
      <c r="K1221" t="s">
        <v>178</v>
      </c>
      <c r="L1221" s="34">
        <f>PMT(Loans[[#This Row],[InterestRate]]/12,Loans[[#This Row],[LoanTenureMonths]],-Loans[[#This Row],[LoanAmount]])</f>
        <v>2288431.9847386833</v>
      </c>
      <c r="M1221" s="30">
        <f>EDATE(Loans[[#This Row],[LoanStartDate]],Loans[[#This Row],[LoanTenureMonths]])</f>
        <v>45992</v>
      </c>
      <c r="N1221" s="33">
        <f>IF(Loans[[#This Row],[LoanAmount]]=0,0,Loans[[#This Row],[CollateralValue]]/Loans[[#This Row],[LoanAmount]])</f>
        <v>1.25</v>
      </c>
      <c r="O1221" t="str">
        <f>IF(Loans[[#This Row],[CollateralCoverageRatio]]&lt;1,"Undersecured","Secured")</f>
        <v>Secured</v>
      </c>
      <c r="P1221" t="str">
        <f>_xlfn.XLOOKUP(Loans[[#This Row],[BranchCode]],BranchesTbl[BranchCode],BranchesTbl[BranchName])</f>
        <v>Malindi</v>
      </c>
      <c r="Q1221">
        <f>_xlfn.XLOOKUP(Loans[[#This Row],[CustomerID]],CustomerTbl[CustomerID],CustomerTbl[RiskScore])</f>
        <v>795</v>
      </c>
      <c r="R1221" t="str">
        <f>IFERROR(INDEX(RiskTbl[Risk_Category],MATCH(Loans[[#This Row],[RiskScore]],RiskTbl[Score_Min],1)),"Unknown")</f>
        <v>Very Low Risk</v>
      </c>
      <c r="S1221" t="str">
        <f>IF(OR(Loans[[#This Row],[LoanStatus]]="Default",Loans[[#This Row],[LoanStatus]]="Watchlist",Loans[[#This Row],[CollateralRisk]]="Undersecured",Loans[[#This Row],[RiskCategory]]="High Risk"),"High Risk Exposure","Normal")</f>
        <v>High Risk Exposure</v>
      </c>
      <c r="T1221" t="str" cm="1">
        <f t="array" ref="T1221">_xlfn.IFS(
Loans[[#This Row],[LoanStatus]]="Default","Critical",
OR(Loans[[#This Row],[LoanStatus]]="Watchlist",Loans[[#This Row],[CollateralRisk]]="Undersecured",Loans[[#This Row],[RiskCategory]]="High Risk"),"High",
TRUE,"Normal"
)</f>
        <v>Critical</v>
      </c>
    </row>
    <row r="1222" spans="1:20" x14ac:dyDescent="0.35">
      <c r="A1222" t="s">
        <v>1979</v>
      </c>
      <c r="B1222" t="s">
        <v>1926</v>
      </c>
      <c r="C1222" t="s">
        <v>206</v>
      </c>
      <c r="D1222" t="s">
        <v>157</v>
      </c>
      <c r="E1222" s="34">
        <v>25000000</v>
      </c>
      <c r="F1222" s="29">
        <v>9.3100000000000002E-2</v>
      </c>
      <c r="G1222" s="30">
        <v>44800</v>
      </c>
      <c r="H1222">
        <v>24</v>
      </c>
      <c r="I1222">
        <v>5</v>
      </c>
      <c r="J1222" s="34">
        <v>22000000</v>
      </c>
      <c r="K1222" t="s">
        <v>171</v>
      </c>
      <c r="L1222" s="34">
        <f>PMT(Loans[[#This Row],[InterestRate]]/12,Loans[[#This Row],[LoanTenureMonths]],-Loans[[#This Row],[LoanAmount]])</f>
        <v>1145677.6816903767</v>
      </c>
      <c r="M1222" s="30">
        <f>EDATE(Loans[[#This Row],[LoanStartDate]],Loans[[#This Row],[LoanTenureMonths]])</f>
        <v>45531</v>
      </c>
      <c r="N1222" s="33">
        <f>IF(Loans[[#This Row],[LoanAmount]]=0,0,Loans[[#This Row],[CollateralValue]]/Loans[[#This Row],[LoanAmount]])</f>
        <v>0.88</v>
      </c>
      <c r="O1222" t="str">
        <f>IF(Loans[[#This Row],[CollateralCoverageRatio]]&lt;1,"Undersecured","Secured")</f>
        <v>Undersecured</v>
      </c>
      <c r="P1222" t="str">
        <f>_xlfn.XLOOKUP(Loans[[#This Row],[BranchCode]],BranchesTbl[BranchCode],BranchesTbl[BranchName])</f>
        <v>Nyahururu</v>
      </c>
      <c r="Q1222">
        <f>_xlfn.XLOOKUP(Loans[[#This Row],[CustomerID]],CustomerTbl[CustomerID],CustomerTbl[RiskScore])</f>
        <v>767</v>
      </c>
      <c r="R1222" t="str">
        <f>IFERROR(INDEX(RiskTbl[Risk_Category],MATCH(Loans[[#This Row],[RiskScore]],RiskTbl[Score_Min],1)),"Unknown")</f>
        <v>Very Low Risk</v>
      </c>
      <c r="S1222" t="str">
        <f>IF(OR(Loans[[#This Row],[LoanStatus]]="Default",Loans[[#This Row],[LoanStatus]]="Watchlist",Loans[[#This Row],[CollateralRisk]]="Undersecured",Loans[[#This Row],[RiskCategory]]="High Risk"),"High Risk Exposure","Normal")</f>
        <v>High Risk Exposure</v>
      </c>
      <c r="T1222" t="str" cm="1">
        <f t="array" ref="T1222">_xlfn.IFS(
Loans[[#This Row],[LoanStatus]]="Default","Critical",
OR(Loans[[#This Row],[LoanStatus]]="Watchlist",Loans[[#This Row],[CollateralRisk]]="Undersecured",Loans[[#This Row],[RiskCategory]]="High Risk"),"High",
TRUE,"Normal"
)</f>
        <v>High</v>
      </c>
    </row>
    <row r="1223" spans="1:20" x14ac:dyDescent="0.35">
      <c r="A1223" t="s">
        <v>1980</v>
      </c>
      <c r="B1223" t="s">
        <v>1787</v>
      </c>
      <c r="C1223" t="s">
        <v>239</v>
      </c>
      <c r="D1223" t="s">
        <v>155</v>
      </c>
      <c r="E1223" s="34">
        <v>100000</v>
      </c>
      <c r="F1223" s="29">
        <v>0.2273</v>
      </c>
      <c r="G1223" s="30">
        <v>45024</v>
      </c>
      <c r="H1223">
        <v>48</v>
      </c>
      <c r="I1223">
        <v>0</v>
      </c>
      <c r="J1223" s="34">
        <v>0</v>
      </c>
      <c r="K1223" t="s">
        <v>171</v>
      </c>
      <c r="L1223" s="34">
        <f>PMT(Loans[[#This Row],[InterestRate]]/12,Loans[[#This Row],[LoanTenureMonths]],-Loans[[#This Row],[LoanAmount]])</f>
        <v>3190.3723708866978</v>
      </c>
      <c r="M1223" s="30">
        <f>EDATE(Loans[[#This Row],[LoanStartDate]],Loans[[#This Row],[LoanTenureMonths]])</f>
        <v>46485</v>
      </c>
      <c r="N1223" s="33">
        <f>IF(Loans[[#This Row],[LoanAmount]]=0,0,Loans[[#This Row],[CollateralValue]]/Loans[[#This Row],[LoanAmount]])</f>
        <v>0</v>
      </c>
      <c r="O1223" t="str">
        <f>IF(Loans[[#This Row],[CollateralCoverageRatio]]&lt;1,"Undersecured","Secured")</f>
        <v>Undersecured</v>
      </c>
      <c r="P1223" t="str">
        <f>_xlfn.XLOOKUP(Loans[[#This Row],[BranchCode]],BranchesTbl[BranchCode],BranchesTbl[BranchName])</f>
        <v>Machakos</v>
      </c>
      <c r="Q1223">
        <f>_xlfn.XLOOKUP(Loans[[#This Row],[CustomerID]],CustomerTbl[CustomerID],CustomerTbl[RiskScore])</f>
        <v>487</v>
      </c>
      <c r="R1223" t="str">
        <f>IFERROR(INDEX(RiskTbl[Risk_Category],MATCH(Loans[[#This Row],[RiskScore]],RiskTbl[Score_Min],1)),"Unknown")</f>
        <v>High Risk</v>
      </c>
      <c r="S1223" t="str">
        <f>IF(OR(Loans[[#This Row],[LoanStatus]]="Default",Loans[[#This Row],[LoanStatus]]="Watchlist",Loans[[#This Row],[CollateralRisk]]="Undersecured",Loans[[#This Row],[RiskCategory]]="High Risk"),"High Risk Exposure","Normal")</f>
        <v>High Risk Exposure</v>
      </c>
      <c r="T1223" t="str" cm="1">
        <f t="array" ref="T1223">_xlfn.IFS(
Loans[[#This Row],[LoanStatus]]="Default","Critical",
OR(Loans[[#This Row],[LoanStatus]]="Watchlist",Loans[[#This Row],[CollateralRisk]]="Undersecured",Loans[[#This Row],[RiskCategory]]="High Risk"),"High",
TRUE,"Normal"
)</f>
        <v>High</v>
      </c>
    </row>
    <row r="1224" spans="1:20" x14ac:dyDescent="0.35">
      <c r="A1224" t="s">
        <v>1981</v>
      </c>
      <c r="B1224" t="s">
        <v>347</v>
      </c>
      <c r="C1224" t="s">
        <v>184</v>
      </c>
      <c r="D1224" t="s">
        <v>158</v>
      </c>
      <c r="E1224" s="34">
        <v>500000</v>
      </c>
      <c r="F1224" s="29">
        <v>0.1759</v>
      </c>
      <c r="G1224" s="30">
        <v>45590</v>
      </c>
      <c r="H1224">
        <v>36</v>
      </c>
      <c r="I1224">
        <v>45</v>
      </c>
      <c r="J1224" s="34">
        <v>650000</v>
      </c>
      <c r="K1224" t="s">
        <v>199</v>
      </c>
      <c r="L1224" s="34">
        <f>PMT(Loans[[#This Row],[InterestRate]]/12,Loans[[#This Row],[LoanTenureMonths]],-Loans[[#This Row],[LoanAmount]])</f>
        <v>17973.526066977593</v>
      </c>
      <c r="M1224" s="30">
        <f>EDATE(Loans[[#This Row],[LoanStartDate]],Loans[[#This Row],[LoanTenureMonths]])</f>
        <v>46685</v>
      </c>
      <c r="N1224" s="33">
        <f>IF(Loans[[#This Row],[LoanAmount]]=0,0,Loans[[#This Row],[CollateralValue]]/Loans[[#This Row],[LoanAmount]])</f>
        <v>1.3</v>
      </c>
      <c r="O1224" t="str">
        <f>IF(Loans[[#This Row],[CollateralCoverageRatio]]&lt;1,"Undersecured","Secured")</f>
        <v>Secured</v>
      </c>
      <c r="P1224" t="str">
        <f>_xlfn.XLOOKUP(Loans[[#This Row],[BranchCode]],BranchesTbl[BranchCode],BranchesTbl[BranchName])</f>
        <v>Kisumu</v>
      </c>
      <c r="Q1224">
        <f>_xlfn.XLOOKUP(Loans[[#This Row],[CustomerID]],CustomerTbl[CustomerID],CustomerTbl[RiskScore])</f>
        <v>653</v>
      </c>
      <c r="R1224" t="str">
        <f>IFERROR(INDEX(RiskTbl[Risk_Category],MATCH(Loans[[#This Row],[RiskScore]],RiskTbl[Score_Min],1)),"Unknown")</f>
        <v>Medium Risk</v>
      </c>
      <c r="S1224" t="str">
        <f>IF(OR(Loans[[#This Row],[LoanStatus]]="Default",Loans[[#This Row],[LoanStatus]]="Watchlist",Loans[[#This Row],[CollateralRisk]]="Undersecured",Loans[[#This Row],[RiskCategory]]="High Risk"),"High Risk Exposure","Normal")</f>
        <v>High Risk Exposure</v>
      </c>
      <c r="T1224" t="str" cm="1">
        <f t="array" ref="T1224">_xlfn.IFS(
Loans[[#This Row],[LoanStatus]]="Default","Critical",
OR(Loans[[#This Row],[LoanStatus]]="Watchlist",Loans[[#This Row],[CollateralRisk]]="Undersecured",Loans[[#This Row],[RiskCategory]]="High Risk"),"High",
TRUE,"Normal"
)</f>
        <v>High</v>
      </c>
    </row>
    <row r="1225" spans="1:20" x14ac:dyDescent="0.35">
      <c r="A1225" t="s">
        <v>1982</v>
      </c>
      <c r="B1225" t="s">
        <v>839</v>
      </c>
      <c r="C1225" t="s">
        <v>206</v>
      </c>
      <c r="D1225" t="s">
        <v>155</v>
      </c>
      <c r="E1225" s="34">
        <v>100000</v>
      </c>
      <c r="F1225" s="29">
        <v>0.24990000000000001</v>
      </c>
      <c r="G1225" s="30">
        <v>45386</v>
      </c>
      <c r="H1225">
        <v>60</v>
      </c>
      <c r="I1225">
        <v>20</v>
      </c>
      <c r="J1225" s="34">
        <v>0</v>
      </c>
      <c r="K1225" t="s">
        <v>171</v>
      </c>
      <c r="L1225" s="34">
        <f>PMT(Loans[[#This Row],[InterestRate]]/12,Loans[[#This Row],[LoanTenureMonths]],-Loans[[#This Row],[LoanAmount]])</f>
        <v>2934.5461023323678</v>
      </c>
      <c r="M1225" s="30">
        <f>EDATE(Loans[[#This Row],[LoanStartDate]],Loans[[#This Row],[LoanTenureMonths]])</f>
        <v>47212</v>
      </c>
      <c r="N1225" s="33">
        <f>IF(Loans[[#This Row],[LoanAmount]]=0,0,Loans[[#This Row],[CollateralValue]]/Loans[[#This Row],[LoanAmount]])</f>
        <v>0</v>
      </c>
      <c r="O1225" t="str">
        <f>IF(Loans[[#This Row],[CollateralCoverageRatio]]&lt;1,"Undersecured","Secured")</f>
        <v>Undersecured</v>
      </c>
      <c r="P1225" t="str">
        <f>_xlfn.XLOOKUP(Loans[[#This Row],[BranchCode]],BranchesTbl[BranchCode],BranchesTbl[BranchName])</f>
        <v>Nyahururu</v>
      </c>
      <c r="Q1225">
        <f>_xlfn.XLOOKUP(Loans[[#This Row],[CustomerID]],CustomerTbl[CustomerID],CustomerTbl[RiskScore])</f>
        <v>634</v>
      </c>
      <c r="R1225" t="str">
        <f>IFERROR(INDEX(RiskTbl[Risk_Category],MATCH(Loans[[#This Row],[RiskScore]],RiskTbl[Score_Min],1)),"Unknown")</f>
        <v>Medium Risk</v>
      </c>
      <c r="S1225" t="str">
        <f>IF(OR(Loans[[#This Row],[LoanStatus]]="Default",Loans[[#This Row],[LoanStatus]]="Watchlist",Loans[[#This Row],[CollateralRisk]]="Undersecured",Loans[[#This Row],[RiskCategory]]="High Risk"),"High Risk Exposure","Normal")</f>
        <v>High Risk Exposure</v>
      </c>
      <c r="T1225" t="str" cm="1">
        <f t="array" ref="T1225">_xlfn.IFS(
Loans[[#This Row],[LoanStatus]]="Default","Critical",
OR(Loans[[#This Row],[LoanStatus]]="Watchlist",Loans[[#This Row],[CollateralRisk]]="Undersecured",Loans[[#This Row],[RiskCategory]]="High Risk"),"High",
TRUE,"Normal"
)</f>
        <v>High</v>
      </c>
    </row>
    <row r="1226" spans="1:20" x14ac:dyDescent="0.35">
      <c r="A1226" t="s">
        <v>1983</v>
      </c>
      <c r="B1226" t="s">
        <v>554</v>
      </c>
      <c r="C1226" t="s">
        <v>181</v>
      </c>
      <c r="D1226" t="s">
        <v>158</v>
      </c>
      <c r="E1226" s="34">
        <v>500000</v>
      </c>
      <c r="F1226" s="29">
        <v>0.18440000000000001</v>
      </c>
      <c r="G1226" s="30">
        <v>45701</v>
      </c>
      <c r="H1226">
        <v>24</v>
      </c>
      <c r="I1226">
        <v>45</v>
      </c>
      <c r="J1226" s="34">
        <v>570000</v>
      </c>
      <c r="K1226" t="s">
        <v>199</v>
      </c>
      <c r="L1226" s="34">
        <f>PMT(Loans[[#This Row],[InterestRate]]/12,Loans[[#This Row],[LoanTenureMonths]],-Loans[[#This Row],[LoanAmount]])</f>
        <v>25068.47962086519</v>
      </c>
      <c r="M1226" s="30">
        <f>EDATE(Loans[[#This Row],[LoanStartDate]],Loans[[#This Row],[LoanTenureMonths]])</f>
        <v>46431</v>
      </c>
      <c r="N1226" s="33">
        <f>IF(Loans[[#This Row],[LoanAmount]]=0,0,Loans[[#This Row],[CollateralValue]]/Loans[[#This Row],[LoanAmount]])</f>
        <v>1.1399999999999999</v>
      </c>
      <c r="O1226" t="str">
        <f>IF(Loans[[#This Row],[CollateralCoverageRatio]]&lt;1,"Undersecured","Secured")</f>
        <v>Secured</v>
      </c>
      <c r="P1226" t="str">
        <f>_xlfn.XLOOKUP(Loans[[#This Row],[BranchCode]],BranchesTbl[BranchCode],BranchesTbl[BranchName])</f>
        <v>Kitale</v>
      </c>
      <c r="Q1226">
        <f>_xlfn.XLOOKUP(Loans[[#This Row],[CustomerID]],CustomerTbl[CustomerID],CustomerTbl[RiskScore])</f>
        <v>506</v>
      </c>
      <c r="R1226" t="str">
        <f>IFERROR(INDEX(RiskTbl[Risk_Category],MATCH(Loans[[#This Row],[RiskScore]],RiskTbl[Score_Min],1)),"Unknown")</f>
        <v>High Risk</v>
      </c>
      <c r="S1226" t="str">
        <f>IF(OR(Loans[[#This Row],[LoanStatus]]="Default",Loans[[#This Row],[LoanStatus]]="Watchlist",Loans[[#This Row],[CollateralRisk]]="Undersecured",Loans[[#This Row],[RiskCategory]]="High Risk"),"High Risk Exposure","Normal")</f>
        <v>High Risk Exposure</v>
      </c>
      <c r="T1226" t="str" cm="1">
        <f t="array" ref="T1226">_xlfn.IFS(
Loans[[#This Row],[LoanStatus]]="Default","Critical",
OR(Loans[[#This Row],[LoanStatus]]="Watchlist",Loans[[#This Row],[CollateralRisk]]="Undersecured",Loans[[#This Row],[RiskCategory]]="High Risk"),"High",
TRUE,"Normal"
)</f>
        <v>High</v>
      </c>
    </row>
    <row r="1227" spans="1:20" x14ac:dyDescent="0.35">
      <c r="A1227" t="s">
        <v>1984</v>
      </c>
      <c r="B1227" t="s">
        <v>1985</v>
      </c>
      <c r="C1227" t="s">
        <v>219</v>
      </c>
      <c r="D1227" t="s">
        <v>155</v>
      </c>
      <c r="E1227" s="34">
        <v>1000000</v>
      </c>
      <c r="F1227" s="29">
        <v>0.16009999999999999</v>
      </c>
      <c r="G1227" s="30">
        <v>44354</v>
      </c>
      <c r="H1227">
        <v>60</v>
      </c>
      <c r="I1227">
        <v>5</v>
      </c>
      <c r="J1227" s="34">
        <v>0</v>
      </c>
      <c r="K1227" t="s">
        <v>171</v>
      </c>
      <c r="L1227" s="34">
        <f>PMT(Loans[[#This Row],[InterestRate]]/12,Loans[[#This Row],[LoanTenureMonths]],-Loans[[#This Row],[LoanAmount]])</f>
        <v>24323.370760029662</v>
      </c>
      <c r="M1227" s="30">
        <f>EDATE(Loans[[#This Row],[LoanStartDate]],Loans[[#This Row],[LoanTenureMonths]])</f>
        <v>46180</v>
      </c>
      <c r="N1227" s="33">
        <f>IF(Loans[[#This Row],[LoanAmount]]=0,0,Loans[[#This Row],[CollateralValue]]/Loans[[#This Row],[LoanAmount]])</f>
        <v>0</v>
      </c>
      <c r="O1227" t="str">
        <f>IF(Loans[[#This Row],[CollateralCoverageRatio]]&lt;1,"Undersecured","Secured")</f>
        <v>Undersecured</v>
      </c>
      <c r="P1227" t="str">
        <f>_xlfn.XLOOKUP(Loans[[#This Row],[BranchCode]],BranchesTbl[BranchCode],BranchesTbl[BranchName])</f>
        <v>Meru</v>
      </c>
      <c r="Q1227">
        <f>_xlfn.XLOOKUP(Loans[[#This Row],[CustomerID]],CustomerTbl[CustomerID],CustomerTbl[RiskScore])</f>
        <v>769</v>
      </c>
      <c r="R1227" t="str">
        <f>IFERROR(INDEX(RiskTbl[Risk_Category],MATCH(Loans[[#This Row],[RiskScore]],RiskTbl[Score_Min],1)),"Unknown")</f>
        <v>Very Low Risk</v>
      </c>
      <c r="S1227" t="str">
        <f>IF(OR(Loans[[#This Row],[LoanStatus]]="Default",Loans[[#This Row],[LoanStatus]]="Watchlist",Loans[[#This Row],[CollateralRisk]]="Undersecured",Loans[[#This Row],[RiskCategory]]="High Risk"),"High Risk Exposure","Normal")</f>
        <v>High Risk Exposure</v>
      </c>
      <c r="T1227" t="str" cm="1">
        <f t="array" ref="T1227">_xlfn.IFS(
Loans[[#This Row],[LoanStatus]]="Default","Critical",
OR(Loans[[#This Row],[LoanStatus]]="Watchlist",Loans[[#This Row],[CollateralRisk]]="Undersecured",Loans[[#This Row],[RiskCategory]]="High Risk"),"High",
TRUE,"Normal"
)</f>
        <v>High</v>
      </c>
    </row>
    <row r="1228" spans="1:20" x14ac:dyDescent="0.35">
      <c r="A1228" t="s">
        <v>1986</v>
      </c>
      <c r="B1228" t="s">
        <v>861</v>
      </c>
      <c r="C1228" t="s">
        <v>239</v>
      </c>
      <c r="D1228" t="s">
        <v>157</v>
      </c>
      <c r="E1228" s="34">
        <v>6000000</v>
      </c>
      <c r="F1228" s="29">
        <v>0.12280000000000001</v>
      </c>
      <c r="G1228" s="30">
        <v>45158</v>
      </c>
      <c r="H1228">
        <v>48</v>
      </c>
      <c r="I1228">
        <v>5</v>
      </c>
      <c r="J1228" s="34">
        <v>4140000</v>
      </c>
      <c r="K1228" t="s">
        <v>171</v>
      </c>
      <c r="L1228" s="34">
        <f>PMT(Loans[[#This Row],[InterestRate]]/12,Loans[[#This Row],[LoanTenureMonths]],-Loans[[#This Row],[LoanAmount]])</f>
        <v>158829.13484598065</v>
      </c>
      <c r="M1228" s="30">
        <f>EDATE(Loans[[#This Row],[LoanStartDate]],Loans[[#This Row],[LoanTenureMonths]])</f>
        <v>46619</v>
      </c>
      <c r="N1228" s="33">
        <f>IF(Loans[[#This Row],[LoanAmount]]=0,0,Loans[[#This Row],[CollateralValue]]/Loans[[#This Row],[LoanAmount]])</f>
        <v>0.69</v>
      </c>
      <c r="O1228" t="str">
        <f>IF(Loans[[#This Row],[CollateralCoverageRatio]]&lt;1,"Undersecured","Secured")</f>
        <v>Undersecured</v>
      </c>
      <c r="P1228" t="str">
        <f>_xlfn.XLOOKUP(Loans[[#This Row],[BranchCode]],BranchesTbl[BranchCode],BranchesTbl[BranchName])</f>
        <v>Machakos</v>
      </c>
      <c r="Q1228">
        <f>_xlfn.XLOOKUP(Loans[[#This Row],[CustomerID]],CustomerTbl[CustomerID],CustomerTbl[RiskScore])</f>
        <v>687</v>
      </c>
      <c r="R1228" t="str">
        <f>IFERROR(INDEX(RiskTbl[Risk_Category],MATCH(Loans[[#This Row],[RiskScore]],RiskTbl[Score_Min],1)),"Unknown")</f>
        <v>Low Risk</v>
      </c>
      <c r="S1228" t="str">
        <f>IF(OR(Loans[[#This Row],[LoanStatus]]="Default",Loans[[#This Row],[LoanStatus]]="Watchlist",Loans[[#This Row],[CollateralRisk]]="Undersecured",Loans[[#This Row],[RiskCategory]]="High Risk"),"High Risk Exposure","Normal")</f>
        <v>High Risk Exposure</v>
      </c>
      <c r="T1228" t="str" cm="1">
        <f t="array" ref="T1228">_xlfn.IFS(
Loans[[#This Row],[LoanStatus]]="Default","Critical",
OR(Loans[[#This Row],[LoanStatus]]="Watchlist",Loans[[#This Row],[CollateralRisk]]="Undersecured",Loans[[#This Row],[RiskCategory]]="High Risk"),"High",
TRUE,"Normal"
)</f>
        <v>High</v>
      </c>
    </row>
    <row r="1229" spans="1:20" x14ac:dyDescent="0.35">
      <c r="A1229" t="s">
        <v>1987</v>
      </c>
      <c r="B1229" t="s">
        <v>1988</v>
      </c>
      <c r="C1229" t="s">
        <v>174</v>
      </c>
      <c r="D1229" t="s">
        <v>155</v>
      </c>
      <c r="E1229" s="34">
        <v>1000000</v>
      </c>
      <c r="F1229" s="29">
        <v>0.17100000000000001</v>
      </c>
      <c r="G1229" s="30">
        <v>45329</v>
      </c>
      <c r="H1229">
        <v>36</v>
      </c>
      <c r="I1229">
        <v>10</v>
      </c>
      <c r="J1229" s="34">
        <v>0</v>
      </c>
      <c r="K1229" t="s">
        <v>171</v>
      </c>
      <c r="L1229" s="34">
        <f>PMT(Loans[[#This Row],[InterestRate]]/12,Loans[[#This Row],[LoanTenureMonths]],-Loans[[#This Row],[LoanAmount]])</f>
        <v>35702.515795809013</v>
      </c>
      <c r="M1229" s="30">
        <f>EDATE(Loans[[#This Row],[LoanStartDate]],Loans[[#This Row],[LoanTenureMonths]])</f>
        <v>46425</v>
      </c>
      <c r="N1229" s="33">
        <f>IF(Loans[[#This Row],[LoanAmount]]=0,0,Loans[[#This Row],[CollateralValue]]/Loans[[#This Row],[LoanAmount]])</f>
        <v>0</v>
      </c>
      <c r="O1229" t="str">
        <f>IF(Loans[[#This Row],[CollateralCoverageRatio]]&lt;1,"Undersecured","Secured")</f>
        <v>Undersecured</v>
      </c>
      <c r="P1229" t="str">
        <f>_xlfn.XLOOKUP(Loans[[#This Row],[BranchCode]],BranchesTbl[BranchCode],BranchesTbl[BranchName])</f>
        <v>Westlands</v>
      </c>
      <c r="Q1229">
        <f>_xlfn.XLOOKUP(Loans[[#This Row],[CustomerID]],CustomerTbl[CustomerID],CustomerTbl[RiskScore])</f>
        <v>833</v>
      </c>
      <c r="R1229" t="str">
        <f>IFERROR(INDEX(RiskTbl[Risk_Category],MATCH(Loans[[#This Row],[RiskScore]],RiskTbl[Score_Min],1)),"Unknown")</f>
        <v>Prime</v>
      </c>
      <c r="S1229" t="str">
        <f>IF(OR(Loans[[#This Row],[LoanStatus]]="Default",Loans[[#This Row],[LoanStatus]]="Watchlist",Loans[[#This Row],[CollateralRisk]]="Undersecured",Loans[[#This Row],[RiskCategory]]="High Risk"),"High Risk Exposure","Normal")</f>
        <v>High Risk Exposure</v>
      </c>
      <c r="T1229" t="str" cm="1">
        <f t="array" ref="T1229">_xlfn.IFS(
Loans[[#This Row],[LoanStatus]]="Default","Critical",
OR(Loans[[#This Row],[LoanStatus]]="Watchlist",Loans[[#This Row],[CollateralRisk]]="Undersecured",Loans[[#This Row],[RiskCategory]]="High Risk"),"High",
TRUE,"Normal"
)</f>
        <v>High</v>
      </c>
    </row>
    <row r="1230" spans="1:20" x14ac:dyDescent="0.35">
      <c r="A1230" t="s">
        <v>1989</v>
      </c>
      <c r="B1230" t="s">
        <v>335</v>
      </c>
      <c r="C1230" t="s">
        <v>267</v>
      </c>
      <c r="D1230" t="s">
        <v>157</v>
      </c>
      <c r="E1230" s="34">
        <v>6000000</v>
      </c>
      <c r="F1230" s="29">
        <v>0.12130000000000001</v>
      </c>
      <c r="G1230" s="30">
        <v>45619</v>
      </c>
      <c r="H1230">
        <v>48</v>
      </c>
      <c r="I1230">
        <v>0</v>
      </c>
      <c r="J1230" s="34">
        <v>5400000</v>
      </c>
      <c r="K1230" t="s">
        <v>171</v>
      </c>
      <c r="L1230" s="34">
        <f>PMT(Loans[[#This Row],[InterestRate]]/12,Loans[[#This Row],[LoanTenureMonths]],-Loans[[#This Row],[LoanAmount]])</f>
        <v>158386.256723122</v>
      </c>
      <c r="M1230" s="30">
        <f>EDATE(Loans[[#This Row],[LoanStartDate]],Loans[[#This Row],[LoanTenureMonths]])</f>
        <v>47080</v>
      </c>
      <c r="N1230" s="33">
        <f>IF(Loans[[#This Row],[LoanAmount]]=0,0,Loans[[#This Row],[CollateralValue]]/Loans[[#This Row],[LoanAmount]])</f>
        <v>0.9</v>
      </c>
      <c r="O1230" t="str">
        <f>IF(Loans[[#This Row],[CollateralCoverageRatio]]&lt;1,"Undersecured","Secured")</f>
        <v>Undersecured</v>
      </c>
      <c r="P1230" t="str">
        <f>_xlfn.XLOOKUP(Loans[[#This Row],[BranchCode]],BranchesTbl[BranchCode],BranchesTbl[BranchName])</f>
        <v>Malindi</v>
      </c>
      <c r="Q1230">
        <f>_xlfn.XLOOKUP(Loans[[#This Row],[CustomerID]],CustomerTbl[CustomerID],CustomerTbl[RiskScore])</f>
        <v>656</v>
      </c>
      <c r="R1230" t="str">
        <f>IFERROR(INDEX(RiskTbl[Risk_Category],MATCH(Loans[[#This Row],[RiskScore]],RiskTbl[Score_Min],1)),"Unknown")</f>
        <v>Medium Risk</v>
      </c>
      <c r="S1230" t="str">
        <f>IF(OR(Loans[[#This Row],[LoanStatus]]="Default",Loans[[#This Row],[LoanStatus]]="Watchlist",Loans[[#This Row],[CollateralRisk]]="Undersecured",Loans[[#This Row],[RiskCategory]]="High Risk"),"High Risk Exposure","Normal")</f>
        <v>High Risk Exposure</v>
      </c>
      <c r="T1230" t="str" cm="1">
        <f t="array" ref="T1230">_xlfn.IFS(
Loans[[#This Row],[LoanStatus]]="Default","Critical",
OR(Loans[[#This Row],[LoanStatus]]="Watchlist",Loans[[#This Row],[CollateralRisk]]="Undersecured",Loans[[#This Row],[RiskCategory]]="High Risk"),"High",
TRUE,"Normal"
)</f>
        <v>High</v>
      </c>
    </row>
    <row r="1231" spans="1:20" x14ac:dyDescent="0.35">
      <c r="A1231" t="s">
        <v>1990</v>
      </c>
      <c r="B1231" t="s">
        <v>1055</v>
      </c>
      <c r="C1231" t="s">
        <v>206</v>
      </c>
      <c r="D1231" t="s">
        <v>155</v>
      </c>
      <c r="E1231" s="34">
        <v>500000</v>
      </c>
      <c r="F1231" s="29">
        <v>0.27300000000000002</v>
      </c>
      <c r="G1231" s="30">
        <v>44038</v>
      </c>
      <c r="H1231">
        <v>36</v>
      </c>
      <c r="I1231">
        <v>10</v>
      </c>
      <c r="J1231" s="34">
        <v>0</v>
      </c>
      <c r="K1231" t="s">
        <v>171</v>
      </c>
      <c r="L1231" s="34">
        <f>PMT(Loans[[#This Row],[InterestRate]]/12,Loans[[#This Row],[LoanTenureMonths]],-Loans[[#This Row],[LoanAmount]])</f>
        <v>20493.165598422514</v>
      </c>
      <c r="M1231" s="30">
        <f>EDATE(Loans[[#This Row],[LoanStartDate]],Loans[[#This Row],[LoanTenureMonths]])</f>
        <v>45133</v>
      </c>
      <c r="N1231" s="33">
        <f>IF(Loans[[#This Row],[LoanAmount]]=0,0,Loans[[#This Row],[CollateralValue]]/Loans[[#This Row],[LoanAmount]])</f>
        <v>0</v>
      </c>
      <c r="O1231" t="str">
        <f>IF(Loans[[#This Row],[CollateralCoverageRatio]]&lt;1,"Undersecured","Secured")</f>
        <v>Undersecured</v>
      </c>
      <c r="P1231" t="str">
        <f>_xlfn.XLOOKUP(Loans[[#This Row],[BranchCode]],BranchesTbl[BranchCode],BranchesTbl[BranchName])</f>
        <v>Nyahururu</v>
      </c>
      <c r="Q1231">
        <f>_xlfn.XLOOKUP(Loans[[#This Row],[CustomerID]],CustomerTbl[CustomerID],CustomerTbl[RiskScore])</f>
        <v>805</v>
      </c>
      <c r="R1231" t="str">
        <f>IFERROR(INDEX(RiskTbl[Risk_Category],MATCH(Loans[[#This Row],[RiskScore]],RiskTbl[Score_Min],1)),"Unknown")</f>
        <v>Prime</v>
      </c>
      <c r="S1231" t="str">
        <f>IF(OR(Loans[[#This Row],[LoanStatus]]="Default",Loans[[#This Row],[LoanStatus]]="Watchlist",Loans[[#This Row],[CollateralRisk]]="Undersecured",Loans[[#This Row],[RiskCategory]]="High Risk"),"High Risk Exposure","Normal")</f>
        <v>High Risk Exposure</v>
      </c>
      <c r="T1231" t="str" cm="1">
        <f t="array" ref="T1231">_xlfn.IFS(
Loans[[#This Row],[LoanStatus]]="Default","Critical",
OR(Loans[[#This Row],[LoanStatus]]="Watchlist",Loans[[#This Row],[CollateralRisk]]="Undersecured",Loans[[#This Row],[RiskCategory]]="High Risk"),"High",
TRUE,"Normal"
)</f>
        <v>High</v>
      </c>
    </row>
    <row r="1232" spans="1:20" x14ac:dyDescent="0.35">
      <c r="A1232" t="s">
        <v>1991</v>
      </c>
      <c r="B1232" t="s">
        <v>1395</v>
      </c>
      <c r="C1232" t="s">
        <v>181</v>
      </c>
      <c r="D1232" t="s">
        <v>155</v>
      </c>
      <c r="E1232" s="34">
        <v>500000</v>
      </c>
      <c r="F1232" s="29">
        <v>0.24560000000000001</v>
      </c>
      <c r="G1232" s="30">
        <v>45121</v>
      </c>
      <c r="H1232">
        <v>48</v>
      </c>
      <c r="I1232">
        <v>0</v>
      </c>
      <c r="J1232" s="34">
        <v>0</v>
      </c>
      <c r="K1232" t="s">
        <v>171</v>
      </c>
      <c r="L1232" s="34">
        <f>PMT(Loans[[#This Row],[InterestRate]]/12,Loans[[#This Row],[LoanTenureMonths]],-Loans[[#This Row],[LoanAmount]])</f>
        <v>16456.097470480614</v>
      </c>
      <c r="M1232" s="30">
        <f>EDATE(Loans[[#This Row],[LoanStartDate]],Loans[[#This Row],[LoanTenureMonths]])</f>
        <v>46582</v>
      </c>
      <c r="N1232" s="33">
        <f>IF(Loans[[#This Row],[LoanAmount]]=0,0,Loans[[#This Row],[CollateralValue]]/Loans[[#This Row],[LoanAmount]])</f>
        <v>0</v>
      </c>
      <c r="O1232" t="str">
        <f>IF(Loans[[#This Row],[CollateralCoverageRatio]]&lt;1,"Undersecured","Secured")</f>
        <v>Undersecured</v>
      </c>
      <c r="P1232" t="str">
        <f>_xlfn.XLOOKUP(Loans[[#This Row],[BranchCode]],BranchesTbl[BranchCode],BranchesTbl[BranchName])</f>
        <v>Kitale</v>
      </c>
      <c r="Q1232">
        <f>_xlfn.XLOOKUP(Loans[[#This Row],[CustomerID]],CustomerTbl[CustomerID],CustomerTbl[RiskScore])</f>
        <v>504</v>
      </c>
      <c r="R1232" t="str">
        <f>IFERROR(INDEX(RiskTbl[Risk_Category],MATCH(Loans[[#This Row],[RiskScore]],RiskTbl[Score_Min],1)),"Unknown")</f>
        <v>High Risk</v>
      </c>
      <c r="S1232" t="str">
        <f>IF(OR(Loans[[#This Row],[LoanStatus]]="Default",Loans[[#This Row],[LoanStatus]]="Watchlist",Loans[[#This Row],[CollateralRisk]]="Undersecured",Loans[[#This Row],[RiskCategory]]="High Risk"),"High Risk Exposure","Normal")</f>
        <v>High Risk Exposure</v>
      </c>
      <c r="T1232" t="str" cm="1">
        <f t="array" ref="T1232">_xlfn.IFS(
Loans[[#This Row],[LoanStatus]]="Default","Critical",
OR(Loans[[#This Row],[LoanStatus]]="Watchlist",Loans[[#This Row],[CollateralRisk]]="Undersecured",Loans[[#This Row],[RiskCategory]]="High Risk"),"High",
TRUE,"Normal"
)</f>
        <v>High</v>
      </c>
    </row>
    <row r="1233" spans="1:20" x14ac:dyDescent="0.35">
      <c r="A1233" t="s">
        <v>1992</v>
      </c>
      <c r="B1233" t="s">
        <v>708</v>
      </c>
      <c r="C1233" t="s">
        <v>174</v>
      </c>
      <c r="D1233" t="s">
        <v>155</v>
      </c>
      <c r="E1233" s="34">
        <v>1000000</v>
      </c>
      <c r="F1233" s="29">
        <v>0.16339999999999999</v>
      </c>
      <c r="G1233" s="30">
        <v>44519</v>
      </c>
      <c r="H1233">
        <v>72</v>
      </c>
      <c r="I1233">
        <v>0</v>
      </c>
      <c r="J1233" s="34">
        <v>0</v>
      </c>
      <c r="K1233" t="s">
        <v>171</v>
      </c>
      <c r="L1233" s="34">
        <f>PMT(Loans[[#This Row],[InterestRate]]/12,Loans[[#This Row],[LoanTenureMonths]],-Loans[[#This Row],[LoanAmount]])</f>
        <v>21879.466636239144</v>
      </c>
      <c r="M1233" s="30">
        <f>EDATE(Loans[[#This Row],[LoanStartDate]],Loans[[#This Row],[LoanTenureMonths]])</f>
        <v>46710</v>
      </c>
      <c r="N1233" s="33">
        <f>IF(Loans[[#This Row],[LoanAmount]]=0,0,Loans[[#This Row],[CollateralValue]]/Loans[[#This Row],[LoanAmount]])</f>
        <v>0</v>
      </c>
      <c r="O1233" t="str">
        <f>IF(Loans[[#This Row],[CollateralCoverageRatio]]&lt;1,"Undersecured","Secured")</f>
        <v>Undersecured</v>
      </c>
      <c r="P1233" t="str">
        <f>_xlfn.XLOOKUP(Loans[[#This Row],[BranchCode]],BranchesTbl[BranchCode],BranchesTbl[BranchName])</f>
        <v>Westlands</v>
      </c>
      <c r="Q1233">
        <f>_xlfn.XLOOKUP(Loans[[#This Row],[CustomerID]],CustomerTbl[CustomerID],CustomerTbl[RiskScore])</f>
        <v>527</v>
      </c>
      <c r="R1233" t="str">
        <f>IFERROR(INDEX(RiskTbl[Risk_Category],MATCH(Loans[[#This Row],[RiskScore]],RiskTbl[Score_Min],1)),"Unknown")</f>
        <v>High Risk</v>
      </c>
      <c r="S1233" t="str">
        <f>IF(OR(Loans[[#This Row],[LoanStatus]]="Default",Loans[[#This Row],[LoanStatus]]="Watchlist",Loans[[#This Row],[CollateralRisk]]="Undersecured",Loans[[#This Row],[RiskCategory]]="High Risk"),"High Risk Exposure","Normal")</f>
        <v>High Risk Exposure</v>
      </c>
      <c r="T1233" t="str" cm="1">
        <f t="array" ref="T1233">_xlfn.IFS(
Loans[[#This Row],[LoanStatus]]="Default","Critical",
OR(Loans[[#This Row],[LoanStatus]]="Watchlist",Loans[[#This Row],[CollateralRisk]]="Undersecured",Loans[[#This Row],[RiskCategory]]="High Risk"),"High",
TRUE,"Normal"
)</f>
        <v>High</v>
      </c>
    </row>
    <row r="1234" spans="1:20" x14ac:dyDescent="0.35">
      <c r="A1234" t="s">
        <v>1993</v>
      </c>
      <c r="B1234" t="s">
        <v>292</v>
      </c>
      <c r="C1234" t="s">
        <v>174</v>
      </c>
      <c r="D1234" t="s">
        <v>156</v>
      </c>
      <c r="E1234" s="34">
        <v>3000000</v>
      </c>
      <c r="F1234" s="29">
        <v>0.17749999999999999</v>
      </c>
      <c r="G1234" s="30">
        <v>43964</v>
      </c>
      <c r="H1234">
        <v>12</v>
      </c>
      <c r="I1234">
        <v>20</v>
      </c>
      <c r="J1234" s="34">
        <v>2010000</v>
      </c>
      <c r="K1234" t="s">
        <v>171</v>
      </c>
      <c r="L1234" s="34">
        <f>PMT(Loans[[#This Row],[InterestRate]]/12,Loans[[#This Row],[LoanTenureMonths]],-Loans[[#This Row],[LoanAmount]])</f>
        <v>274683.16971043294</v>
      </c>
      <c r="M1234" s="30">
        <f>EDATE(Loans[[#This Row],[LoanStartDate]],Loans[[#This Row],[LoanTenureMonths]])</f>
        <v>44329</v>
      </c>
      <c r="N1234" s="33">
        <f>IF(Loans[[#This Row],[LoanAmount]]=0,0,Loans[[#This Row],[CollateralValue]]/Loans[[#This Row],[LoanAmount]])</f>
        <v>0.67</v>
      </c>
      <c r="O1234" t="str">
        <f>IF(Loans[[#This Row],[CollateralCoverageRatio]]&lt;1,"Undersecured","Secured")</f>
        <v>Undersecured</v>
      </c>
      <c r="P1234" t="str">
        <f>_xlfn.XLOOKUP(Loans[[#This Row],[BranchCode]],BranchesTbl[BranchCode],BranchesTbl[BranchName])</f>
        <v>Westlands</v>
      </c>
      <c r="Q1234">
        <f>_xlfn.XLOOKUP(Loans[[#This Row],[CustomerID]],CustomerTbl[CustomerID],CustomerTbl[RiskScore])</f>
        <v>831</v>
      </c>
      <c r="R1234" t="str">
        <f>IFERROR(INDEX(RiskTbl[Risk_Category],MATCH(Loans[[#This Row],[RiskScore]],RiskTbl[Score_Min],1)),"Unknown")</f>
        <v>Prime</v>
      </c>
      <c r="S1234" t="str">
        <f>IF(OR(Loans[[#This Row],[LoanStatus]]="Default",Loans[[#This Row],[LoanStatus]]="Watchlist",Loans[[#This Row],[CollateralRisk]]="Undersecured",Loans[[#This Row],[RiskCategory]]="High Risk"),"High Risk Exposure","Normal")</f>
        <v>High Risk Exposure</v>
      </c>
      <c r="T1234" t="str" cm="1">
        <f t="array" ref="T1234">_xlfn.IFS(
Loans[[#This Row],[LoanStatus]]="Default","Critical",
OR(Loans[[#This Row],[LoanStatus]]="Watchlist",Loans[[#This Row],[CollateralRisk]]="Undersecured",Loans[[#This Row],[RiskCategory]]="High Risk"),"High",
TRUE,"Normal"
)</f>
        <v>High</v>
      </c>
    </row>
    <row r="1235" spans="1:20" x14ac:dyDescent="0.35">
      <c r="A1235" t="s">
        <v>1994</v>
      </c>
      <c r="B1235" t="s">
        <v>1842</v>
      </c>
      <c r="C1235" t="s">
        <v>187</v>
      </c>
      <c r="D1235" t="s">
        <v>155</v>
      </c>
      <c r="E1235" s="34">
        <v>500000</v>
      </c>
      <c r="F1235" s="29">
        <v>0.20080000000000001</v>
      </c>
      <c r="G1235" s="30">
        <v>44546</v>
      </c>
      <c r="H1235">
        <v>36</v>
      </c>
      <c r="I1235">
        <v>90</v>
      </c>
      <c r="J1235" s="34">
        <v>0</v>
      </c>
      <c r="K1235" t="s">
        <v>199</v>
      </c>
      <c r="L1235" s="34">
        <f>PMT(Loans[[#This Row],[InterestRate]]/12,Loans[[#This Row],[LoanTenureMonths]],-Loans[[#This Row],[LoanAmount]])</f>
        <v>18602.179021725569</v>
      </c>
      <c r="M1235" s="30">
        <f>EDATE(Loans[[#This Row],[LoanStartDate]],Loans[[#This Row],[LoanTenureMonths]])</f>
        <v>45642</v>
      </c>
      <c r="N1235" s="33">
        <f>IF(Loans[[#This Row],[LoanAmount]]=0,0,Loans[[#This Row],[CollateralValue]]/Loans[[#This Row],[LoanAmount]])</f>
        <v>0</v>
      </c>
      <c r="O1235" t="str">
        <f>IF(Loans[[#This Row],[CollateralCoverageRatio]]&lt;1,"Undersecured","Secured")</f>
        <v>Undersecured</v>
      </c>
      <c r="P1235" t="str">
        <f>_xlfn.XLOOKUP(Loans[[#This Row],[BranchCode]],BranchesTbl[BranchCode],BranchesTbl[BranchName])</f>
        <v>Eldoret</v>
      </c>
      <c r="Q1235">
        <f>_xlfn.XLOOKUP(Loans[[#This Row],[CustomerID]],CustomerTbl[CustomerID],CustomerTbl[RiskScore])</f>
        <v>808</v>
      </c>
      <c r="R1235" t="str">
        <f>IFERROR(INDEX(RiskTbl[Risk_Category],MATCH(Loans[[#This Row],[RiskScore]],RiskTbl[Score_Min],1)),"Unknown")</f>
        <v>Prime</v>
      </c>
      <c r="S1235" t="str">
        <f>IF(OR(Loans[[#This Row],[LoanStatus]]="Default",Loans[[#This Row],[LoanStatus]]="Watchlist",Loans[[#This Row],[CollateralRisk]]="Undersecured",Loans[[#This Row],[RiskCategory]]="High Risk"),"High Risk Exposure","Normal")</f>
        <v>High Risk Exposure</v>
      </c>
      <c r="T1235" t="str" cm="1">
        <f t="array" ref="T1235">_xlfn.IFS(
Loans[[#This Row],[LoanStatus]]="Default","Critical",
OR(Loans[[#This Row],[LoanStatus]]="Watchlist",Loans[[#This Row],[CollateralRisk]]="Undersecured",Loans[[#This Row],[RiskCategory]]="High Risk"),"High",
TRUE,"Normal"
)</f>
        <v>High</v>
      </c>
    </row>
    <row r="1236" spans="1:20" x14ac:dyDescent="0.35">
      <c r="A1236" t="s">
        <v>1995</v>
      </c>
      <c r="B1236" t="s">
        <v>1242</v>
      </c>
      <c r="C1236" t="s">
        <v>267</v>
      </c>
      <c r="D1236" t="s">
        <v>156</v>
      </c>
      <c r="E1236" s="34">
        <v>1000000</v>
      </c>
      <c r="F1236" s="29">
        <v>0.20330000000000001</v>
      </c>
      <c r="G1236" s="30">
        <v>45539</v>
      </c>
      <c r="H1236">
        <v>48</v>
      </c>
      <c r="I1236">
        <v>0</v>
      </c>
      <c r="J1236" s="34">
        <v>1140000</v>
      </c>
      <c r="K1236" t="s">
        <v>171</v>
      </c>
      <c r="L1236" s="34">
        <f>PMT(Loans[[#This Row],[InterestRate]]/12,Loans[[#This Row],[LoanTenureMonths]],-Loans[[#This Row],[LoanAmount]])</f>
        <v>30606.461426043497</v>
      </c>
      <c r="M1236" s="30">
        <f>EDATE(Loans[[#This Row],[LoanStartDate]],Loans[[#This Row],[LoanTenureMonths]])</f>
        <v>47000</v>
      </c>
      <c r="N1236" s="33">
        <f>IF(Loans[[#This Row],[LoanAmount]]=0,0,Loans[[#This Row],[CollateralValue]]/Loans[[#This Row],[LoanAmount]])</f>
        <v>1.1399999999999999</v>
      </c>
      <c r="O1236" t="str">
        <f>IF(Loans[[#This Row],[CollateralCoverageRatio]]&lt;1,"Undersecured","Secured")</f>
        <v>Secured</v>
      </c>
      <c r="P1236" t="str">
        <f>_xlfn.XLOOKUP(Loans[[#This Row],[BranchCode]],BranchesTbl[BranchCode],BranchesTbl[BranchName])</f>
        <v>Malindi</v>
      </c>
      <c r="Q1236">
        <f>_xlfn.XLOOKUP(Loans[[#This Row],[CustomerID]],CustomerTbl[CustomerID],CustomerTbl[RiskScore])</f>
        <v>349</v>
      </c>
      <c r="R1236" t="str">
        <f>IFERROR(INDEX(RiskTbl[Risk_Category],MATCH(Loans[[#This Row],[RiskScore]],RiskTbl[Score_Min],1)),"Unknown")</f>
        <v>High Risk</v>
      </c>
      <c r="S1236" t="str">
        <f>IF(OR(Loans[[#This Row],[LoanStatus]]="Default",Loans[[#This Row],[LoanStatus]]="Watchlist",Loans[[#This Row],[CollateralRisk]]="Undersecured",Loans[[#This Row],[RiskCategory]]="High Risk"),"High Risk Exposure","Normal")</f>
        <v>High Risk Exposure</v>
      </c>
      <c r="T1236" t="str" cm="1">
        <f t="array" ref="T1236">_xlfn.IFS(
Loans[[#This Row],[LoanStatus]]="Default","Critical",
OR(Loans[[#This Row],[LoanStatus]]="Watchlist",Loans[[#This Row],[CollateralRisk]]="Undersecured",Loans[[#This Row],[RiskCategory]]="High Risk"),"High",
TRUE,"Normal"
)</f>
        <v>High</v>
      </c>
    </row>
    <row r="1237" spans="1:20" x14ac:dyDescent="0.35">
      <c r="A1237" t="s">
        <v>1996</v>
      </c>
      <c r="B1237" t="s">
        <v>1997</v>
      </c>
      <c r="C1237" t="s">
        <v>206</v>
      </c>
      <c r="D1237" t="s">
        <v>156</v>
      </c>
      <c r="E1237" s="34">
        <v>3000000</v>
      </c>
      <c r="F1237" s="29">
        <v>0.2341</v>
      </c>
      <c r="G1237" s="30">
        <v>45844</v>
      </c>
      <c r="H1237">
        <v>36</v>
      </c>
      <c r="I1237">
        <v>120</v>
      </c>
      <c r="J1237" s="34">
        <v>2370000</v>
      </c>
      <c r="K1237" t="s">
        <v>178</v>
      </c>
      <c r="L1237" s="34">
        <f>PMT(Loans[[#This Row],[InterestRate]]/12,Loans[[#This Row],[LoanTenureMonths]],-Loans[[#This Row],[LoanAmount]])</f>
        <v>116771.21772565643</v>
      </c>
      <c r="M1237" s="30">
        <f>EDATE(Loans[[#This Row],[LoanStartDate]],Loans[[#This Row],[LoanTenureMonths]])</f>
        <v>46940</v>
      </c>
      <c r="N1237" s="33">
        <f>IF(Loans[[#This Row],[LoanAmount]]=0,0,Loans[[#This Row],[CollateralValue]]/Loans[[#This Row],[LoanAmount]])</f>
        <v>0.79</v>
      </c>
      <c r="O1237" t="str">
        <f>IF(Loans[[#This Row],[CollateralCoverageRatio]]&lt;1,"Undersecured","Secured")</f>
        <v>Undersecured</v>
      </c>
      <c r="P1237" t="str">
        <f>_xlfn.XLOOKUP(Loans[[#This Row],[BranchCode]],BranchesTbl[BranchCode],BranchesTbl[BranchName])</f>
        <v>Nyahururu</v>
      </c>
      <c r="Q1237">
        <f>_xlfn.XLOOKUP(Loans[[#This Row],[CustomerID]],CustomerTbl[CustomerID],CustomerTbl[RiskScore])</f>
        <v>474</v>
      </c>
      <c r="R1237" t="str">
        <f>IFERROR(INDEX(RiskTbl[Risk_Category],MATCH(Loans[[#This Row],[RiskScore]],RiskTbl[Score_Min],1)),"Unknown")</f>
        <v>High Risk</v>
      </c>
      <c r="S1237" t="str">
        <f>IF(OR(Loans[[#This Row],[LoanStatus]]="Default",Loans[[#This Row],[LoanStatus]]="Watchlist",Loans[[#This Row],[CollateralRisk]]="Undersecured",Loans[[#This Row],[RiskCategory]]="High Risk"),"High Risk Exposure","Normal")</f>
        <v>High Risk Exposure</v>
      </c>
      <c r="T1237" t="str" cm="1">
        <f t="array" ref="T1237">_xlfn.IFS(
Loans[[#This Row],[LoanStatus]]="Default","Critical",
OR(Loans[[#This Row],[LoanStatus]]="Watchlist",Loans[[#This Row],[CollateralRisk]]="Undersecured",Loans[[#This Row],[RiskCategory]]="High Risk"),"High",
TRUE,"Normal"
)</f>
        <v>Critical</v>
      </c>
    </row>
    <row r="1238" spans="1:20" x14ac:dyDescent="0.35">
      <c r="A1238" t="s">
        <v>1998</v>
      </c>
      <c r="B1238" t="s">
        <v>1494</v>
      </c>
      <c r="C1238" t="s">
        <v>232</v>
      </c>
      <c r="D1238" t="s">
        <v>157</v>
      </c>
      <c r="E1238" s="34">
        <v>80000000</v>
      </c>
      <c r="F1238" s="29">
        <v>9.1300000000000006E-2</v>
      </c>
      <c r="G1238" s="30">
        <v>43974</v>
      </c>
      <c r="H1238">
        <v>72</v>
      </c>
      <c r="I1238">
        <v>0</v>
      </c>
      <c r="J1238" s="34">
        <v>105600000</v>
      </c>
      <c r="K1238" t="s">
        <v>171</v>
      </c>
      <c r="L1238" s="34">
        <f>PMT(Loans[[#This Row],[InterestRate]]/12,Loans[[#This Row],[LoanTenureMonths]],-Loans[[#This Row],[LoanAmount]])</f>
        <v>1447209.9935613053</v>
      </c>
      <c r="M1238" s="30">
        <f>EDATE(Loans[[#This Row],[LoanStartDate]],Loans[[#This Row],[LoanTenureMonths]])</f>
        <v>46165</v>
      </c>
      <c r="N1238" s="33">
        <f>IF(Loans[[#This Row],[LoanAmount]]=0,0,Loans[[#This Row],[CollateralValue]]/Loans[[#This Row],[LoanAmount]])</f>
        <v>1.32</v>
      </c>
      <c r="O1238" t="str">
        <f>IF(Loans[[#This Row],[CollateralCoverageRatio]]&lt;1,"Undersecured","Secured")</f>
        <v>Secured</v>
      </c>
      <c r="P1238" t="str">
        <f>_xlfn.XLOOKUP(Loans[[#This Row],[BranchCode]],BranchesTbl[BranchCode],BranchesTbl[BranchName])</f>
        <v>Upper Hill</v>
      </c>
      <c r="Q1238">
        <f>_xlfn.XLOOKUP(Loans[[#This Row],[CustomerID]],CustomerTbl[CustomerID],CustomerTbl[RiskScore])</f>
        <v>333</v>
      </c>
      <c r="R1238" t="str">
        <f>IFERROR(INDEX(RiskTbl[Risk_Category],MATCH(Loans[[#This Row],[RiskScore]],RiskTbl[Score_Min],1)),"Unknown")</f>
        <v>High Risk</v>
      </c>
      <c r="S1238" t="str">
        <f>IF(OR(Loans[[#This Row],[LoanStatus]]="Default",Loans[[#This Row],[LoanStatus]]="Watchlist",Loans[[#This Row],[CollateralRisk]]="Undersecured",Loans[[#This Row],[RiskCategory]]="High Risk"),"High Risk Exposure","Normal")</f>
        <v>High Risk Exposure</v>
      </c>
      <c r="T1238" t="str" cm="1">
        <f t="array" ref="T1238">_xlfn.IFS(
Loans[[#This Row],[LoanStatus]]="Default","Critical",
OR(Loans[[#This Row],[LoanStatus]]="Watchlist",Loans[[#This Row],[CollateralRisk]]="Undersecured",Loans[[#This Row],[RiskCategory]]="High Risk"),"High",
TRUE,"Normal"
)</f>
        <v>High</v>
      </c>
    </row>
    <row r="1239" spans="1:20" x14ac:dyDescent="0.35">
      <c r="A1239" t="s">
        <v>1999</v>
      </c>
      <c r="B1239" t="s">
        <v>2000</v>
      </c>
      <c r="C1239" t="s">
        <v>239</v>
      </c>
      <c r="D1239" t="s">
        <v>157</v>
      </c>
      <c r="E1239" s="34">
        <v>6000000</v>
      </c>
      <c r="F1239" s="29">
        <v>0.1099</v>
      </c>
      <c r="G1239" s="30">
        <v>44084</v>
      </c>
      <c r="H1239">
        <v>72</v>
      </c>
      <c r="I1239">
        <v>20</v>
      </c>
      <c r="J1239" s="34">
        <v>8280000</v>
      </c>
      <c r="K1239" t="s">
        <v>171</v>
      </c>
      <c r="L1239" s="34">
        <f>PMT(Loans[[#This Row],[InterestRate]]/12,Loans[[#This Row],[LoanTenureMonths]],-Loans[[#This Row],[LoanAmount]])</f>
        <v>114173.74501686804</v>
      </c>
      <c r="M1239" s="30">
        <f>EDATE(Loans[[#This Row],[LoanStartDate]],Loans[[#This Row],[LoanTenureMonths]])</f>
        <v>46275</v>
      </c>
      <c r="N1239" s="33">
        <f>IF(Loans[[#This Row],[LoanAmount]]=0,0,Loans[[#This Row],[CollateralValue]]/Loans[[#This Row],[LoanAmount]])</f>
        <v>1.38</v>
      </c>
      <c r="O1239" t="str">
        <f>IF(Loans[[#This Row],[CollateralCoverageRatio]]&lt;1,"Undersecured","Secured")</f>
        <v>Secured</v>
      </c>
      <c r="P1239" t="str">
        <f>_xlfn.XLOOKUP(Loans[[#This Row],[BranchCode]],BranchesTbl[BranchCode],BranchesTbl[BranchName])</f>
        <v>Machakos</v>
      </c>
      <c r="Q1239">
        <f>_xlfn.XLOOKUP(Loans[[#This Row],[CustomerID]],CustomerTbl[CustomerID],CustomerTbl[RiskScore])</f>
        <v>315</v>
      </c>
      <c r="R1239" t="str">
        <f>IFERROR(INDEX(RiskTbl[Risk_Category],MATCH(Loans[[#This Row],[RiskScore]],RiskTbl[Score_Min],1)),"Unknown")</f>
        <v>High Risk</v>
      </c>
      <c r="S1239" t="str">
        <f>IF(OR(Loans[[#This Row],[LoanStatus]]="Default",Loans[[#This Row],[LoanStatus]]="Watchlist",Loans[[#This Row],[CollateralRisk]]="Undersecured",Loans[[#This Row],[RiskCategory]]="High Risk"),"High Risk Exposure","Normal")</f>
        <v>High Risk Exposure</v>
      </c>
      <c r="T1239" t="str" cm="1">
        <f t="array" ref="T1239">_xlfn.IFS(
Loans[[#This Row],[LoanStatus]]="Default","Critical",
OR(Loans[[#This Row],[LoanStatus]]="Watchlist",Loans[[#This Row],[CollateralRisk]]="Undersecured",Loans[[#This Row],[RiskCategory]]="High Risk"),"High",
TRUE,"Normal"
)</f>
        <v>High</v>
      </c>
    </row>
    <row r="1240" spans="1:20" x14ac:dyDescent="0.35">
      <c r="A1240" t="s">
        <v>2001</v>
      </c>
      <c r="B1240" t="s">
        <v>332</v>
      </c>
      <c r="C1240" t="s">
        <v>219</v>
      </c>
      <c r="D1240" t="s">
        <v>156</v>
      </c>
      <c r="E1240" s="34">
        <v>1000000</v>
      </c>
      <c r="F1240" s="29">
        <v>0.19289999999999999</v>
      </c>
      <c r="G1240" s="30">
        <v>45539</v>
      </c>
      <c r="H1240">
        <v>12</v>
      </c>
      <c r="I1240">
        <v>0</v>
      </c>
      <c r="J1240" s="34">
        <v>1260000</v>
      </c>
      <c r="K1240" t="s">
        <v>171</v>
      </c>
      <c r="L1240" s="34">
        <f>PMT(Loans[[#This Row],[InterestRate]]/12,Loans[[#This Row],[LoanTenureMonths]],-Loans[[#This Row],[LoanAmount]])</f>
        <v>92295.039150060053</v>
      </c>
      <c r="M1240" s="30">
        <f>EDATE(Loans[[#This Row],[LoanStartDate]],Loans[[#This Row],[LoanTenureMonths]])</f>
        <v>45904</v>
      </c>
      <c r="N1240" s="33">
        <f>IF(Loans[[#This Row],[LoanAmount]]=0,0,Loans[[#This Row],[CollateralValue]]/Loans[[#This Row],[LoanAmount]])</f>
        <v>1.26</v>
      </c>
      <c r="O1240" t="str">
        <f>IF(Loans[[#This Row],[CollateralCoverageRatio]]&lt;1,"Undersecured","Secured")</f>
        <v>Secured</v>
      </c>
      <c r="P1240" t="str">
        <f>_xlfn.XLOOKUP(Loans[[#This Row],[BranchCode]],BranchesTbl[BranchCode],BranchesTbl[BranchName])</f>
        <v>Meru</v>
      </c>
      <c r="Q1240">
        <f>_xlfn.XLOOKUP(Loans[[#This Row],[CustomerID]],CustomerTbl[CustomerID],CustomerTbl[RiskScore])</f>
        <v>681</v>
      </c>
      <c r="R1240" t="str">
        <f>IFERROR(INDEX(RiskTbl[Risk_Category],MATCH(Loans[[#This Row],[RiskScore]],RiskTbl[Score_Min],1)),"Unknown")</f>
        <v>Low Risk</v>
      </c>
      <c r="S1240" t="str">
        <f>IF(OR(Loans[[#This Row],[LoanStatus]]="Default",Loans[[#This Row],[LoanStatus]]="Watchlist",Loans[[#This Row],[CollateralRisk]]="Undersecured",Loans[[#This Row],[RiskCategory]]="High Risk"),"High Risk Exposure","Normal")</f>
        <v>Normal</v>
      </c>
      <c r="T1240" t="str" cm="1">
        <f t="array" ref="T1240">_xlfn.IFS(
Loans[[#This Row],[LoanStatus]]="Default","Critical",
OR(Loans[[#This Row],[LoanStatus]]="Watchlist",Loans[[#This Row],[CollateralRisk]]="Undersecured",Loans[[#This Row],[RiskCategory]]="High Risk"),"High",
TRUE,"Normal"
)</f>
        <v>Normal</v>
      </c>
    </row>
    <row r="1241" spans="1:20" x14ac:dyDescent="0.35">
      <c r="A1241" t="s">
        <v>2002</v>
      </c>
      <c r="B1241" t="s">
        <v>205</v>
      </c>
      <c r="C1241" t="s">
        <v>270</v>
      </c>
      <c r="D1241" t="s">
        <v>157</v>
      </c>
      <c r="E1241" s="34">
        <v>25000000</v>
      </c>
      <c r="F1241" s="29">
        <v>0.10979999999999999</v>
      </c>
      <c r="G1241" s="30">
        <v>44055</v>
      </c>
      <c r="H1241">
        <v>24</v>
      </c>
      <c r="I1241">
        <v>120</v>
      </c>
      <c r="J1241" s="34">
        <v>21750000</v>
      </c>
      <c r="K1241" t="s">
        <v>178</v>
      </c>
      <c r="L1241" s="34">
        <f>PMT(Loans[[#This Row],[InterestRate]]/12,Loans[[#This Row],[LoanTenureMonths]],-Loans[[#This Row],[LoanAmount]])</f>
        <v>1164963.8315751764</v>
      </c>
      <c r="M1241" s="30">
        <f>EDATE(Loans[[#This Row],[LoanStartDate]],Loans[[#This Row],[LoanTenureMonths]])</f>
        <v>44785</v>
      </c>
      <c r="N1241" s="33">
        <f>IF(Loans[[#This Row],[LoanAmount]]=0,0,Loans[[#This Row],[CollateralValue]]/Loans[[#This Row],[LoanAmount]])</f>
        <v>0.87</v>
      </c>
      <c r="O1241" t="str">
        <f>IF(Loans[[#This Row],[CollateralCoverageRatio]]&lt;1,"Undersecured","Secured")</f>
        <v>Undersecured</v>
      </c>
      <c r="P1241" t="str">
        <f>_xlfn.XLOOKUP(Loans[[#This Row],[BranchCode]],BranchesTbl[BranchCode],BranchesTbl[BranchName])</f>
        <v>Nakuru</v>
      </c>
      <c r="Q1241">
        <f>_xlfn.XLOOKUP(Loans[[#This Row],[CustomerID]],CustomerTbl[CustomerID],CustomerTbl[RiskScore])</f>
        <v>330</v>
      </c>
      <c r="R1241" t="str">
        <f>IFERROR(INDEX(RiskTbl[Risk_Category],MATCH(Loans[[#This Row],[RiskScore]],RiskTbl[Score_Min],1)),"Unknown")</f>
        <v>High Risk</v>
      </c>
      <c r="S1241" t="str">
        <f>IF(OR(Loans[[#This Row],[LoanStatus]]="Default",Loans[[#This Row],[LoanStatus]]="Watchlist",Loans[[#This Row],[CollateralRisk]]="Undersecured",Loans[[#This Row],[RiskCategory]]="High Risk"),"High Risk Exposure","Normal")</f>
        <v>High Risk Exposure</v>
      </c>
      <c r="T1241" t="str" cm="1">
        <f t="array" ref="T1241">_xlfn.IFS(
Loans[[#This Row],[LoanStatus]]="Default","Critical",
OR(Loans[[#This Row],[LoanStatus]]="Watchlist",Loans[[#This Row],[CollateralRisk]]="Undersecured",Loans[[#This Row],[RiskCategory]]="High Risk"),"High",
TRUE,"Normal"
)</f>
        <v>Critical</v>
      </c>
    </row>
    <row r="1242" spans="1:20" x14ac:dyDescent="0.35">
      <c r="A1242" t="s">
        <v>2003</v>
      </c>
      <c r="B1242" t="s">
        <v>1083</v>
      </c>
      <c r="C1242" t="s">
        <v>267</v>
      </c>
      <c r="D1242" t="s">
        <v>155</v>
      </c>
      <c r="E1242" s="34">
        <v>1000000</v>
      </c>
      <c r="F1242" s="29">
        <v>0.18129999999999999</v>
      </c>
      <c r="G1242" s="30">
        <v>43897</v>
      </c>
      <c r="H1242">
        <v>72</v>
      </c>
      <c r="I1242">
        <v>0</v>
      </c>
      <c r="J1242" s="34">
        <v>0</v>
      </c>
      <c r="K1242" t="s">
        <v>171</v>
      </c>
      <c r="L1242" s="34">
        <f>PMT(Loans[[#This Row],[InterestRate]]/12,Loans[[#This Row],[LoanTenureMonths]],-Loans[[#This Row],[LoanAmount]])</f>
        <v>22881.343116948152</v>
      </c>
      <c r="M1242" s="30">
        <f>EDATE(Loans[[#This Row],[LoanStartDate]],Loans[[#This Row],[LoanTenureMonths]])</f>
        <v>46088</v>
      </c>
      <c r="N1242" s="33">
        <f>IF(Loans[[#This Row],[LoanAmount]]=0,0,Loans[[#This Row],[CollateralValue]]/Loans[[#This Row],[LoanAmount]])</f>
        <v>0</v>
      </c>
      <c r="O1242" t="str">
        <f>IF(Loans[[#This Row],[CollateralCoverageRatio]]&lt;1,"Undersecured","Secured")</f>
        <v>Undersecured</v>
      </c>
      <c r="P1242" t="str">
        <f>_xlfn.XLOOKUP(Loans[[#This Row],[BranchCode]],BranchesTbl[BranchCode],BranchesTbl[BranchName])</f>
        <v>Malindi</v>
      </c>
      <c r="Q1242">
        <f>_xlfn.XLOOKUP(Loans[[#This Row],[CustomerID]],CustomerTbl[CustomerID],CustomerTbl[RiskScore])</f>
        <v>707</v>
      </c>
      <c r="R1242" t="str">
        <f>IFERROR(INDEX(RiskTbl[Risk_Category],MATCH(Loans[[#This Row],[RiskScore]],RiskTbl[Score_Min],1)),"Unknown")</f>
        <v>Low Risk</v>
      </c>
      <c r="S1242" t="str">
        <f>IF(OR(Loans[[#This Row],[LoanStatus]]="Default",Loans[[#This Row],[LoanStatus]]="Watchlist",Loans[[#This Row],[CollateralRisk]]="Undersecured",Loans[[#This Row],[RiskCategory]]="High Risk"),"High Risk Exposure","Normal")</f>
        <v>High Risk Exposure</v>
      </c>
      <c r="T1242" t="str" cm="1">
        <f t="array" ref="T1242">_xlfn.IFS(
Loans[[#This Row],[LoanStatus]]="Default","Critical",
OR(Loans[[#This Row],[LoanStatus]]="Watchlist",Loans[[#This Row],[CollateralRisk]]="Undersecured",Loans[[#This Row],[RiskCategory]]="High Risk"),"High",
TRUE,"Normal"
)</f>
        <v>High</v>
      </c>
    </row>
    <row r="1243" spans="1:20" x14ac:dyDescent="0.35">
      <c r="A1243" t="s">
        <v>2004</v>
      </c>
      <c r="B1243" t="s">
        <v>2005</v>
      </c>
      <c r="C1243" t="s">
        <v>181</v>
      </c>
      <c r="D1243" t="s">
        <v>158</v>
      </c>
      <c r="E1243" s="34">
        <v>6000000</v>
      </c>
      <c r="F1243" s="29">
        <v>0.13600000000000001</v>
      </c>
      <c r="G1243" s="30">
        <v>45641</v>
      </c>
      <c r="H1243">
        <v>12</v>
      </c>
      <c r="I1243">
        <v>5</v>
      </c>
      <c r="J1243" s="34">
        <v>6360000</v>
      </c>
      <c r="K1243" t="s">
        <v>171</v>
      </c>
      <c r="L1243" s="34">
        <f>PMT(Loans[[#This Row],[InterestRate]]/12,Loans[[#This Row],[LoanTenureMonths]],-Loans[[#This Row],[LoanAmount]])</f>
        <v>537594.11038302432</v>
      </c>
      <c r="M1243" s="30">
        <f>EDATE(Loans[[#This Row],[LoanStartDate]],Loans[[#This Row],[LoanTenureMonths]])</f>
        <v>46006</v>
      </c>
      <c r="N1243" s="33">
        <f>IF(Loans[[#This Row],[LoanAmount]]=0,0,Loans[[#This Row],[CollateralValue]]/Loans[[#This Row],[LoanAmount]])</f>
        <v>1.06</v>
      </c>
      <c r="O1243" t="str">
        <f>IF(Loans[[#This Row],[CollateralCoverageRatio]]&lt;1,"Undersecured","Secured")</f>
        <v>Secured</v>
      </c>
      <c r="P1243" t="str">
        <f>_xlfn.XLOOKUP(Loans[[#This Row],[BranchCode]],BranchesTbl[BranchCode],BranchesTbl[BranchName])</f>
        <v>Kitale</v>
      </c>
      <c r="Q1243">
        <f>_xlfn.XLOOKUP(Loans[[#This Row],[CustomerID]],CustomerTbl[CustomerID],CustomerTbl[RiskScore])</f>
        <v>554</v>
      </c>
      <c r="R1243" t="str">
        <f>IFERROR(INDEX(RiskTbl[Risk_Category],MATCH(Loans[[#This Row],[RiskScore]],RiskTbl[Score_Min],1)),"Unknown")</f>
        <v>High Risk</v>
      </c>
      <c r="S1243" t="str">
        <f>IF(OR(Loans[[#This Row],[LoanStatus]]="Default",Loans[[#This Row],[LoanStatus]]="Watchlist",Loans[[#This Row],[CollateralRisk]]="Undersecured",Loans[[#This Row],[RiskCategory]]="High Risk"),"High Risk Exposure","Normal")</f>
        <v>High Risk Exposure</v>
      </c>
      <c r="T1243" t="str" cm="1">
        <f t="array" ref="T1243">_xlfn.IFS(
Loans[[#This Row],[LoanStatus]]="Default","Critical",
OR(Loans[[#This Row],[LoanStatus]]="Watchlist",Loans[[#This Row],[CollateralRisk]]="Undersecured",Loans[[#This Row],[RiskCategory]]="High Risk"),"High",
TRUE,"Normal"
)</f>
        <v>High</v>
      </c>
    </row>
    <row r="1244" spans="1:20" x14ac:dyDescent="0.35">
      <c r="A1244" t="s">
        <v>2006</v>
      </c>
      <c r="B1244" t="s">
        <v>1034</v>
      </c>
      <c r="C1244" t="s">
        <v>232</v>
      </c>
      <c r="D1244" t="s">
        <v>158</v>
      </c>
      <c r="E1244" s="34">
        <v>1000000</v>
      </c>
      <c r="F1244" s="29">
        <v>0.13719999999999999</v>
      </c>
      <c r="G1244" s="30">
        <v>45217</v>
      </c>
      <c r="H1244">
        <v>60</v>
      </c>
      <c r="I1244">
        <v>10</v>
      </c>
      <c r="J1244" s="34">
        <v>1330000</v>
      </c>
      <c r="K1244" t="s">
        <v>171</v>
      </c>
      <c r="L1244" s="34">
        <f>PMT(Loans[[#This Row],[InterestRate]]/12,Loans[[#This Row],[LoanTenureMonths]],-Loans[[#This Row],[LoanAmount]])</f>
        <v>23123.343476308157</v>
      </c>
      <c r="M1244" s="30">
        <f>EDATE(Loans[[#This Row],[LoanStartDate]],Loans[[#This Row],[LoanTenureMonths]])</f>
        <v>47044</v>
      </c>
      <c r="N1244" s="33">
        <f>IF(Loans[[#This Row],[LoanAmount]]=0,0,Loans[[#This Row],[CollateralValue]]/Loans[[#This Row],[LoanAmount]])</f>
        <v>1.33</v>
      </c>
      <c r="O1244" t="str">
        <f>IF(Loans[[#This Row],[CollateralCoverageRatio]]&lt;1,"Undersecured","Secured")</f>
        <v>Secured</v>
      </c>
      <c r="P1244" t="str">
        <f>_xlfn.XLOOKUP(Loans[[#This Row],[BranchCode]],BranchesTbl[BranchCode],BranchesTbl[BranchName])</f>
        <v>Upper Hill</v>
      </c>
      <c r="Q1244">
        <f>_xlfn.XLOOKUP(Loans[[#This Row],[CustomerID]],CustomerTbl[CustomerID],CustomerTbl[RiskScore])</f>
        <v>320</v>
      </c>
      <c r="R1244" t="str">
        <f>IFERROR(INDEX(RiskTbl[Risk_Category],MATCH(Loans[[#This Row],[RiskScore]],RiskTbl[Score_Min],1)),"Unknown")</f>
        <v>High Risk</v>
      </c>
      <c r="S1244" t="str">
        <f>IF(OR(Loans[[#This Row],[LoanStatus]]="Default",Loans[[#This Row],[LoanStatus]]="Watchlist",Loans[[#This Row],[CollateralRisk]]="Undersecured",Loans[[#This Row],[RiskCategory]]="High Risk"),"High Risk Exposure","Normal")</f>
        <v>High Risk Exposure</v>
      </c>
      <c r="T1244" t="str" cm="1">
        <f t="array" ref="T1244">_xlfn.IFS(
Loans[[#This Row],[LoanStatus]]="Default","Critical",
OR(Loans[[#This Row],[LoanStatus]]="Watchlist",Loans[[#This Row],[CollateralRisk]]="Undersecured",Loans[[#This Row],[RiskCategory]]="High Risk"),"High",
TRUE,"Normal"
)</f>
        <v>High</v>
      </c>
    </row>
    <row r="1245" spans="1:20" x14ac:dyDescent="0.35">
      <c r="A1245" t="s">
        <v>2007</v>
      </c>
      <c r="B1245" t="s">
        <v>2008</v>
      </c>
      <c r="C1245" t="s">
        <v>239</v>
      </c>
      <c r="D1245" t="s">
        <v>158</v>
      </c>
      <c r="E1245" s="34">
        <v>6000000</v>
      </c>
      <c r="F1245" s="29">
        <v>0.12670000000000001</v>
      </c>
      <c r="G1245" s="30">
        <v>43929</v>
      </c>
      <c r="H1245">
        <v>60</v>
      </c>
      <c r="I1245">
        <v>20</v>
      </c>
      <c r="J1245" s="34">
        <v>6000000</v>
      </c>
      <c r="K1245" t="s">
        <v>171</v>
      </c>
      <c r="L1245" s="34">
        <f>PMT(Loans[[#This Row],[InterestRate]]/12,Loans[[#This Row],[LoanTenureMonths]],-Loans[[#This Row],[LoanAmount]])</f>
        <v>135506.99927497021</v>
      </c>
      <c r="M1245" s="30">
        <f>EDATE(Loans[[#This Row],[LoanStartDate]],Loans[[#This Row],[LoanTenureMonths]])</f>
        <v>45755</v>
      </c>
      <c r="N1245" s="33">
        <f>IF(Loans[[#This Row],[LoanAmount]]=0,0,Loans[[#This Row],[CollateralValue]]/Loans[[#This Row],[LoanAmount]])</f>
        <v>1</v>
      </c>
      <c r="O1245" t="str">
        <f>IF(Loans[[#This Row],[CollateralCoverageRatio]]&lt;1,"Undersecured","Secured")</f>
        <v>Secured</v>
      </c>
      <c r="P1245" t="str">
        <f>_xlfn.XLOOKUP(Loans[[#This Row],[BranchCode]],BranchesTbl[BranchCode],BranchesTbl[BranchName])</f>
        <v>Machakos</v>
      </c>
      <c r="Q1245">
        <f>_xlfn.XLOOKUP(Loans[[#This Row],[CustomerID]],CustomerTbl[CustomerID],CustomerTbl[RiskScore])</f>
        <v>634</v>
      </c>
      <c r="R1245" t="str">
        <f>IFERROR(INDEX(RiskTbl[Risk_Category],MATCH(Loans[[#This Row],[RiskScore]],RiskTbl[Score_Min],1)),"Unknown")</f>
        <v>Medium Risk</v>
      </c>
      <c r="S1245" t="str">
        <f>IF(OR(Loans[[#This Row],[LoanStatus]]="Default",Loans[[#This Row],[LoanStatus]]="Watchlist",Loans[[#This Row],[CollateralRisk]]="Undersecured",Loans[[#This Row],[RiskCategory]]="High Risk"),"High Risk Exposure","Normal")</f>
        <v>Normal</v>
      </c>
      <c r="T1245" t="str" cm="1">
        <f t="array" ref="T1245">_xlfn.IFS(
Loans[[#This Row],[LoanStatus]]="Default","Critical",
OR(Loans[[#This Row],[LoanStatus]]="Watchlist",Loans[[#This Row],[CollateralRisk]]="Undersecured",Loans[[#This Row],[RiskCategory]]="High Risk"),"High",
TRUE,"Normal"
)</f>
        <v>Normal</v>
      </c>
    </row>
    <row r="1246" spans="1:20" x14ac:dyDescent="0.35">
      <c r="A1246" t="s">
        <v>2009</v>
      </c>
      <c r="B1246" t="s">
        <v>1073</v>
      </c>
      <c r="C1246" t="s">
        <v>270</v>
      </c>
      <c r="D1246" t="s">
        <v>158</v>
      </c>
      <c r="E1246" s="34">
        <v>1000000</v>
      </c>
      <c r="F1246" s="29">
        <v>0.17649999999999999</v>
      </c>
      <c r="G1246" s="30">
        <v>45426</v>
      </c>
      <c r="H1246">
        <v>12</v>
      </c>
      <c r="I1246">
        <v>90</v>
      </c>
      <c r="J1246" s="34">
        <v>1500000</v>
      </c>
      <c r="K1246" t="s">
        <v>199</v>
      </c>
      <c r="L1246" s="34">
        <f>PMT(Loans[[#This Row],[InterestRate]]/12,Loans[[#This Row],[LoanTenureMonths]],-Loans[[#This Row],[LoanAmount]])</f>
        <v>91513.505571776288</v>
      </c>
      <c r="M1246" s="30">
        <f>EDATE(Loans[[#This Row],[LoanStartDate]],Loans[[#This Row],[LoanTenureMonths]])</f>
        <v>45791</v>
      </c>
      <c r="N1246" s="33">
        <f>IF(Loans[[#This Row],[LoanAmount]]=0,0,Loans[[#This Row],[CollateralValue]]/Loans[[#This Row],[LoanAmount]])</f>
        <v>1.5</v>
      </c>
      <c r="O1246" t="str">
        <f>IF(Loans[[#This Row],[CollateralCoverageRatio]]&lt;1,"Undersecured","Secured")</f>
        <v>Secured</v>
      </c>
      <c r="P1246" t="str">
        <f>_xlfn.XLOOKUP(Loans[[#This Row],[BranchCode]],BranchesTbl[BranchCode],BranchesTbl[BranchName])</f>
        <v>Nakuru</v>
      </c>
      <c r="Q1246">
        <f>_xlfn.XLOOKUP(Loans[[#This Row],[CustomerID]],CustomerTbl[CustomerID],CustomerTbl[RiskScore])</f>
        <v>671</v>
      </c>
      <c r="R1246" t="str">
        <f>IFERROR(INDEX(RiskTbl[Risk_Category],MATCH(Loans[[#This Row],[RiskScore]],RiskTbl[Score_Min],1)),"Unknown")</f>
        <v>Low Risk</v>
      </c>
      <c r="S1246" t="str">
        <f>IF(OR(Loans[[#This Row],[LoanStatus]]="Default",Loans[[#This Row],[LoanStatus]]="Watchlist",Loans[[#This Row],[CollateralRisk]]="Undersecured",Loans[[#This Row],[RiskCategory]]="High Risk"),"High Risk Exposure","Normal")</f>
        <v>High Risk Exposure</v>
      </c>
      <c r="T1246" t="str" cm="1">
        <f t="array" ref="T1246">_xlfn.IFS(
Loans[[#This Row],[LoanStatus]]="Default","Critical",
OR(Loans[[#This Row],[LoanStatus]]="Watchlist",Loans[[#This Row],[CollateralRisk]]="Undersecured",Loans[[#This Row],[RiskCategory]]="High Risk"),"High",
TRUE,"Normal"
)</f>
        <v>High</v>
      </c>
    </row>
    <row r="1247" spans="1:20" x14ac:dyDescent="0.35">
      <c r="A1247" t="s">
        <v>2010</v>
      </c>
      <c r="B1247" t="s">
        <v>1716</v>
      </c>
      <c r="C1247" t="s">
        <v>187</v>
      </c>
      <c r="D1247" t="s">
        <v>158</v>
      </c>
      <c r="E1247" s="34">
        <v>500000</v>
      </c>
      <c r="F1247" s="29">
        <v>0.16739999999999999</v>
      </c>
      <c r="G1247" s="30">
        <v>44947</v>
      </c>
      <c r="H1247">
        <v>72</v>
      </c>
      <c r="I1247">
        <v>10</v>
      </c>
      <c r="J1247" s="34">
        <v>480000</v>
      </c>
      <c r="K1247" t="s">
        <v>171</v>
      </c>
      <c r="L1247" s="34">
        <f>PMT(Loans[[#This Row],[InterestRate]]/12,Loans[[#This Row],[LoanTenureMonths]],-Loans[[#This Row],[LoanAmount]])</f>
        <v>11050.651406453735</v>
      </c>
      <c r="M1247" s="30">
        <f>EDATE(Loans[[#This Row],[LoanStartDate]],Loans[[#This Row],[LoanTenureMonths]])</f>
        <v>47139</v>
      </c>
      <c r="N1247" s="33">
        <f>IF(Loans[[#This Row],[LoanAmount]]=0,0,Loans[[#This Row],[CollateralValue]]/Loans[[#This Row],[LoanAmount]])</f>
        <v>0.96</v>
      </c>
      <c r="O1247" t="str">
        <f>IF(Loans[[#This Row],[CollateralCoverageRatio]]&lt;1,"Undersecured","Secured")</f>
        <v>Undersecured</v>
      </c>
      <c r="P1247" t="str">
        <f>_xlfn.XLOOKUP(Loans[[#This Row],[BranchCode]],BranchesTbl[BranchCode],BranchesTbl[BranchName])</f>
        <v>Eldoret</v>
      </c>
      <c r="Q1247">
        <f>_xlfn.XLOOKUP(Loans[[#This Row],[CustomerID]],CustomerTbl[CustomerID],CustomerTbl[RiskScore])</f>
        <v>780</v>
      </c>
      <c r="R1247" t="str">
        <f>IFERROR(INDEX(RiskTbl[Risk_Category],MATCH(Loans[[#This Row],[RiskScore]],RiskTbl[Score_Min],1)),"Unknown")</f>
        <v>Very Low Risk</v>
      </c>
      <c r="S1247" t="str">
        <f>IF(OR(Loans[[#This Row],[LoanStatus]]="Default",Loans[[#This Row],[LoanStatus]]="Watchlist",Loans[[#This Row],[CollateralRisk]]="Undersecured",Loans[[#This Row],[RiskCategory]]="High Risk"),"High Risk Exposure","Normal")</f>
        <v>High Risk Exposure</v>
      </c>
      <c r="T1247" t="str" cm="1">
        <f t="array" ref="T1247">_xlfn.IFS(
Loans[[#This Row],[LoanStatus]]="Default","Critical",
OR(Loans[[#This Row],[LoanStatus]]="Watchlist",Loans[[#This Row],[CollateralRisk]]="Undersecured",Loans[[#This Row],[RiskCategory]]="High Risk"),"High",
TRUE,"Normal"
)</f>
        <v>High</v>
      </c>
    </row>
    <row r="1248" spans="1:20" x14ac:dyDescent="0.35">
      <c r="A1248" t="s">
        <v>2011</v>
      </c>
      <c r="B1248" t="s">
        <v>2012</v>
      </c>
      <c r="C1248" t="s">
        <v>196</v>
      </c>
      <c r="D1248" t="s">
        <v>156</v>
      </c>
      <c r="E1248" s="34">
        <v>3000000</v>
      </c>
      <c r="F1248" s="29">
        <v>0.21879999999999999</v>
      </c>
      <c r="G1248" s="30">
        <v>45394</v>
      </c>
      <c r="H1248">
        <v>72</v>
      </c>
      <c r="I1248">
        <v>10</v>
      </c>
      <c r="J1248" s="34">
        <v>1800000</v>
      </c>
      <c r="K1248" t="s">
        <v>171</v>
      </c>
      <c r="L1248" s="34">
        <f>PMT(Loans[[#This Row],[InterestRate]]/12,Loans[[#This Row],[LoanTenureMonths]],-Loans[[#This Row],[LoanAmount]])</f>
        <v>75164.843249601356</v>
      </c>
      <c r="M1248" s="30">
        <f>EDATE(Loans[[#This Row],[LoanStartDate]],Loans[[#This Row],[LoanTenureMonths]])</f>
        <v>47585</v>
      </c>
      <c r="N1248" s="33">
        <f>IF(Loans[[#This Row],[LoanAmount]]=0,0,Loans[[#This Row],[CollateralValue]]/Loans[[#This Row],[LoanAmount]])</f>
        <v>0.6</v>
      </c>
      <c r="O1248" t="str">
        <f>IF(Loans[[#This Row],[CollateralCoverageRatio]]&lt;1,"Undersecured","Secured")</f>
        <v>Undersecured</v>
      </c>
      <c r="P1248" t="str">
        <f>_xlfn.XLOOKUP(Loans[[#This Row],[BranchCode]],BranchesTbl[BranchCode],BranchesTbl[BranchName])</f>
        <v>Karen</v>
      </c>
      <c r="Q1248">
        <f>_xlfn.XLOOKUP(Loans[[#This Row],[CustomerID]],CustomerTbl[CustomerID],CustomerTbl[RiskScore])</f>
        <v>850</v>
      </c>
      <c r="R1248" t="str">
        <f>IFERROR(INDEX(RiskTbl[Risk_Category],MATCH(Loans[[#This Row],[RiskScore]],RiskTbl[Score_Min],1)),"Unknown")</f>
        <v>Prime</v>
      </c>
      <c r="S1248" t="str">
        <f>IF(OR(Loans[[#This Row],[LoanStatus]]="Default",Loans[[#This Row],[LoanStatus]]="Watchlist",Loans[[#This Row],[CollateralRisk]]="Undersecured",Loans[[#This Row],[RiskCategory]]="High Risk"),"High Risk Exposure","Normal")</f>
        <v>High Risk Exposure</v>
      </c>
      <c r="T1248" t="str" cm="1">
        <f t="array" ref="T1248">_xlfn.IFS(
Loans[[#This Row],[LoanStatus]]="Default","Critical",
OR(Loans[[#This Row],[LoanStatus]]="Watchlist",Loans[[#This Row],[CollateralRisk]]="Undersecured",Loans[[#This Row],[RiskCategory]]="High Risk"),"High",
TRUE,"Normal"
)</f>
        <v>High</v>
      </c>
    </row>
    <row r="1249" spans="1:20" x14ac:dyDescent="0.35">
      <c r="A1249" t="s">
        <v>2013</v>
      </c>
      <c r="B1249" t="s">
        <v>2014</v>
      </c>
      <c r="C1249" t="s">
        <v>239</v>
      </c>
      <c r="D1249" t="s">
        <v>156</v>
      </c>
      <c r="E1249" s="34">
        <v>6000000</v>
      </c>
      <c r="F1249" s="29">
        <v>0.21379999999999999</v>
      </c>
      <c r="G1249" s="30">
        <v>45010</v>
      </c>
      <c r="H1249">
        <v>48</v>
      </c>
      <c r="I1249">
        <v>0</v>
      </c>
      <c r="J1249" s="34">
        <v>5100000</v>
      </c>
      <c r="K1249" t="s">
        <v>171</v>
      </c>
      <c r="L1249" s="34">
        <f>PMT(Loans[[#This Row],[InterestRate]]/12,Loans[[#This Row],[LoanTenureMonths]],-Loans[[#This Row],[LoanAmount]])</f>
        <v>187022.68588332442</v>
      </c>
      <c r="M1249" s="30">
        <f>EDATE(Loans[[#This Row],[LoanStartDate]],Loans[[#This Row],[LoanTenureMonths]])</f>
        <v>46471</v>
      </c>
      <c r="N1249" s="33">
        <f>IF(Loans[[#This Row],[LoanAmount]]=0,0,Loans[[#This Row],[CollateralValue]]/Loans[[#This Row],[LoanAmount]])</f>
        <v>0.85</v>
      </c>
      <c r="O1249" t="str">
        <f>IF(Loans[[#This Row],[CollateralCoverageRatio]]&lt;1,"Undersecured","Secured")</f>
        <v>Undersecured</v>
      </c>
      <c r="P1249" t="str">
        <f>_xlfn.XLOOKUP(Loans[[#This Row],[BranchCode]],BranchesTbl[BranchCode],BranchesTbl[BranchName])</f>
        <v>Machakos</v>
      </c>
      <c r="Q1249">
        <f>_xlfn.XLOOKUP(Loans[[#This Row],[CustomerID]],CustomerTbl[CustomerID],CustomerTbl[RiskScore])</f>
        <v>451</v>
      </c>
      <c r="R1249" t="str">
        <f>IFERROR(INDEX(RiskTbl[Risk_Category],MATCH(Loans[[#This Row],[RiskScore]],RiskTbl[Score_Min],1)),"Unknown")</f>
        <v>High Risk</v>
      </c>
      <c r="S1249" t="str">
        <f>IF(OR(Loans[[#This Row],[LoanStatus]]="Default",Loans[[#This Row],[LoanStatus]]="Watchlist",Loans[[#This Row],[CollateralRisk]]="Undersecured",Loans[[#This Row],[RiskCategory]]="High Risk"),"High Risk Exposure","Normal")</f>
        <v>High Risk Exposure</v>
      </c>
      <c r="T1249" t="str" cm="1">
        <f t="array" ref="T1249">_xlfn.IFS(
Loans[[#This Row],[LoanStatus]]="Default","Critical",
OR(Loans[[#This Row],[LoanStatus]]="Watchlist",Loans[[#This Row],[CollateralRisk]]="Undersecured",Loans[[#This Row],[RiskCategory]]="High Risk"),"High",
TRUE,"Normal"
)</f>
        <v>High</v>
      </c>
    </row>
    <row r="1250" spans="1:20" x14ac:dyDescent="0.35">
      <c r="A1250" t="s">
        <v>2015</v>
      </c>
      <c r="B1250" t="s">
        <v>829</v>
      </c>
      <c r="C1250" t="s">
        <v>193</v>
      </c>
      <c r="D1250" t="s">
        <v>158</v>
      </c>
      <c r="E1250" s="34">
        <v>6000000</v>
      </c>
      <c r="F1250" s="29">
        <v>0.1245</v>
      </c>
      <c r="G1250" s="30">
        <v>44321</v>
      </c>
      <c r="H1250">
        <v>60</v>
      </c>
      <c r="I1250">
        <v>0</v>
      </c>
      <c r="J1250" s="34">
        <v>6600000</v>
      </c>
      <c r="K1250" t="s">
        <v>171</v>
      </c>
      <c r="L1250" s="34">
        <f>PMT(Loans[[#This Row],[InterestRate]]/12,Loans[[#This Row],[LoanTenureMonths]],-Loans[[#This Row],[LoanAmount]])</f>
        <v>134835.09047562824</v>
      </c>
      <c r="M1250" s="30">
        <f>EDATE(Loans[[#This Row],[LoanStartDate]],Loans[[#This Row],[LoanTenureMonths]])</f>
        <v>46147</v>
      </c>
      <c r="N1250" s="33">
        <f>IF(Loans[[#This Row],[LoanAmount]]=0,0,Loans[[#This Row],[CollateralValue]]/Loans[[#This Row],[LoanAmount]])</f>
        <v>1.1000000000000001</v>
      </c>
      <c r="O1250" t="str">
        <f>IF(Loans[[#This Row],[CollateralCoverageRatio]]&lt;1,"Undersecured","Secured")</f>
        <v>Secured</v>
      </c>
      <c r="P1250" t="str">
        <f>_xlfn.XLOOKUP(Loans[[#This Row],[BranchCode]],BranchesTbl[BranchCode],BranchesTbl[BranchName])</f>
        <v>Mombasa</v>
      </c>
      <c r="Q1250">
        <f>_xlfn.XLOOKUP(Loans[[#This Row],[CustomerID]],CustomerTbl[CustomerID],CustomerTbl[RiskScore])</f>
        <v>580</v>
      </c>
      <c r="R1250" t="str">
        <f>IFERROR(INDEX(RiskTbl[Risk_Category],MATCH(Loans[[#This Row],[RiskScore]],RiskTbl[Score_Min],1)),"Unknown")</f>
        <v>Medium Risk</v>
      </c>
      <c r="S1250" t="str">
        <f>IF(OR(Loans[[#This Row],[LoanStatus]]="Default",Loans[[#This Row],[LoanStatus]]="Watchlist",Loans[[#This Row],[CollateralRisk]]="Undersecured",Loans[[#This Row],[RiskCategory]]="High Risk"),"High Risk Exposure","Normal")</f>
        <v>Normal</v>
      </c>
      <c r="T1250" t="str" cm="1">
        <f t="array" ref="T1250">_xlfn.IFS(
Loans[[#This Row],[LoanStatus]]="Default","Critical",
OR(Loans[[#This Row],[LoanStatus]]="Watchlist",Loans[[#This Row],[CollateralRisk]]="Undersecured",Loans[[#This Row],[RiskCategory]]="High Risk"),"High",
TRUE,"Normal"
)</f>
        <v>Normal</v>
      </c>
    </row>
    <row r="1251" spans="1:20" x14ac:dyDescent="0.35">
      <c r="A1251" t="s">
        <v>2016</v>
      </c>
      <c r="B1251" t="s">
        <v>1057</v>
      </c>
      <c r="C1251" t="s">
        <v>267</v>
      </c>
      <c r="D1251" t="s">
        <v>157</v>
      </c>
      <c r="E1251" s="34">
        <v>6000000</v>
      </c>
      <c r="F1251" s="29">
        <v>0.1128</v>
      </c>
      <c r="G1251" s="30">
        <v>44616</v>
      </c>
      <c r="H1251">
        <v>48</v>
      </c>
      <c r="I1251">
        <v>0</v>
      </c>
      <c r="J1251" s="34">
        <v>3660000</v>
      </c>
      <c r="K1251" t="s">
        <v>171</v>
      </c>
      <c r="L1251" s="34">
        <f>PMT(Loans[[#This Row],[InterestRate]]/12,Loans[[#This Row],[LoanTenureMonths]],-Loans[[#This Row],[LoanAmount]])</f>
        <v>155890.25776895616</v>
      </c>
      <c r="M1251" s="30">
        <f>EDATE(Loans[[#This Row],[LoanStartDate]],Loans[[#This Row],[LoanTenureMonths]])</f>
        <v>46077</v>
      </c>
      <c r="N1251" s="33">
        <f>IF(Loans[[#This Row],[LoanAmount]]=0,0,Loans[[#This Row],[CollateralValue]]/Loans[[#This Row],[LoanAmount]])</f>
        <v>0.61</v>
      </c>
      <c r="O1251" t="str">
        <f>IF(Loans[[#This Row],[CollateralCoverageRatio]]&lt;1,"Undersecured","Secured")</f>
        <v>Undersecured</v>
      </c>
      <c r="P1251" t="str">
        <f>_xlfn.XLOOKUP(Loans[[#This Row],[BranchCode]],BranchesTbl[BranchCode],BranchesTbl[BranchName])</f>
        <v>Malindi</v>
      </c>
      <c r="Q1251">
        <f>_xlfn.XLOOKUP(Loans[[#This Row],[CustomerID]],CustomerTbl[CustomerID],CustomerTbl[RiskScore])</f>
        <v>631</v>
      </c>
      <c r="R1251" t="str">
        <f>IFERROR(INDEX(RiskTbl[Risk_Category],MATCH(Loans[[#This Row],[RiskScore]],RiskTbl[Score_Min],1)),"Unknown")</f>
        <v>Medium Risk</v>
      </c>
      <c r="S1251" t="str">
        <f>IF(OR(Loans[[#This Row],[LoanStatus]]="Default",Loans[[#This Row],[LoanStatus]]="Watchlist",Loans[[#This Row],[CollateralRisk]]="Undersecured",Loans[[#This Row],[RiskCategory]]="High Risk"),"High Risk Exposure","Normal")</f>
        <v>High Risk Exposure</v>
      </c>
      <c r="T1251" t="str" cm="1">
        <f t="array" ref="T1251">_xlfn.IFS(
Loans[[#This Row],[LoanStatus]]="Default","Critical",
OR(Loans[[#This Row],[LoanStatus]]="Watchlist",Loans[[#This Row],[CollateralRisk]]="Undersecured",Loans[[#This Row],[RiskCategory]]="High Risk"),"High",
TRUE,"Normal"
)</f>
        <v>High</v>
      </c>
    </row>
    <row r="1252" spans="1:20" x14ac:dyDescent="0.35">
      <c r="A1252" t="s">
        <v>2017</v>
      </c>
      <c r="B1252" t="s">
        <v>2018</v>
      </c>
      <c r="C1252" t="s">
        <v>267</v>
      </c>
      <c r="D1252" t="s">
        <v>157</v>
      </c>
      <c r="E1252" s="34">
        <v>25000000</v>
      </c>
      <c r="F1252" s="29">
        <v>0.1163</v>
      </c>
      <c r="G1252" s="30">
        <v>43906</v>
      </c>
      <c r="H1252">
        <v>24</v>
      </c>
      <c r="I1252">
        <v>0</v>
      </c>
      <c r="J1252" s="34">
        <v>14500000</v>
      </c>
      <c r="K1252" t="s">
        <v>171</v>
      </c>
      <c r="L1252" s="34">
        <f>PMT(Loans[[#This Row],[InterestRate]]/12,Loans[[#This Row],[LoanTenureMonths]],-Loans[[#This Row],[LoanAmount]])</f>
        <v>1172521.7682406905</v>
      </c>
      <c r="M1252" s="30">
        <f>EDATE(Loans[[#This Row],[LoanStartDate]],Loans[[#This Row],[LoanTenureMonths]])</f>
        <v>44636</v>
      </c>
      <c r="N1252" s="33">
        <f>IF(Loans[[#This Row],[LoanAmount]]=0,0,Loans[[#This Row],[CollateralValue]]/Loans[[#This Row],[LoanAmount]])</f>
        <v>0.57999999999999996</v>
      </c>
      <c r="O1252" t="str">
        <f>IF(Loans[[#This Row],[CollateralCoverageRatio]]&lt;1,"Undersecured","Secured")</f>
        <v>Undersecured</v>
      </c>
      <c r="P1252" t="str">
        <f>_xlfn.XLOOKUP(Loans[[#This Row],[BranchCode]],BranchesTbl[BranchCode],BranchesTbl[BranchName])</f>
        <v>Malindi</v>
      </c>
      <c r="Q1252">
        <f>_xlfn.XLOOKUP(Loans[[#This Row],[CustomerID]],CustomerTbl[CustomerID],CustomerTbl[RiskScore])</f>
        <v>322</v>
      </c>
      <c r="R1252" t="str">
        <f>IFERROR(INDEX(RiskTbl[Risk_Category],MATCH(Loans[[#This Row],[RiskScore]],RiskTbl[Score_Min],1)),"Unknown")</f>
        <v>High Risk</v>
      </c>
      <c r="S1252" t="str">
        <f>IF(OR(Loans[[#This Row],[LoanStatus]]="Default",Loans[[#This Row],[LoanStatus]]="Watchlist",Loans[[#This Row],[CollateralRisk]]="Undersecured",Loans[[#This Row],[RiskCategory]]="High Risk"),"High Risk Exposure","Normal")</f>
        <v>High Risk Exposure</v>
      </c>
      <c r="T1252" t="str" cm="1">
        <f t="array" ref="T1252">_xlfn.IFS(
Loans[[#This Row],[LoanStatus]]="Default","Critical",
OR(Loans[[#This Row],[LoanStatus]]="Watchlist",Loans[[#This Row],[CollateralRisk]]="Undersecured",Loans[[#This Row],[RiskCategory]]="High Risk"),"High",
TRUE,"Normal"
)</f>
        <v>High</v>
      </c>
    </row>
    <row r="1253" spans="1:20" x14ac:dyDescent="0.35">
      <c r="A1253" t="s">
        <v>2019</v>
      </c>
      <c r="B1253" t="s">
        <v>598</v>
      </c>
      <c r="C1253" t="s">
        <v>270</v>
      </c>
      <c r="D1253" t="s">
        <v>156</v>
      </c>
      <c r="E1253" s="34">
        <v>6000000</v>
      </c>
      <c r="F1253" s="29">
        <v>0.21879999999999999</v>
      </c>
      <c r="G1253" s="30">
        <v>45979</v>
      </c>
      <c r="H1253">
        <v>36</v>
      </c>
      <c r="I1253">
        <v>5</v>
      </c>
      <c r="J1253" s="34">
        <v>5520000</v>
      </c>
      <c r="K1253" t="s">
        <v>171</v>
      </c>
      <c r="L1253" s="34">
        <f>PMT(Loans[[#This Row],[InterestRate]]/12,Loans[[#This Row],[LoanTenureMonths]],-Loans[[#This Row],[LoanAmount]])</f>
        <v>228770.40895849548</v>
      </c>
      <c r="M1253" s="30">
        <f>EDATE(Loans[[#This Row],[LoanStartDate]],Loans[[#This Row],[LoanTenureMonths]])</f>
        <v>47075</v>
      </c>
      <c r="N1253" s="33">
        <f>IF(Loans[[#This Row],[LoanAmount]]=0,0,Loans[[#This Row],[CollateralValue]]/Loans[[#This Row],[LoanAmount]])</f>
        <v>0.92</v>
      </c>
      <c r="O1253" t="str">
        <f>IF(Loans[[#This Row],[CollateralCoverageRatio]]&lt;1,"Undersecured","Secured")</f>
        <v>Undersecured</v>
      </c>
      <c r="P1253" t="str">
        <f>_xlfn.XLOOKUP(Loans[[#This Row],[BranchCode]],BranchesTbl[BranchCode],BranchesTbl[BranchName])</f>
        <v>Nakuru</v>
      </c>
      <c r="Q1253">
        <f>_xlfn.XLOOKUP(Loans[[#This Row],[CustomerID]],CustomerTbl[CustomerID],CustomerTbl[RiskScore])</f>
        <v>329</v>
      </c>
      <c r="R1253" t="str">
        <f>IFERROR(INDEX(RiskTbl[Risk_Category],MATCH(Loans[[#This Row],[RiskScore]],RiskTbl[Score_Min],1)),"Unknown")</f>
        <v>High Risk</v>
      </c>
      <c r="S1253" t="str">
        <f>IF(OR(Loans[[#This Row],[LoanStatus]]="Default",Loans[[#This Row],[LoanStatus]]="Watchlist",Loans[[#This Row],[CollateralRisk]]="Undersecured",Loans[[#This Row],[RiskCategory]]="High Risk"),"High Risk Exposure","Normal")</f>
        <v>High Risk Exposure</v>
      </c>
      <c r="T1253" t="str" cm="1">
        <f t="array" ref="T1253">_xlfn.IFS(
Loans[[#This Row],[LoanStatus]]="Default","Critical",
OR(Loans[[#This Row],[LoanStatus]]="Watchlist",Loans[[#This Row],[CollateralRisk]]="Undersecured",Loans[[#This Row],[RiskCategory]]="High Risk"),"High",
TRUE,"Normal"
)</f>
        <v>High</v>
      </c>
    </row>
    <row r="1254" spans="1:20" x14ac:dyDescent="0.35">
      <c r="A1254" t="s">
        <v>2020</v>
      </c>
      <c r="B1254" t="s">
        <v>2021</v>
      </c>
      <c r="C1254" t="s">
        <v>219</v>
      </c>
      <c r="D1254" t="s">
        <v>156</v>
      </c>
      <c r="E1254" s="34">
        <v>3000000</v>
      </c>
      <c r="F1254" s="29">
        <v>0.219</v>
      </c>
      <c r="G1254" s="30">
        <v>44100</v>
      </c>
      <c r="H1254">
        <v>48</v>
      </c>
      <c r="I1254">
        <v>0</v>
      </c>
      <c r="J1254" s="34">
        <v>1830000</v>
      </c>
      <c r="K1254" t="s">
        <v>171</v>
      </c>
      <c r="L1254" s="34">
        <f>PMT(Loans[[#This Row],[InterestRate]]/12,Loans[[#This Row],[LoanTenureMonths]],-Loans[[#This Row],[LoanAmount]])</f>
        <v>94355.440206179512</v>
      </c>
      <c r="M1254" s="30">
        <f>EDATE(Loans[[#This Row],[LoanStartDate]],Loans[[#This Row],[LoanTenureMonths]])</f>
        <v>45561</v>
      </c>
      <c r="N1254" s="33">
        <f>IF(Loans[[#This Row],[LoanAmount]]=0,0,Loans[[#This Row],[CollateralValue]]/Loans[[#This Row],[LoanAmount]])</f>
        <v>0.61</v>
      </c>
      <c r="O1254" t="str">
        <f>IF(Loans[[#This Row],[CollateralCoverageRatio]]&lt;1,"Undersecured","Secured")</f>
        <v>Undersecured</v>
      </c>
      <c r="P1254" t="str">
        <f>_xlfn.XLOOKUP(Loans[[#This Row],[BranchCode]],BranchesTbl[BranchCode],BranchesTbl[BranchName])</f>
        <v>Meru</v>
      </c>
      <c r="Q1254">
        <f>_xlfn.XLOOKUP(Loans[[#This Row],[CustomerID]],CustomerTbl[CustomerID],CustomerTbl[RiskScore])</f>
        <v>848</v>
      </c>
      <c r="R1254" t="str">
        <f>IFERROR(INDEX(RiskTbl[Risk_Category],MATCH(Loans[[#This Row],[RiskScore]],RiskTbl[Score_Min],1)),"Unknown")</f>
        <v>Prime</v>
      </c>
      <c r="S1254" t="str">
        <f>IF(OR(Loans[[#This Row],[LoanStatus]]="Default",Loans[[#This Row],[LoanStatus]]="Watchlist",Loans[[#This Row],[CollateralRisk]]="Undersecured",Loans[[#This Row],[RiskCategory]]="High Risk"),"High Risk Exposure","Normal")</f>
        <v>High Risk Exposure</v>
      </c>
      <c r="T1254" t="str" cm="1">
        <f t="array" ref="T1254">_xlfn.IFS(
Loans[[#This Row],[LoanStatus]]="Default","Critical",
OR(Loans[[#This Row],[LoanStatus]]="Watchlist",Loans[[#This Row],[CollateralRisk]]="Undersecured",Loans[[#This Row],[RiskCategory]]="High Risk"),"High",
TRUE,"Normal"
)</f>
        <v>High</v>
      </c>
    </row>
    <row r="1255" spans="1:20" x14ac:dyDescent="0.35">
      <c r="A1255" t="s">
        <v>2022</v>
      </c>
      <c r="B1255" t="s">
        <v>1712</v>
      </c>
      <c r="C1255" t="s">
        <v>193</v>
      </c>
      <c r="D1255" t="s">
        <v>156</v>
      </c>
      <c r="E1255" s="34">
        <v>25000000</v>
      </c>
      <c r="F1255" s="29">
        <v>0.19089999999999999</v>
      </c>
      <c r="G1255" s="30">
        <v>44904</v>
      </c>
      <c r="H1255">
        <v>36</v>
      </c>
      <c r="I1255">
        <v>0</v>
      </c>
      <c r="J1255" s="34">
        <v>35500000</v>
      </c>
      <c r="K1255" t="s">
        <v>171</v>
      </c>
      <c r="L1255" s="34">
        <f>PMT(Loans[[#This Row],[InterestRate]]/12,Loans[[#This Row],[LoanTenureMonths]],-Loans[[#This Row],[LoanAmount]])</f>
        <v>917538.49237045646</v>
      </c>
      <c r="M1255" s="30">
        <f>EDATE(Loans[[#This Row],[LoanStartDate]],Loans[[#This Row],[LoanTenureMonths]])</f>
        <v>46000</v>
      </c>
      <c r="N1255" s="33">
        <f>IF(Loans[[#This Row],[LoanAmount]]=0,0,Loans[[#This Row],[CollateralValue]]/Loans[[#This Row],[LoanAmount]])</f>
        <v>1.42</v>
      </c>
      <c r="O1255" t="str">
        <f>IF(Loans[[#This Row],[CollateralCoverageRatio]]&lt;1,"Undersecured","Secured")</f>
        <v>Secured</v>
      </c>
      <c r="P1255" t="str">
        <f>_xlfn.XLOOKUP(Loans[[#This Row],[BranchCode]],BranchesTbl[BranchCode],BranchesTbl[BranchName])</f>
        <v>Mombasa</v>
      </c>
      <c r="Q1255">
        <f>_xlfn.XLOOKUP(Loans[[#This Row],[CustomerID]],CustomerTbl[CustomerID],CustomerTbl[RiskScore])</f>
        <v>686</v>
      </c>
      <c r="R1255" t="str">
        <f>IFERROR(INDEX(RiskTbl[Risk_Category],MATCH(Loans[[#This Row],[RiskScore]],RiskTbl[Score_Min],1)),"Unknown")</f>
        <v>Low Risk</v>
      </c>
      <c r="S1255" t="str">
        <f>IF(OR(Loans[[#This Row],[LoanStatus]]="Default",Loans[[#This Row],[LoanStatus]]="Watchlist",Loans[[#This Row],[CollateralRisk]]="Undersecured",Loans[[#This Row],[RiskCategory]]="High Risk"),"High Risk Exposure","Normal")</f>
        <v>Normal</v>
      </c>
      <c r="T1255" t="str" cm="1">
        <f t="array" ref="T1255">_xlfn.IFS(
Loans[[#This Row],[LoanStatus]]="Default","Critical",
OR(Loans[[#This Row],[LoanStatus]]="Watchlist",Loans[[#This Row],[CollateralRisk]]="Undersecured",Loans[[#This Row],[RiskCategory]]="High Risk"),"High",
TRUE,"Normal"
)</f>
        <v>Normal</v>
      </c>
    </row>
    <row r="1256" spans="1:20" x14ac:dyDescent="0.35">
      <c r="A1256" t="s">
        <v>2023</v>
      </c>
      <c r="B1256" t="s">
        <v>1865</v>
      </c>
      <c r="C1256" t="s">
        <v>174</v>
      </c>
      <c r="D1256" t="s">
        <v>157</v>
      </c>
      <c r="E1256" s="34">
        <v>25000000</v>
      </c>
      <c r="F1256" s="29">
        <v>0.1096</v>
      </c>
      <c r="G1256" s="30">
        <v>45071</v>
      </c>
      <c r="H1256">
        <v>36</v>
      </c>
      <c r="I1256">
        <v>120</v>
      </c>
      <c r="J1256" s="34">
        <v>28000000</v>
      </c>
      <c r="K1256" t="s">
        <v>178</v>
      </c>
      <c r="L1256" s="34">
        <f>PMT(Loans[[#This Row],[InterestRate]]/12,Loans[[#This Row],[LoanTenureMonths]],-Loans[[#This Row],[LoanAmount]])</f>
        <v>817994.4457173578</v>
      </c>
      <c r="M1256" s="30">
        <f>EDATE(Loans[[#This Row],[LoanStartDate]],Loans[[#This Row],[LoanTenureMonths]])</f>
        <v>46167</v>
      </c>
      <c r="N1256" s="33">
        <f>IF(Loans[[#This Row],[LoanAmount]]=0,0,Loans[[#This Row],[CollateralValue]]/Loans[[#This Row],[LoanAmount]])</f>
        <v>1.1200000000000001</v>
      </c>
      <c r="O1256" t="str">
        <f>IF(Loans[[#This Row],[CollateralCoverageRatio]]&lt;1,"Undersecured","Secured")</f>
        <v>Secured</v>
      </c>
      <c r="P1256" t="str">
        <f>_xlfn.XLOOKUP(Loans[[#This Row],[BranchCode]],BranchesTbl[BranchCode],BranchesTbl[BranchName])</f>
        <v>Westlands</v>
      </c>
      <c r="Q1256">
        <f>_xlfn.XLOOKUP(Loans[[#This Row],[CustomerID]],CustomerTbl[CustomerID],CustomerTbl[RiskScore])</f>
        <v>635</v>
      </c>
      <c r="R1256" t="str">
        <f>IFERROR(INDEX(RiskTbl[Risk_Category],MATCH(Loans[[#This Row],[RiskScore]],RiskTbl[Score_Min],1)),"Unknown")</f>
        <v>Medium Risk</v>
      </c>
      <c r="S1256" t="str">
        <f>IF(OR(Loans[[#This Row],[LoanStatus]]="Default",Loans[[#This Row],[LoanStatus]]="Watchlist",Loans[[#This Row],[CollateralRisk]]="Undersecured",Loans[[#This Row],[RiskCategory]]="High Risk"),"High Risk Exposure","Normal")</f>
        <v>High Risk Exposure</v>
      </c>
      <c r="T1256" t="str" cm="1">
        <f t="array" ref="T1256">_xlfn.IFS(
Loans[[#This Row],[LoanStatus]]="Default","Critical",
OR(Loans[[#This Row],[LoanStatus]]="Watchlist",Loans[[#This Row],[CollateralRisk]]="Undersecured",Loans[[#This Row],[RiskCategory]]="High Risk"),"High",
TRUE,"Normal"
)</f>
        <v>Critical</v>
      </c>
    </row>
    <row r="1257" spans="1:20" x14ac:dyDescent="0.35">
      <c r="A1257" t="s">
        <v>2024</v>
      </c>
      <c r="B1257" t="s">
        <v>532</v>
      </c>
      <c r="C1257" t="s">
        <v>193</v>
      </c>
      <c r="D1257" t="s">
        <v>155</v>
      </c>
      <c r="E1257" s="34">
        <v>500000</v>
      </c>
      <c r="F1257" s="29">
        <v>0.25900000000000001</v>
      </c>
      <c r="G1257" s="30">
        <v>44397</v>
      </c>
      <c r="H1257">
        <v>48</v>
      </c>
      <c r="I1257">
        <v>20</v>
      </c>
      <c r="J1257" s="34">
        <v>0</v>
      </c>
      <c r="K1257" t="s">
        <v>171</v>
      </c>
      <c r="L1257" s="34">
        <f>PMT(Loans[[#This Row],[InterestRate]]/12,Loans[[#This Row],[LoanTenureMonths]],-Loans[[#This Row],[LoanAmount]])</f>
        <v>16830.535190396542</v>
      </c>
      <c r="M1257" s="30">
        <f>EDATE(Loans[[#This Row],[LoanStartDate]],Loans[[#This Row],[LoanTenureMonths]])</f>
        <v>45858</v>
      </c>
      <c r="N1257" s="33">
        <f>IF(Loans[[#This Row],[LoanAmount]]=0,0,Loans[[#This Row],[CollateralValue]]/Loans[[#This Row],[LoanAmount]])</f>
        <v>0</v>
      </c>
      <c r="O1257" t="str">
        <f>IF(Loans[[#This Row],[CollateralCoverageRatio]]&lt;1,"Undersecured","Secured")</f>
        <v>Undersecured</v>
      </c>
      <c r="P1257" t="str">
        <f>_xlfn.XLOOKUP(Loans[[#This Row],[BranchCode]],BranchesTbl[BranchCode],BranchesTbl[BranchName])</f>
        <v>Mombasa</v>
      </c>
      <c r="Q1257">
        <f>_xlfn.XLOOKUP(Loans[[#This Row],[CustomerID]],CustomerTbl[CustomerID],CustomerTbl[RiskScore])</f>
        <v>502</v>
      </c>
      <c r="R1257" t="str">
        <f>IFERROR(INDEX(RiskTbl[Risk_Category],MATCH(Loans[[#This Row],[RiskScore]],RiskTbl[Score_Min],1)),"Unknown")</f>
        <v>High Risk</v>
      </c>
      <c r="S1257" t="str">
        <f>IF(OR(Loans[[#This Row],[LoanStatus]]="Default",Loans[[#This Row],[LoanStatus]]="Watchlist",Loans[[#This Row],[CollateralRisk]]="Undersecured",Loans[[#This Row],[RiskCategory]]="High Risk"),"High Risk Exposure","Normal")</f>
        <v>High Risk Exposure</v>
      </c>
      <c r="T1257" t="str" cm="1">
        <f t="array" ref="T1257">_xlfn.IFS(
Loans[[#This Row],[LoanStatus]]="Default","Critical",
OR(Loans[[#This Row],[LoanStatus]]="Watchlist",Loans[[#This Row],[CollateralRisk]]="Undersecured",Loans[[#This Row],[RiskCategory]]="High Risk"),"High",
TRUE,"Normal"
)</f>
        <v>High</v>
      </c>
    </row>
    <row r="1258" spans="1:20" x14ac:dyDescent="0.35">
      <c r="A1258" t="s">
        <v>2025</v>
      </c>
      <c r="B1258" t="s">
        <v>1679</v>
      </c>
      <c r="C1258" t="s">
        <v>196</v>
      </c>
      <c r="D1258" t="s">
        <v>157</v>
      </c>
      <c r="E1258" s="34">
        <v>80000000</v>
      </c>
      <c r="F1258" s="29">
        <v>0.11310000000000001</v>
      </c>
      <c r="G1258" s="30">
        <v>44045</v>
      </c>
      <c r="H1258">
        <v>24</v>
      </c>
      <c r="I1258">
        <v>5</v>
      </c>
      <c r="J1258" s="34">
        <v>77600000</v>
      </c>
      <c r="K1258" t="s">
        <v>171</v>
      </c>
      <c r="L1258" s="34">
        <f>PMT(Loans[[#This Row],[InterestRate]]/12,Loans[[#This Row],[LoanTenureMonths]],-Loans[[#This Row],[LoanAmount]])</f>
        <v>3740151.5101884054</v>
      </c>
      <c r="M1258" s="30">
        <f>EDATE(Loans[[#This Row],[LoanStartDate]],Loans[[#This Row],[LoanTenureMonths]])</f>
        <v>44775</v>
      </c>
      <c r="N1258" s="33">
        <f>IF(Loans[[#This Row],[LoanAmount]]=0,0,Loans[[#This Row],[CollateralValue]]/Loans[[#This Row],[LoanAmount]])</f>
        <v>0.97</v>
      </c>
      <c r="O1258" t="str">
        <f>IF(Loans[[#This Row],[CollateralCoverageRatio]]&lt;1,"Undersecured","Secured")</f>
        <v>Undersecured</v>
      </c>
      <c r="P1258" t="str">
        <f>_xlfn.XLOOKUP(Loans[[#This Row],[BranchCode]],BranchesTbl[BranchCode],BranchesTbl[BranchName])</f>
        <v>Karen</v>
      </c>
      <c r="Q1258">
        <f>_xlfn.XLOOKUP(Loans[[#This Row],[CustomerID]],CustomerTbl[CustomerID],CustomerTbl[RiskScore])</f>
        <v>639</v>
      </c>
      <c r="R1258" t="str">
        <f>IFERROR(INDEX(RiskTbl[Risk_Category],MATCH(Loans[[#This Row],[RiskScore]],RiskTbl[Score_Min],1)),"Unknown")</f>
        <v>Medium Risk</v>
      </c>
      <c r="S1258" t="str">
        <f>IF(OR(Loans[[#This Row],[LoanStatus]]="Default",Loans[[#This Row],[LoanStatus]]="Watchlist",Loans[[#This Row],[CollateralRisk]]="Undersecured",Loans[[#This Row],[RiskCategory]]="High Risk"),"High Risk Exposure","Normal")</f>
        <v>High Risk Exposure</v>
      </c>
      <c r="T1258" t="str" cm="1">
        <f t="array" ref="T1258">_xlfn.IFS(
Loans[[#This Row],[LoanStatus]]="Default","Critical",
OR(Loans[[#This Row],[LoanStatus]]="Watchlist",Loans[[#This Row],[CollateralRisk]]="Undersecured",Loans[[#This Row],[RiskCategory]]="High Risk"),"High",
TRUE,"Normal"
)</f>
        <v>High</v>
      </c>
    </row>
    <row r="1259" spans="1:20" x14ac:dyDescent="0.35">
      <c r="A1259" t="s">
        <v>2026</v>
      </c>
      <c r="B1259" t="s">
        <v>2027</v>
      </c>
      <c r="C1259" t="s">
        <v>190</v>
      </c>
      <c r="D1259" t="s">
        <v>155</v>
      </c>
      <c r="E1259" s="34">
        <v>250000</v>
      </c>
      <c r="F1259" s="29">
        <v>0.27229999999999999</v>
      </c>
      <c r="G1259" s="30">
        <v>45389</v>
      </c>
      <c r="H1259">
        <v>48</v>
      </c>
      <c r="I1259">
        <v>45</v>
      </c>
      <c r="J1259" s="34">
        <v>0</v>
      </c>
      <c r="K1259" t="s">
        <v>199</v>
      </c>
      <c r="L1259" s="34">
        <f>PMT(Loans[[#This Row],[InterestRate]]/12,Loans[[#This Row],[LoanTenureMonths]],-Loans[[#This Row],[LoanAmount]])</f>
        <v>8603.240738516326</v>
      </c>
      <c r="M1259" s="30">
        <f>EDATE(Loans[[#This Row],[LoanStartDate]],Loans[[#This Row],[LoanTenureMonths]])</f>
        <v>46850</v>
      </c>
      <c r="N1259" s="33">
        <f>IF(Loans[[#This Row],[LoanAmount]]=0,0,Loans[[#This Row],[CollateralValue]]/Loans[[#This Row],[LoanAmount]])</f>
        <v>0</v>
      </c>
      <c r="O1259" t="str">
        <f>IF(Loans[[#This Row],[CollateralCoverageRatio]]&lt;1,"Undersecured","Secured")</f>
        <v>Undersecured</v>
      </c>
      <c r="P1259" t="str">
        <f>_xlfn.XLOOKUP(Loans[[#This Row],[BranchCode]],BranchesTbl[BranchCode],BranchesTbl[BranchName])</f>
        <v>Nyeri</v>
      </c>
      <c r="Q1259">
        <f>_xlfn.XLOOKUP(Loans[[#This Row],[CustomerID]],CustomerTbl[CustomerID],CustomerTbl[RiskScore])</f>
        <v>340</v>
      </c>
      <c r="R1259" t="str">
        <f>IFERROR(INDEX(RiskTbl[Risk_Category],MATCH(Loans[[#This Row],[RiskScore]],RiskTbl[Score_Min],1)),"Unknown")</f>
        <v>High Risk</v>
      </c>
      <c r="S1259" t="str">
        <f>IF(OR(Loans[[#This Row],[LoanStatus]]="Default",Loans[[#This Row],[LoanStatus]]="Watchlist",Loans[[#This Row],[CollateralRisk]]="Undersecured",Loans[[#This Row],[RiskCategory]]="High Risk"),"High Risk Exposure","Normal")</f>
        <v>High Risk Exposure</v>
      </c>
      <c r="T1259" t="str" cm="1">
        <f t="array" ref="T1259">_xlfn.IFS(
Loans[[#This Row],[LoanStatus]]="Default","Critical",
OR(Loans[[#This Row],[LoanStatus]]="Watchlist",Loans[[#This Row],[CollateralRisk]]="Undersecured",Loans[[#This Row],[RiskCategory]]="High Risk"),"High",
TRUE,"Normal"
)</f>
        <v>High</v>
      </c>
    </row>
    <row r="1260" spans="1:20" x14ac:dyDescent="0.35">
      <c r="A1260" t="s">
        <v>2028</v>
      </c>
      <c r="B1260" t="s">
        <v>895</v>
      </c>
      <c r="C1260" t="s">
        <v>187</v>
      </c>
      <c r="D1260" t="s">
        <v>155</v>
      </c>
      <c r="E1260" s="34">
        <v>250000</v>
      </c>
      <c r="F1260" s="29">
        <v>0.26350000000000001</v>
      </c>
      <c r="G1260" s="30">
        <v>44825</v>
      </c>
      <c r="H1260">
        <v>60</v>
      </c>
      <c r="I1260">
        <v>10</v>
      </c>
      <c r="J1260" s="34">
        <v>0</v>
      </c>
      <c r="K1260" t="s">
        <v>171</v>
      </c>
      <c r="L1260" s="34">
        <f>PMT(Loans[[#This Row],[InterestRate]]/12,Loans[[#This Row],[LoanTenureMonths]],-Loans[[#This Row],[LoanAmount]])</f>
        <v>7537.005947907096</v>
      </c>
      <c r="M1260" s="30">
        <f>EDATE(Loans[[#This Row],[LoanStartDate]],Loans[[#This Row],[LoanTenureMonths]])</f>
        <v>46651</v>
      </c>
      <c r="N1260" s="33">
        <f>IF(Loans[[#This Row],[LoanAmount]]=0,0,Loans[[#This Row],[CollateralValue]]/Loans[[#This Row],[LoanAmount]])</f>
        <v>0</v>
      </c>
      <c r="O1260" t="str">
        <f>IF(Loans[[#This Row],[CollateralCoverageRatio]]&lt;1,"Undersecured","Secured")</f>
        <v>Undersecured</v>
      </c>
      <c r="P1260" t="str">
        <f>_xlfn.XLOOKUP(Loans[[#This Row],[BranchCode]],BranchesTbl[BranchCode],BranchesTbl[BranchName])</f>
        <v>Eldoret</v>
      </c>
      <c r="Q1260">
        <f>_xlfn.XLOOKUP(Loans[[#This Row],[CustomerID]],CustomerTbl[CustomerID],CustomerTbl[RiskScore])</f>
        <v>838</v>
      </c>
      <c r="R1260" t="str">
        <f>IFERROR(INDEX(RiskTbl[Risk_Category],MATCH(Loans[[#This Row],[RiskScore]],RiskTbl[Score_Min],1)),"Unknown")</f>
        <v>Prime</v>
      </c>
      <c r="S1260" t="str">
        <f>IF(OR(Loans[[#This Row],[LoanStatus]]="Default",Loans[[#This Row],[LoanStatus]]="Watchlist",Loans[[#This Row],[CollateralRisk]]="Undersecured",Loans[[#This Row],[RiskCategory]]="High Risk"),"High Risk Exposure","Normal")</f>
        <v>High Risk Exposure</v>
      </c>
      <c r="T1260" t="str" cm="1">
        <f t="array" ref="T1260">_xlfn.IFS(
Loans[[#This Row],[LoanStatus]]="Default","Critical",
OR(Loans[[#This Row],[LoanStatus]]="Watchlist",Loans[[#This Row],[CollateralRisk]]="Undersecured",Loans[[#This Row],[RiskCategory]]="High Risk"),"High",
TRUE,"Normal"
)</f>
        <v>High</v>
      </c>
    </row>
    <row r="1261" spans="1:20" x14ac:dyDescent="0.35">
      <c r="A1261" t="s">
        <v>2029</v>
      </c>
      <c r="B1261" t="s">
        <v>383</v>
      </c>
      <c r="C1261" t="s">
        <v>193</v>
      </c>
      <c r="D1261" t="s">
        <v>156</v>
      </c>
      <c r="E1261" s="34">
        <v>25000000</v>
      </c>
      <c r="F1261" s="29">
        <v>0.1792</v>
      </c>
      <c r="G1261" s="30">
        <v>44825</v>
      </c>
      <c r="H1261">
        <v>72</v>
      </c>
      <c r="I1261">
        <v>0</v>
      </c>
      <c r="J1261" s="34">
        <v>27250000</v>
      </c>
      <c r="K1261" t="s">
        <v>171</v>
      </c>
      <c r="L1261" s="34">
        <f>PMT(Loans[[#This Row],[InterestRate]]/12,Loans[[#This Row],[LoanTenureMonths]],-Loans[[#This Row],[LoanAmount]])</f>
        <v>569064.73425839958</v>
      </c>
      <c r="M1261" s="30">
        <f>EDATE(Loans[[#This Row],[LoanStartDate]],Loans[[#This Row],[LoanTenureMonths]])</f>
        <v>47017</v>
      </c>
      <c r="N1261" s="33">
        <f>IF(Loans[[#This Row],[LoanAmount]]=0,0,Loans[[#This Row],[CollateralValue]]/Loans[[#This Row],[LoanAmount]])</f>
        <v>1.0900000000000001</v>
      </c>
      <c r="O1261" t="str">
        <f>IF(Loans[[#This Row],[CollateralCoverageRatio]]&lt;1,"Undersecured","Secured")</f>
        <v>Secured</v>
      </c>
      <c r="P1261" t="str">
        <f>_xlfn.XLOOKUP(Loans[[#This Row],[BranchCode]],BranchesTbl[BranchCode],BranchesTbl[BranchName])</f>
        <v>Mombasa</v>
      </c>
      <c r="Q1261">
        <f>_xlfn.XLOOKUP(Loans[[#This Row],[CustomerID]],CustomerTbl[CustomerID],CustomerTbl[RiskScore])</f>
        <v>762</v>
      </c>
      <c r="R1261" t="str">
        <f>IFERROR(INDEX(RiskTbl[Risk_Category],MATCH(Loans[[#This Row],[RiskScore]],RiskTbl[Score_Min],1)),"Unknown")</f>
        <v>Very Low Risk</v>
      </c>
      <c r="S1261" t="str">
        <f>IF(OR(Loans[[#This Row],[LoanStatus]]="Default",Loans[[#This Row],[LoanStatus]]="Watchlist",Loans[[#This Row],[CollateralRisk]]="Undersecured",Loans[[#This Row],[RiskCategory]]="High Risk"),"High Risk Exposure","Normal")</f>
        <v>Normal</v>
      </c>
      <c r="T1261" t="str" cm="1">
        <f t="array" ref="T1261">_xlfn.IFS(
Loans[[#This Row],[LoanStatus]]="Default","Critical",
OR(Loans[[#This Row],[LoanStatus]]="Watchlist",Loans[[#This Row],[CollateralRisk]]="Undersecured",Loans[[#This Row],[RiskCategory]]="High Risk"),"High",
TRUE,"Normal"
)</f>
        <v>Normal</v>
      </c>
    </row>
    <row r="1262" spans="1:20" x14ac:dyDescent="0.35">
      <c r="A1262" t="s">
        <v>2030</v>
      </c>
      <c r="B1262" t="s">
        <v>1815</v>
      </c>
      <c r="C1262" t="s">
        <v>193</v>
      </c>
      <c r="D1262" t="s">
        <v>157</v>
      </c>
      <c r="E1262" s="34">
        <v>25000000</v>
      </c>
      <c r="F1262" s="29">
        <v>0.1055</v>
      </c>
      <c r="G1262" s="30">
        <v>44046</v>
      </c>
      <c r="H1262">
        <v>24</v>
      </c>
      <c r="I1262">
        <v>10</v>
      </c>
      <c r="J1262" s="34">
        <v>19750000</v>
      </c>
      <c r="K1262" t="s">
        <v>171</v>
      </c>
      <c r="L1262" s="34">
        <f>PMT(Loans[[#This Row],[InterestRate]]/12,Loans[[#This Row],[LoanTenureMonths]],-Loans[[#This Row],[LoanAmount]])</f>
        <v>1159979.7662555501</v>
      </c>
      <c r="M1262" s="30">
        <f>EDATE(Loans[[#This Row],[LoanStartDate]],Loans[[#This Row],[LoanTenureMonths]])</f>
        <v>44776</v>
      </c>
      <c r="N1262" s="33">
        <f>IF(Loans[[#This Row],[LoanAmount]]=0,0,Loans[[#This Row],[CollateralValue]]/Loans[[#This Row],[LoanAmount]])</f>
        <v>0.79</v>
      </c>
      <c r="O1262" t="str">
        <f>IF(Loans[[#This Row],[CollateralCoverageRatio]]&lt;1,"Undersecured","Secured")</f>
        <v>Undersecured</v>
      </c>
      <c r="P1262" t="str">
        <f>_xlfn.XLOOKUP(Loans[[#This Row],[BranchCode]],BranchesTbl[BranchCode],BranchesTbl[BranchName])</f>
        <v>Mombasa</v>
      </c>
      <c r="Q1262">
        <f>_xlfn.XLOOKUP(Loans[[#This Row],[CustomerID]],CustomerTbl[CustomerID],CustomerTbl[RiskScore])</f>
        <v>766</v>
      </c>
      <c r="R1262" t="str">
        <f>IFERROR(INDEX(RiskTbl[Risk_Category],MATCH(Loans[[#This Row],[RiskScore]],RiskTbl[Score_Min],1)),"Unknown")</f>
        <v>Very Low Risk</v>
      </c>
      <c r="S1262" t="str">
        <f>IF(OR(Loans[[#This Row],[LoanStatus]]="Default",Loans[[#This Row],[LoanStatus]]="Watchlist",Loans[[#This Row],[CollateralRisk]]="Undersecured",Loans[[#This Row],[RiskCategory]]="High Risk"),"High Risk Exposure","Normal")</f>
        <v>High Risk Exposure</v>
      </c>
      <c r="T1262" t="str" cm="1">
        <f t="array" ref="T1262">_xlfn.IFS(
Loans[[#This Row],[LoanStatus]]="Default","Critical",
OR(Loans[[#This Row],[LoanStatus]]="Watchlist",Loans[[#This Row],[CollateralRisk]]="Undersecured",Loans[[#This Row],[RiskCategory]]="High Risk"),"High",
TRUE,"Normal"
)</f>
        <v>High</v>
      </c>
    </row>
    <row r="1263" spans="1:20" x14ac:dyDescent="0.35">
      <c r="A1263" t="s">
        <v>2031</v>
      </c>
      <c r="B1263" t="s">
        <v>852</v>
      </c>
      <c r="C1263" t="s">
        <v>190</v>
      </c>
      <c r="D1263" t="s">
        <v>157</v>
      </c>
      <c r="E1263" s="34">
        <v>80000000</v>
      </c>
      <c r="F1263" s="29">
        <v>0.1386</v>
      </c>
      <c r="G1263" s="30">
        <v>45640</v>
      </c>
      <c r="H1263">
        <v>72</v>
      </c>
      <c r="I1263">
        <v>90</v>
      </c>
      <c r="J1263" s="34">
        <v>119200000</v>
      </c>
      <c r="K1263" t="s">
        <v>199</v>
      </c>
      <c r="L1263" s="34">
        <f>PMT(Loans[[#This Row],[InterestRate]]/12,Loans[[#This Row],[LoanTenureMonths]],-Loans[[#This Row],[LoanAmount]])</f>
        <v>1642467.9088176948</v>
      </c>
      <c r="M1263" s="30">
        <f>EDATE(Loans[[#This Row],[LoanStartDate]],Loans[[#This Row],[LoanTenureMonths]])</f>
        <v>47831</v>
      </c>
      <c r="N1263" s="33">
        <f>IF(Loans[[#This Row],[LoanAmount]]=0,0,Loans[[#This Row],[CollateralValue]]/Loans[[#This Row],[LoanAmount]])</f>
        <v>1.49</v>
      </c>
      <c r="O1263" t="str">
        <f>IF(Loans[[#This Row],[CollateralCoverageRatio]]&lt;1,"Undersecured","Secured")</f>
        <v>Secured</v>
      </c>
      <c r="P1263" t="str">
        <f>_xlfn.XLOOKUP(Loans[[#This Row],[BranchCode]],BranchesTbl[BranchCode],BranchesTbl[BranchName])</f>
        <v>Nyeri</v>
      </c>
      <c r="Q1263">
        <f>_xlfn.XLOOKUP(Loans[[#This Row],[CustomerID]],CustomerTbl[CustomerID],CustomerTbl[RiskScore])</f>
        <v>640</v>
      </c>
      <c r="R1263" t="str">
        <f>IFERROR(INDEX(RiskTbl[Risk_Category],MATCH(Loans[[#This Row],[RiskScore]],RiskTbl[Score_Min],1)),"Unknown")</f>
        <v>Medium Risk</v>
      </c>
      <c r="S1263" t="str">
        <f>IF(OR(Loans[[#This Row],[LoanStatus]]="Default",Loans[[#This Row],[LoanStatus]]="Watchlist",Loans[[#This Row],[CollateralRisk]]="Undersecured",Loans[[#This Row],[RiskCategory]]="High Risk"),"High Risk Exposure","Normal")</f>
        <v>High Risk Exposure</v>
      </c>
      <c r="T1263" t="str" cm="1">
        <f t="array" ref="T1263">_xlfn.IFS(
Loans[[#This Row],[LoanStatus]]="Default","Critical",
OR(Loans[[#This Row],[LoanStatus]]="Watchlist",Loans[[#This Row],[CollateralRisk]]="Undersecured",Loans[[#This Row],[RiskCategory]]="High Risk"),"High",
TRUE,"Normal"
)</f>
        <v>High</v>
      </c>
    </row>
    <row r="1264" spans="1:20" x14ac:dyDescent="0.35">
      <c r="A1264" t="s">
        <v>2032</v>
      </c>
      <c r="B1264" t="s">
        <v>1050</v>
      </c>
      <c r="C1264" t="s">
        <v>177</v>
      </c>
      <c r="D1264" t="s">
        <v>156</v>
      </c>
      <c r="E1264" s="34">
        <v>3000000</v>
      </c>
      <c r="F1264" s="29">
        <v>0.24</v>
      </c>
      <c r="G1264" s="30">
        <v>45766</v>
      </c>
      <c r="H1264">
        <v>72</v>
      </c>
      <c r="I1264">
        <v>0</v>
      </c>
      <c r="J1264" s="34">
        <v>2820000</v>
      </c>
      <c r="K1264" t="s">
        <v>171</v>
      </c>
      <c r="L1264" s="34">
        <f>PMT(Loans[[#This Row],[InterestRate]]/12,Loans[[#This Row],[LoanTenureMonths]],-Loans[[#This Row],[LoanAmount]])</f>
        <v>78980.49212668142</v>
      </c>
      <c r="M1264" s="30">
        <f>EDATE(Loans[[#This Row],[LoanStartDate]],Loans[[#This Row],[LoanTenureMonths]])</f>
        <v>47957</v>
      </c>
      <c r="N1264" s="33">
        <f>IF(Loans[[#This Row],[LoanAmount]]=0,0,Loans[[#This Row],[CollateralValue]]/Loans[[#This Row],[LoanAmount]])</f>
        <v>0.94</v>
      </c>
      <c r="O1264" t="str">
        <f>IF(Loans[[#This Row],[CollateralCoverageRatio]]&lt;1,"Undersecured","Secured")</f>
        <v>Undersecured</v>
      </c>
      <c r="P1264" t="str">
        <f>_xlfn.XLOOKUP(Loans[[#This Row],[BranchCode]],BranchesTbl[BranchCode],BranchesTbl[BranchName])</f>
        <v>Naivasha</v>
      </c>
      <c r="Q1264">
        <f>_xlfn.XLOOKUP(Loans[[#This Row],[CustomerID]],CustomerTbl[CustomerID],CustomerTbl[RiskScore])</f>
        <v>835</v>
      </c>
      <c r="R1264" t="str">
        <f>IFERROR(INDEX(RiskTbl[Risk_Category],MATCH(Loans[[#This Row],[RiskScore]],RiskTbl[Score_Min],1)),"Unknown")</f>
        <v>Prime</v>
      </c>
      <c r="S1264" t="str">
        <f>IF(OR(Loans[[#This Row],[LoanStatus]]="Default",Loans[[#This Row],[LoanStatus]]="Watchlist",Loans[[#This Row],[CollateralRisk]]="Undersecured",Loans[[#This Row],[RiskCategory]]="High Risk"),"High Risk Exposure","Normal")</f>
        <v>High Risk Exposure</v>
      </c>
      <c r="T1264" t="str" cm="1">
        <f t="array" ref="T1264">_xlfn.IFS(
Loans[[#This Row],[LoanStatus]]="Default","Critical",
OR(Loans[[#This Row],[LoanStatus]]="Watchlist",Loans[[#This Row],[CollateralRisk]]="Undersecured",Loans[[#This Row],[RiskCategory]]="High Risk"),"High",
TRUE,"Normal"
)</f>
        <v>High</v>
      </c>
    </row>
    <row r="1265" spans="1:20" x14ac:dyDescent="0.35">
      <c r="A1265" t="s">
        <v>2033</v>
      </c>
      <c r="B1265" t="s">
        <v>300</v>
      </c>
      <c r="C1265" t="s">
        <v>193</v>
      </c>
      <c r="D1265" t="s">
        <v>158</v>
      </c>
      <c r="E1265" s="34">
        <v>6000000</v>
      </c>
      <c r="F1265" s="29">
        <v>0.1358</v>
      </c>
      <c r="G1265" s="30">
        <v>45166</v>
      </c>
      <c r="H1265">
        <v>36</v>
      </c>
      <c r="I1265">
        <v>20</v>
      </c>
      <c r="J1265" s="34">
        <v>5760000</v>
      </c>
      <c r="K1265" t="s">
        <v>171</v>
      </c>
      <c r="L1265" s="34">
        <f>PMT(Loans[[#This Row],[InterestRate]]/12,Loans[[#This Row],[LoanTenureMonths]],-Loans[[#This Row],[LoanAmount]])</f>
        <v>203843.96693765477</v>
      </c>
      <c r="M1265" s="30">
        <f>EDATE(Loans[[#This Row],[LoanStartDate]],Loans[[#This Row],[LoanTenureMonths]])</f>
        <v>46262</v>
      </c>
      <c r="N1265" s="33">
        <f>IF(Loans[[#This Row],[LoanAmount]]=0,0,Loans[[#This Row],[CollateralValue]]/Loans[[#This Row],[LoanAmount]])</f>
        <v>0.96</v>
      </c>
      <c r="O1265" t="str">
        <f>IF(Loans[[#This Row],[CollateralCoverageRatio]]&lt;1,"Undersecured","Secured")</f>
        <v>Undersecured</v>
      </c>
      <c r="P1265" t="str">
        <f>_xlfn.XLOOKUP(Loans[[#This Row],[BranchCode]],BranchesTbl[BranchCode],BranchesTbl[BranchName])</f>
        <v>Mombasa</v>
      </c>
      <c r="Q1265">
        <f>_xlfn.XLOOKUP(Loans[[#This Row],[CustomerID]],CustomerTbl[CustomerID],CustomerTbl[RiskScore])</f>
        <v>674</v>
      </c>
      <c r="R1265" t="str">
        <f>IFERROR(INDEX(RiskTbl[Risk_Category],MATCH(Loans[[#This Row],[RiskScore]],RiskTbl[Score_Min],1)),"Unknown")</f>
        <v>Low Risk</v>
      </c>
      <c r="S1265" t="str">
        <f>IF(OR(Loans[[#This Row],[LoanStatus]]="Default",Loans[[#This Row],[LoanStatus]]="Watchlist",Loans[[#This Row],[CollateralRisk]]="Undersecured",Loans[[#This Row],[RiskCategory]]="High Risk"),"High Risk Exposure","Normal")</f>
        <v>High Risk Exposure</v>
      </c>
      <c r="T1265" t="str" cm="1">
        <f t="array" ref="T1265">_xlfn.IFS(
Loans[[#This Row],[LoanStatus]]="Default","Critical",
OR(Loans[[#This Row],[LoanStatus]]="Watchlist",Loans[[#This Row],[CollateralRisk]]="Undersecured",Loans[[#This Row],[RiskCategory]]="High Risk"),"High",
TRUE,"Normal"
)</f>
        <v>High</v>
      </c>
    </row>
    <row r="1266" spans="1:20" x14ac:dyDescent="0.35">
      <c r="A1266" t="s">
        <v>2034</v>
      </c>
      <c r="B1266" t="s">
        <v>1364</v>
      </c>
      <c r="C1266" t="s">
        <v>270</v>
      </c>
      <c r="D1266" t="s">
        <v>157</v>
      </c>
      <c r="E1266" s="34">
        <v>25000000</v>
      </c>
      <c r="F1266" s="29">
        <v>0.1164</v>
      </c>
      <c r="G1266" s="30">
        <v>44621</v>
      </c>
      <c r="H1266">
        <v>48</v>
      </c>
      <c r="I1266">
        <v>120</v>
      </c>
      <c r="J1266" s="34">
        <v>25750000</v>
      </c>
      <c r="K1266" t="s">
        <v>178</v>
      </c>
      <c r="L1266" s="34">
        <f>PMT(Loans[[#This Row],[InterestRate]]/12,Loans[[#This Row],[LoanTenureMonths]],-Loans[[#This Row],[LoanAmount]])</f>
        <v>653935.63444744237</v>
      </c>
      <c r="M1266" s="30">
        <f>EDATE(Loans[[#This Row],[LoanStartDate]],Loans[[#This Row],[LoanTenureMonths]])</f>
        <v>46082</v>
      </c>
      <c r="N1266" s="33">
        <f>IF(Loans[[#This Row],[LoanAmount]]=0,0,Loans[[#This Row],[CollateralValue]]/Loans[[#This Row],[LoanAmount]])</f>
        <v>1.03</v>
      </c>
      <c r="O1266" t="str">
        <f>IF(Loans[[#This Row],[CollateralCoverageRatio]]&lt;1,"Undersecured","Secured")</f>
        <v>Secured</v>
      </c>
      <c r="P1266" t="str">
        <f>_xlfn.XLOOKUP(Loans[[#This Row],[BranchCode]],BranchesTbl[BranchCode],BranchesTbl[BranchName])</f>
        <v>Nakuru</v>
      </c>
      <c r="Q1266">
        <f>_xlfn.XLOOKUP(Loans[[#This Row],[CustomerID]],CustomerTbl[CustomerID],CustomerTbl[RiskScore])</f>
        <v>325</v>
      </c>
      <c r="R1266" t="str">
        <f>IFERROR(INDEX(RiskTbl[Risk_Category],MATCH(Loans[[#This Row],[RiskScore]],RiskTbl[Score_Min],1)),"Unknown")</f>
        <v>High Risk</v>
      </c>
      <c r="S1266" t="str">
        <f>IF(OR(Loans[[#This Row],[LoanStatus]]="Default",Loans[[#This Row],[LoanStatus]]="Watchlist",Loans[[#This Row],[CollateralRisk]]="Undersecured",Loans[[#This Row],[RiskCategory]]="High Risk"),"High Risk Exposure","Normal")</f>
        <v>High Risk Exposure</v>
      </c>
      <c r="T1266" t="str" cm="1">
        <f t="array" ref="T1266">_xlfn.IFS(
Loans[[#This Row],[LoanStatus]]="Default","Critical",
OR(Loans[[#This Row],[LoanStatus]]="Watchlist",Loans[[#This Row],[CollateralRisk]]="Undersecured",Loans[[#This Row],[RiskCategory]]="High Risk"),"High",
TRUE,"Normal"
)</f>
        <v>Critical</v>
      </c>
    </row>
    <row r="1267" spans="1:20" x14ac:dyDescent="0.35">
      <c r="A1267" t="s">
        <v>2035</v>
      </c>
      <c r="B1267" t="s">
        <v>2036</v>
      </c>
      <c r="C1267" t="s">
        <v>187</v>
      </c>
      <c r="D1267" t="s">
        <v>155</v>
      </c>
      <c r="E1267" s="34">
        <v>100000</v>
      </c>
      <c r="F1267" s="29">
        <v>0.16300000000000001</v>
      </c>
      <c r="G1267" s="30">
        <v>44853</v>
      </c>
      <c r="H1267">
        <v>48</v>
      </c>
      <c r="I1267">
        <v>90</v>
      </c>
      <c r="J1267" s="34">
        <v>0</v>
      </c>
      <c r="K1267" t="s">
        <v>199</v>
      </c>
      <c r="L1267" s="34">
        <f>PMT(Loans[[#This Row],[InterestRate]]/12,Loans[[#This Row],[LoanTenureMonths]],-Loans[[#This Row],[LoanAmount]])</f>
        <v>2849.416169733955</v>
      </c>
      <c r="M1267" s="30">
        <f>EDATE(Loans[[#This Row],[LoanStartDate]],Loans[[#This Row],[LoanTenureMonths]])</f>
        <v>46314</v>
      </c>
      <c r="N1267" s="33">
        <f>IF(Loans[[#This Row],[LoanAmount]]=0,0,Loans[[#This Row],[CollateralValue]]/Loans[[#This Row],[LoanAmount]])</f>
        <v>0</v>
      </c>
      <c r="O1267" t="str">
        <f>IF(Loans[[#This Row],[CollateralCoverageRatio]]&lt;1,"Undersecured","Secured")</f>
        <v>Undersecured</v>
      </c>
      <c r="P1267" t="str">
        <f>_xlfn.XLOOKUP(Loans[[#This Row],[BranchCode]],BranchesTbl[BranchCode],BranchesTbl[BranchName])</f>
        <v>Eldoret</v>
      </c>
      <c r="Q1267">
        <f>_xlfn.XLOOKUP(Loans[[#This Row],[CustomerID]],CustomerTbl[CustomerID],CustomerTbl[RiskScore])</f>
        <v>768</v>
      </c>
      <c r="R1267" t="str">
        <f>IFERROR(INDEX(RiskTbl[Risk_Category],MATCH(Loans[[#This Row],[RiskScore]],RiskTbl[Score_Min],1)),"Unknown")</f>
        <v>Very Low Risk</v>
      </c>
      <c r="S1267" t="str">
        <f>IF(OR(Loans[[#This Row],[LoanStatus]]="Default",Loans[[#This Row],[LoanStatus]]="Watchlist",Loans[[#This Row],[CollateralRisk]]="Undersecured",Loans[[#This Row],[RiskCategory]]="High Risk"),"High Risk Exposure","Normal")</f>
        <v>High Risk Exposure</v>
      </c>
      <c r="T1267" t="str" cm="1">
        <f t="array" ref="T1267">_xlfn.IFS(
Loans[[#This Row],[LoanStatus]]="Default","Critical",
OR(Loans[[#This Row],[LoanStatus]]="Watchlist",Loans[[#This Row],[CollateralRisk]]="Undersecured",Loans[[#This Row],[RiskCategory]]="High Risk"),"High",
TRUE,"Normal"
)</f>
        <v>High</v>
      </c>
    </row>
    <row r="1268" spans="1:20" x14ac:dyDescent="0.35">
      <c r="A1268" t="s">
        <v>2037</v>
      </c>
      <c r="B1268" t="s">
        <v>967</v>
      </c>
      <c r="C1268" t="s">
        <v>187</v>
      </c>
      <c r="D1268" t="s">
        <v>157</v>
      </c>
      <c r="E1268" s="34">
        <v>80000000</v>
      </c>
      <c r="F1268" s="29">
        <v>0.1183</v>
      </c>
      <c r="G1268" s="30">
        <v>45080</v>
      </c>
      <c r="H1268">
        <v>12</v>
      </c>
      <c r="I1268">
        <v>0</v>
      </c>
      <c r="J1268" s="34">
        <v>70400000</v>
      </c>
      <c r="K1268" t="s">
        <v>171</v>
      </c>
      <c r="L1268" s="34">
        <f>PMT(Loans[[#This Row],[InterestRate]]/12,Loans[[#This Row],[LoanTenureMonths]],-Loans[[#This Row],[LoanAmount]])</f>
        <v>7101542.4615246626</v>
      </c>
      <c r="M1268" s="30">
        <f>EDATE(Loans[[#This Row],[LoanStartDate]],Loans[[#This Row],[LoanTenureMonths]])</f>
        <v>45446</v>
      </c>
      <c r="N1268" s="33">
        <f>IF(Loans[[#This Row],[LoanAmount]]=0,0,Loans[[#This Row],[CollateralValue]]/Loans[[#This Row],[LoanAmount]])</f>
        <v>0.88</v>
      </c>
      <c r="O1268" t="str">
        <f>IF(Loans[[#This Row],[CollateralCoverageRatio]]&lt;1,"Undersecured","Secured")</f>
        <v>Undersecured</v>
      </c>
      <c r="P1268" t="str">
        <f>_xlfn.XLOOKUP(Loans[[#This Row],[BranchCode]],BranchesTbl[BranchCode],BranchesTbl[BranchName])</f>
        <v>Eldoret</v>
      </c>
      <c r="Q1268">
        <f>_xlfn.XLOOKUP(Loans[[#This Row],[CustomerID]],CustomerTbl[CustomerID],CustomerTbl[RiskScore])</f>
        <v>751</v>
      </c>
      <c r="R1268" t="str">
        <f>IFERROR(INDEX(RiskTbl[Risk_Category],MATCH(Loans[[#This Row],[RiskScore]],RiskTbl[Score_Min],1)),"Unknown")</f>
        <v>Very Low Risk</v>
      </c>
      <c r="S1268" t="str">
        <f>IF(OR(Loans[[#This Row],[LoanStatus]]="Default",Loans[[#This Row],[LoanStatus]]="Watchlist",Loans[[#This Row],[CollateralRisk]]="Undersecured",Loans[[#This Row],[RiskCategory]]="High Risk"),"High Risk Exposure","Normal")</f>
        <v>High Risk Exposure</v>
      </c>
      <c r="T1268" t="str" cm="1">
        <f t="array" ref="T1268">_xlfn.IFS(
Loans[[#This Row],[LoanStatus]]="Default","Critical",
OR(Loans[[#This Row],[LoanStatus]]="Watchlist",Loans[[#This Row],[CollateralRisk]]="Undersecured",Loans[[#This Row],[RiskCategory]]="High Risk"),"High",
TRUE,"Normal"
)</f>
        <v>High</v>
      </c>
    </row>
    <row r="1269" spans="1:20" x14ac:dyDescent="0.35">
      <c r="A1269" t="s">
        <v>2038</v>
      </c>
      <c r="B1269" t="s">
        <v>328</v>
      </c>
      <c r="C1269" t="s">
        <v>196</v>
      </c>
      <c r="D1269" t="s">
        <v>158</v>
      </c>
      <c r="E1269" s="34">
        <v>3000000</v>
      </c>
      <c r="F1269" s="29">
        <v>0.18329999999999999</v>
      </c>
      <c r="G1269" s="30">
        <v>45317</v>
      </c>
      <c r="H1269">
        <v>36</v>
      </c>
      <c r="I1269">
        <v>0</v>
      </c>
      <c r="J1269" s="34">
        <v>1530000</v>
      </c>
      <c r="K1269" t="s">
        <v>171</v>
      </c>
      <c r="L1269" s="34">
        <f>PMT(Loans[[#This Row],[InterestRate]]/12,Loans[[#This Row],[LoanTenureMonths]],-Loans[[#This Row],[LoanAmount]])</f>
        <v>108954.46524072734</v>
      </c>
      <c r="M1269" s="30">
        <f>EDATE(Loans[[#This Row],[LoanStartDate]],Loans[[#This Row],[LoanTenureMonths]])</f>
        <v>46413</v>
      </c>
      <c r="N1269" s="33">
        <f>IF(Loans[[#This Row],[LoanAmount]]=0,0,Loans[[#This Row],[CollateralValue]]/Loans[[#This Row],[LoanAmount]])</f>
        <v>0.51</v>
      </c>
      <c r="O1269" t="str">
        <f>IF(Loans[[#This Row],[CollateralCoverageRatio]]&lt;1,"Undersecured","Secured")</f>
        <v>Undersecured</v>
      </c>
      <c r="P1269" t="str">
        <f>_xlfn.XLOOKUP(Loans[[#This Row],[BranchCode]],BranchesTbl[BranchCode],BranchesTbl[BranchName])</f>
        <v>Karen</v>
      </c>
      <c r="Q1269">
        <f>_xlfn.XLOOKUP(Loans[[#This Row],[CustomerID]],CustomerTbl[CustomerID],CustomerTbl[RiskScore])</f>
        <v>793</v>
      </c>
      <c r="R1269" t="str">
        <f>IFERROR(INDEX(RiskTbl[Risk_Category],MATCH(Loans[[#This Row],[RiskScore]],RiskTbl[Score_Min],1)),"Unknown")</f>
        <v>Very Low Risk</v>
      </c>
      <c r="S1269" t="str">
        <f>IF(OR(Loans[[#This Row],[LoanStatus]]="Default",Loans[[#This Row],[LoanStatus]]="Watchlist",Loans[[#This Row],[CollateralRisk]]="Undersecured",Loans[[#This Row],[RiskCategory]]="High Risk"),"High Risk Exposure","Normal")</f>
        <v>High Risk Exposure</v>
      </c>
      <c r="T1269" t="str" cm="1">
        <f t="array" ref="T1269">_xlfn.IFS(
Loans[[#This Row],[LoanStatus]]="Default","Critical",
OR(Loans[[#This Row],[LoanStatus]]="Watchlist",Loans[[#This Row],[CollateralRisk]]="Undersecured",Loans[[#This Row],[RiskCategory]]="High Risk"),"High",
TRUE,"Normal"
)</f>
        <v>High</v>
      </c>
    </row>
    <row r="1270" spans="1:20" x14ac:dyDescent="0.35">
      <c r="A1270" t="s">
        <v>2039</v>
      </c>
      <c r="B1270" t="s">
        <v>641</v>
      </c>
      <c r="C1270" t="s">
        <v>239</v>
      </c>
      <c r="D1270" t="s">
        <v>156</v>
      </c>
      <c r="E1270" s="34">
        <v>25000000</v>
      </c>
      <c r="F1270" s="29">
        <v>0.1419</v>
      </c>
      <c r="G1270" s="30">
        <v>45067</v>
      </c>
      <c r="H1270">
        <v>60</v>
      </c>
      <c r="I1270">
        <v>0</v>
      </c>
      <c r="J1270" s="34">
        <v>22250000</v>
      </c>
      <c r="K1270" t="s">
        <v>171</v>
      </c>
      <c r="L1270" s="34">
        <f>PMT(Loans[[#This Row],[InterestRate]]/12,Loans[[#This Row],[LoanTenureMonths]],-Loans[[#This Row],[LoanAmount]])</f>
        <v>584171.78051921551</v>
      </c>
      <c r="M1270" s="30">
        <f>EDATE(Loans[[#This Row],[LoanStartDate]],Loans[[#This Row],[LoanTenureMonths]])</f>
        <v>46894</v>
      </c>
      <c r="N1270" s="33">
        <f>IF(Loans[[#This Row],[LoanAmount]]=0,0,Loans[[#This Row],[CollateralValue]]/Loans[[#This Row],[LoanAmount]])</f>
        <v>0.89</v>
      </c>
      <c r="O1270" t="str">
        <f>IF(Loans[[#This Row],[CollateralCoverageRatio]]&lt;1,"Undersecured","Secured")</f>
        <v>Undersecured</v>
      </c>
      <c r="P1270" t="str">
        <f>_xlfn.XLOOKUP(Loans[[#This Row],[BranchCode]],BranchesTbl[BranchCode],BranchesTbl[BranchName])</f>
        <v>Machakos</v>
      </c>
      <c r="Q1270">
        <f>_xlfn.XLOOKUP(Loans[[#This Row],[CustomerID]],CustomerTbl[CustomerID],CustomerTbl[RiskScore])</f>
        <v>598</v>
      </c>
      <c r="R1270" t="str">
        <f>IFERROR(INDEX(RiskTbl[Risk_Category],MATCH(Loans[[#This Row],[RiskScore]],RiskTbl[Score_Min],1)),"Unknown")</f>
        <v>Medium Risk</v>
      </c>
      <c r="S1270" t="str">
        <f>IF(OR(Loans[[#This Row],[LoanStatus]]="Default",Loans[[#This Row],[LoanStatus]]="Watchlist",Loans[[#This Row],[CollateralRisk]]="Undersecured",Loans[[#This Row],[RiskCategory]]="High Risk"),"High Risk Exposure","Normal")</f>
        <v>High Risk Exposure</v>
      </c>
      <c r="T1270" t="str" cm="1">
        <f t="array" ref="T1270">_xlfn.IFS(
Loans[[#This Row],[LoanStatus]]="Default","Critical",
OR(Loans[[#This Row],[LoanStatus]]="Watchlist",Loans[[#This Row],[CollateralRisk]]="Undersecured",Loans[[#This Row],[RiskCategory]]="High Risk"),"High",
TRUE,"Normal"
)</f>
        <v>High</v>
      </c>
    </row>
    <row r="1271" spans="1:20" x14ac:dyDescent="0.35">
      <c r="A1271" t="s">
        <v>2040</v>
      </c>
      <c r="B1271" t="s">
        <v>1366</v>
      </c>
      <c r="C1271" t="s">
        <v>270</v>
      </c>
      <c r="D1271" t="s">
        <v>156</v>
      </c>
      <c r="E1271" s="34">
        <v>25000000</v>
      </c>
      <c r="F1271" s="29">
        <v>0.16220000000000001</v>
      </c>
      <c r="G1271" s="30">
        <v>45666</v>
      </c>
      <c r="H1271">
        <v>48</v>
      </c>
      <c r="I1271">
        <v>10</v>
      </c>
      <c r="J1271" s="34">
        <v>23500000</v>
      </c>
      <c r="K1271" t="s">
        <v>171</v>
      </c>
      <c r="L1271" s="34">
        <f>PMT(Loans[[#This Row],[InterestRate]]/12,Loans[[#This Row],[LoanTenureMonths]],-Loans[[#This Row],[LoanAmount]])</f>
        <v>711327.02066354256</v>
      </c>
      <c r="M1271" s="30">
        <f>EDATE(Loans[[#This Row],[LoanStartDate]],Loans[[#This Row],[LoanTenureMonths]])</f>
        <v>47127</v>
      </c>
      <c r="N1271" s="33">
        <f>IF(Loans[[#This Row],[LoanAmount]]=0,0,Loans[[#This Row],[CollateralValue]]/Loans[[#This Row],[LoanAmount]])</f>
        <v>0.94</v>
      </c>
      <c r="O1271" t="str">
        <f>IF(Loans[[#This Row],[CollateralCoverageRatio]]&lt;1,"Undersecured","Secured")</f>
        <v>Undersecured</v>
      </c>
      <c r="P1271" t="str">
        <f>_xlfn.XLOOKUP(Loans[[#This Row],[BranchCode]],BranchesTbl[BranchCode],BranchesTbl[BranchName])</f>
        <v>Nakuru</v>
      </c>
      <c r="Q1271">
        <f>_xlfn.XLOOKUP(Loans[[#This Row],[CustomerID]],CustomerTbl[CustomerID],CustomerTbl[RiskScore])</f>
        <v>834</v>
      </c>
      <c r="R1271" t="str">
        <f>IFERROR(INDEX(RiskTbl[Risk_Category],MATCH(Loans[[#This Row],[RiskScore]],RiskTbl[Score_Min],1)),"Unknown")</f>
        <v>Prime</v>
      </c>
      <c r="S1271" t="str">
        <f>IF(OR(Loans[[#This Row],[LoanStatus]]="Default",Loans[[#This Row],[LoanStatus]]="Watchlist",Loans[[#This Row],[CollateralRisk]]="Undersecured",Loans[[#This Row],[RiskCategory]]="High Risk"),"High Risk Exposure","Normal")</f>
        <v>High Risk Exposure</v>
      </c>
      <c r="T1271" t="str" cm="1">
        <f t="array" ref="T1271">_xlfn.IFS(
Loans[[#This Row],[LoanStatus]]="Default","Critical",
OR(Loans[[#This Row],[LoanStatus]]="Watchlist",Loans[[#This Row],[CollateralRisk]]="Undersecured",Loans[[#This Row],[RiskCategory]]="High Risk"),"High",
TRUE,"Normal"
)</f>
        <v>High</v>
      </c>
    </row>
    <row r="1272" spans="1:20" x14ac:dyDescent="0.35">
      <c r="A1272" t="s">
        <v>2041</v>
      </c>
      <c r="B1272" t="s">
        <v>205</v>
      </c>
      <c r="C1272" t="s">
        <v>239</v>
      </c>
      <c r="D1272" t="s">
        <v>155</v>
      </c>
      <c r="E1272" s="34">
        <v>1000000</v>
      </c>
      <c r="F1272" s="29">
        <v>0.17469999999999999</v>
      </c>
      <c r="G1272" s="30">
        <v>45376</v>
      </c>
      <c r="H1272">
        <v>48</v>
      </c>
      <c r="I1272">
        <v>90</v>
      </c>
      <c r="J1272" s="34">
        <v>0</v>
      </c>
      <c r="K1272" t="s">
        <v>199</v>
      </c>
      <c r="L1272" s="34">
        <f>PMT(Loans[[#This Row],[InterestRate]]/12,Loans[[#This Row],[LoanTenureMonths]],-Loans[[#This Row],[LoanAmount]])</f>
        <v>29098.777176642794</v>
      </c>
      <c r="M1272" s="30">
        <f>EDATE(Loans[[#This Row],[LoanStartDate]],Loans[[#This Row],[LoanTenureMonths]])</f>
        <v>46837</v>
      </c>
      <c r="N1272" s="33">
        <f>IF(Loans[[#This Row],[LoanAmount]]=0,0,Loans[[#This Row],[CollateralValue]]/Loans[[#This Row],[LoanAmount]])</f>
        <v>0</v>
      </c>
      <c r="O1272" t="str">
        <f>IF(Loans[[#This Row],[CollateralCoverageRatio]]&lt;1,"Undersecured","Secured")</f>
        <v>Undersecured</v>
      </c>
      <c r="P1272" t="str">
        <f>_xlfn.XLOOKUP(Loans[[#This Row],[BranchCode]],BranchesTbl[BranchCode],BranchesTbl[BranchName])</f>
        <v>Machakos</v>
      </c>
      <c r="Q1272">
        <f>_xlfn.XLOOKUP(Loans[[#This Row],[CustomerID]],CustomerTbl[CustomerID],CustomerTbl[RiskScore])</f>
        <v>330</v>
      </c>
      <c r="R1272" t="str">
        <f>IFERROR(INDEX(RiskTbl[Risk_Category],MATCH(Loans[[#This Row],[RiskScore]],RiskTbl[Score_Min],1)),"Unknown")</f>
        <v>High Risk</v>
      </c>
      <c r="S1272" t="str">
        <f>IF(OR(Loans[[#This Row],[LoanStatus]]="Default",Loans[[#This Row],[LoanStatus]]="Watchlist",Loans[[#This Row],[CollateralRisk]]="Undersecured",Loans[[#This Row],[RiskCategory]]="High Risk"),"High Risk Exposure","Normal")</f>
        <v>High Risk Exposure</v>
      </c>
      <c r="T1272" t="str" cm="1">
        <f t="array" ref="T1272">_xlfn.IFS(
Loans[[#This Row],[LoanStatus]]="Default","Critical",
OR(Loans[[#This Row],[LoanStatus]]="Watchlist",Loans[[#This Row],[CollateralRisk]]="Undersecured",Loans[[#This Row],[RiskCategory]]="High Risk"),"High",
TRUE,"Normal"
)</f>
        <v>High</v>
      </c>
    </row>
    <row r="1273" spans="1:20" x14ac:dyDescent="0.35">
      <c r="A1273" t="s">
        <v>2042</v>
      </c>
      <c r="B1273" t="s">
        <v>1034</v>
      </c>
      <c r="C1273" t="s">
        <v>267</v>
      </c>
      <c r="D1273" t="s">
        <v>157</v>
      </c>
      <c r="E1273" s="34">
        <v>6000000</v>
      </c>
      <c r="F1273" s="29">
        <v>0.13730000000000001</v>
      </c>
      <c r="G1273" s="30">
        <v>44629</v>
      </c>
      <c r="H1273">
        <v>60</v>
      </c>
      <c r="I1273">
        <v>5</v>
      </c>
      <c r="J1273" s="34">
        <v>8220000</v>
      </c>
      <c r="K1273" t="s">
        <v>171</v>
      </c>
      <c r="L1273" s="34">
        <f>PMT(Loans[[#This Row],[InterestRate]]/12,Loans[[#This Row],[LoanTenureMonths]],-Loans[[#This Row],[LoanAmount]])</f>
        <v>138771.05969709004</v>
      </c>
      <c r="M1273" s="30">
        <f>EDATE(Loans[[#This Row],[LoanStartDate]],Loans[[#This Row],[LoanTenureMonths]])</f>
        <v>46455</v>
      </c>
      <c r="N1273" s="33">
        <f>IF(Loans[[#This Row],[LoanAmount]]=0,0,Loans[[#This Row],[CollateralValue]]/Loans[[#This Row],[LoanAmount]])</f>
        <v>1.37</v>
      </c>
      <c r="O1273" t="str">
        <f>IF(Loans[[#This Row],[CollateralCoverageRatio]]&lt;1,"Undersecured","Secured")</f>
        <v>Secured</v>
      </c>
      <c r="P1273" t="str">
        <f>_xlfn.XLOOKUP(Loans[[#This Row],[BranchCode]],BranchesTbl[BranchCode],BranchesTbl[BranchName])</f>
        <v>Malindi</v>
      </c>
      <c r="Q1273">
        <f>_xlfn.XLOOKUP(Loans[[#This Row],[CustomerID]],CustomerTbl[CustomerID],CustomerTbl[RiskScore])</f>
        <v>320</v>
      </c>
      <c r="R1273" t="str">
        <f>IFERROR(INDEX(RiskTbl[Risk_Category],MATCH(Loans[[#This Row],[RiskScore]],RiskTbl[Score_Min],1)),"Unknown")</f>
        <v>High Risk</v>
      </c>
      <c r="S1273" t="str">
        <f>IF(OR(Loans[[#This Row],[LoanStatus]]="Default",Loans[[#This Row],[LoanStatus]]="Watchlist",Loans[[#This Row],[CollateralRisk]]="Undersecured",Loans[[#This Row],[RiskCategory]]="High Risk"),"High Risk Exposure","Normal")</f>
        <v>High Risk Exposure</v>
      </c>
      <c r="T1273" t="str" cm="1">
        <f t="array" ref="T1273">_xlfn.IFS(
Loans[[#This Row],[LoanStatus]]="Default","Critical",
OR(Loans[[#This Row],[LoanStatus]]="Watchlist",Loans[[#This Row],[CollateralRisk]]="Undersecured",Loans[[#This Row],[RiskCategory]]="High Risk"),"High",
TRUE,"Normal"
)</f>
        <v>High</v>
      </c>
    </row>
    <row r="1274" spans="1:20" x14ac:dyDescent="0.35">
      <c r="A1274" t="s">
        <v>2043</v>
      </c>
      <c r="B1274" t="s">
        <v>1272</v>
      </c>
      <c r="C1274" t="s">
        <v>193</v>
      </c>
      <c r="D1274" t="s">
        <v>157</v>
      </c>
      <c r="E1274" s="34">
        <v>25000000</v>
      </c>
      <c r="F1274" s="29">
        <v>0.1249</v>
      </c>
      <c r="G1274" s="30">
        <v>44030</v>
      </c>
      <c r="H1274">
        <v>12</v>
      </c>
      <c r="I1274">
        <v>45</v>
      </c>
      <c r="J1274" s="34">
        <v>16750000</v>
      </c>
      <c r="K1274" t="s">
        <v>199</v>
      </c>
      <c r="L1274" s="34">
        <f>PMT(Loans[[#This Row],[InterestRate]]/12,Loans[[#This Row],[LoanTenureMonths]],-Loans[[#This Row],[LoanAmount]])</f>
        <v>2226954.4476805655</v>
      </c>
      <c r="M1274" s="30">
        <f>EDATE(Loans[[#This Row],[LoanStartDate]],Loans[[#This Row],[LoanTenureMonths]])</f>
        <v>44395</v>
      </c>
      <c r="N1274" s="33">
        <f>IF(Loans[[#This Row],[LoanAmount]]=0,0,Loans[[#This Row],[CollateralValue]]/Loans[[#This Row],[LoanAmount]])</f>
        <v>0.67</v>
      </c>
      <c r="O1274" t="str">
        <f>IF(Loans[[#This Row],[CollateralCoverageRatio]]&lt;1,"Undersecured","Secured")</f>
        <v>Undersecured</v>
      </c>
      <c r="P1274" t="str">
        <f>_xlfn.XLOOKUP(Loans[[#This Row],[BranchCode]],BranchesTbl[BranchCode],BranchesTbl[BranchName])</f>
        <v>Mombasa</v>
      </c>
      <c r="Q1274">
        <f>_xlfn.XLOOKUP(Loans[[#This Row],[CustomerID]],CustomerTbl[CustomerID],CustomerTbl[RiskScore])</f>
        <v>667</v>
      </c>
      <c r="R1274" t="str">
        <f>IFERROR(INDEX(RiskTbl[Risk_Category],MATCH(Loans[[#This Row],[RiskScore]],RiskTbl[Score_Min],1)),"Unknown")</f>
        <v>Medium Risk</v>
      </c>
      <c r="S1274" t="str">
        <f>IF(OR(Loans[[#This Row],[LoanStatus]]="Default",Loans[[#This Row],[LoanStatus]]="Watchlist",Loans[[#This Row],[CollateralRisk]]="Undersecured",Loans[[#This Row],[RiskCategory]]="High Risk"),"High Risk Exposure","Normal")</f>
        <v>High Risk Exposure</v>
      </c>
      <c r="T1274" t="str" cm="1">
        <f t="array" ref="T1274">_xlfn.IFS(
Loans[[#This Row],[LoanStatus]]="Default","Critical",
OR(Loans[[#This Row],[LoanStatus]]="Watchlist",Loans[[#This Row],[CollateralRisk]]="Undersecured",Loans[[#This Row],[RiskCategory]]="High Risk"),"High",
TRUE,"Normal"
)</f>
        <v>High</v>
      </c>
    </row>
    <row r="1275" spans="1:20" x14ac:dyDescent="0.35">
      <c r="A1275" t="s">
        <v>2044</v>
      </c>
      <c r="B1275" t="s">
        <v>379</v>
      </c>
      <c r="C1275" t="s">
        <v>184</v>
      </c>
      <c r="D1275" t="s">
        <v>158</v>
      </c>
      <c r="E1275" s="34">
        <v>500000</v>
      </c>
      <c r="F1275" s="29">
        <v>0.1303</v>
      </c>
      <c r="G1275" s="30">
        <v>45603</v>
      </c>
      <c r="H1275">
        <v>12</v>
      </c>
      <c r="I1275">
        <v>45</v>
      </c>
      <c r="J1275" s="34">
        <v>430000</v>
      </c>
      <c r="K1275" t="s">
        <v>199</v>
      </c>
      <c r="L1275" s="34">
        <f>PMT(Loans[[#This Row],[InterestRate]]/12,Loans[[#This Row],[LoanTenureMonths]],-Loans[[#This Row],[LoanAmount]])</f>
        <v>44665.675632766615</v>
      </c>
      <c r="M1275" s="30">
        <f>EDATE(Loans[[#This Row],[LoanStartDate]],Loans[[#This Row],[LoanTenureMonths]])</f>
        <v>45968</v>
      </c>
      <c r="N1275" s="33">
        <f>IF(Loans[[#This Row],[LoanAmount]]=0,0,Loans[[#This Row],[CollateralValue]]/Loans[[#This Row],[LoanAmount]])</f>
        <v>0.86</v>
      </c>
      <c r="O1275" t="str">
        <f>IF(Loans[[#This Row],[CollateralCoverageRatio]]&lt;1,"Undersecured","Secured")</f>
        <v>Undersecured</v>
      </c>
      <c r="P1275" t="str">
        <f>_xlfn.XLOOKUP(Loans[[#This Row],[BranchCode]],BranchesTbl[BranchCode],BranchesTbl[BranchName])</f>
        <v>Kisumu</v>
      </c>
      <c r="Q1275">
        <f>_xlfn.XLOOKUP(Loans[[#This Row],[CustomerID]],CustomerTbl[CustomerID],CustomerTbl[RiskScore])</f>
        <v>696</v>
      </c>
      <c r="R1275" t="str">
        <f>IFERROR(INDEX(RiskTbl[Risk_Category],MATCH(Loans[[#This Row],[RiskScore]],RiskTbl[Score_Min],1)),"Unknown")</f>
        <v>Low Risk</v>
      </c>
      <c r="S1275" t="str">
        <f>IF(OR(Loans[[#This Row],[LoanStatus]]="Default",Loans[[#This Row],[LoanStatus]]="Watchlist",Loans[[#This Row],[CollateralRisk]]="Undersecured",Loans[[#This Row],[RiskCategory]]="High Risk"),"High Risk Exposure","Normal")</f>
        <v>High Risk Exposure</v>
      </c>
      <c r="T1275" t="str" cm="1">
        <f t="array" ref="T1275">_xlfn.IFS(
Loans[[#This Row],[LoanStatus]]="Default","Critical",
OR(Loans[[#This Row],[LoanStatus]]="Watchlist",Loans[[#This Row],[CollateralRisk]]="Undersecured",Loans[[#This Row],[RiskCategory]]="High Risk"),"High",
TRUE,"Normal"
)</f>
        <v>High</v>
      </c>
    </row>
    <row r="1276" spans="1:20" x14ac:dyDescent="0.35">
      <c r="A1276" t="s">
        <v>2045</v>
      </c>
      <c r="B1276" t="s">
        <v>2046</v>
      </c>
      <c r="C1276" t="s">
        <v>219</v>
      </c>
      <c r="D1276" t="s">
        <v>158</v>
      </c>
      <c r="E1276" s="34">
        <v>500000</v>
      </c>
      <c r="F1276" s="29">
        <v>0.1671</v>
      </c>
      <c r="G1276" s="30">
        <v>44973</v>
      </c>
      <c r="H1276">
        <v>24</v>
      </c>
      <c r="I1276">
        <v>90</v>
      </c>
      <c r="J1276" s="34">
        <v>450000</v>
      </c>
      <c r="K1276" t="s">
        <v>199</v>
      </c>
      <c r="L1276" s="34">
        <f>PMT(Loans[[#This Row],[InterestRate]]/12,Loans[[#This Row],[LoanTenureMonths]],-Loans[[#This Row],[LoanAmount]])</f>
        <v>24651.516448386294</v>
      </c>
      <c r="M1276" s="30">
        <f>EDATE(Loans[[#This Row],[LoanStartDate]],Loans[[#This Row],[LoanTenureMonths]])</f>
        <v>45704</v>
      </c>
      <c r="N1276" s="33">
        <f>IF(Loans[[#This Row],[LoanAmount]]=0,0,Loans[[#This Row],[CollateralValue]]/Loans[[#This Row],[LoanAmount]])</f>
        <v>0.9</v>
      </c>
      <c r="O1276" t="str">
        <f>IF(Loans[[#This Row],[CollateralCoverageRatio]]&lt;1,"Undersecured","Secured")</f>
        <v>Undersecured</v>
      </c>
      <c r="P1276" t="str">
        <f>_xlfn.XLOOKUP(Loans[[#This Row],[BranchCode]],BranchesTbl[BranchCode],BranchesTbl[BranchName])</f>
        <v>Meru</v>
      </c>
      <c r="Q1276">
        <f>_xlfn.XLOOKUP(Loans[[#This Row],[CustomerID]],CustomerTbl[CustomerID],CustomerTbl[RiskScore])</f>
        <v>336</v>
      </c>
      <c r="R1276" t="str">
        <f>IFERROR(INDEX(RiskTbl[Risk_Category],MATCH(Loans[[#This Row],[RiskScore]],RiskTbl[Score_Min],1)),"Unknown")</f>
        <v>High Risk</v>
      </c>
      <c r="S1276" t="str">
        <f>IF(OR(Loans[[#This Row],[LoanStatus]]="Default",Loans[[#This Row],[LoanStatus]]="Watchlist",Loans[[#This Row],[CollateralRisk]]="Undersecured",Loans[[#This Row],[RiskCategory]]="High Risk"),"High Risk Exposure","Normal")</f>
        <v>High Risk Exposure</v>
      </c>
      <c r="T1276" t="str" cm="1">
        <f t="array" ref="T1276">_xlfn.IFS(
Loans[[#This Row],[LoanStatus]]="Default","Critical",
OR(Loans[[#This Row],[LoanStatus]]="Watchlist",Loans[[#This Row],[CollateralRisk]]="Undersecured",Loans[[#This Row],[RiskCategory]]="High Risk"),"High",
TRUE,"Normal"
)</f>
        <v>High</v>
      </c>
    </row>
    <row r="1277" spans="1:20" x14ac:dyDescent="0.35">
      <c r="A1277" t="s">
        <v>2047</v>
      </c>
      <c r="B1277" t="s">
        <v>227</v>
      </c>
      <c r="C1277" t="s">
        <v>177</v>
      </c>
      <c r="D1277" t="s">
        <v>158</v>
      </c>
      <c r="E1277" s="34">
        <v>500000</v>
      </c>
      <c r="F1277" s="29">
        <v>0.16520000000000001</v>
      </c>
      <c r="G1277" s="30">
        <v>45375</v>
      </c>
      <c r="H1277">
        <v>72</v>
      </c>
      <c r="I1277">
        <v>0</v>
      </c>
      <c r="J1277" s="34">
        <v>340000</v>
      </c>
      <c r="K1277" t="s">
        <v>171</v>
      </c>
      <c r="L1277" s="34">
        <f>PMT(Loans[[#This Row],[InterestRate]]/12,Loans[[#This Row],[LoanTenureMonths]],-Loans[[#This Row],[LoanAmount]])</f>
        <v>10989.573059741258</v>
      </c>
      <c r="M1277" s="30">
        <f>EDATE(Loans[[#This Row],[LoanStartDate]],Loans[[#This Row],[LoanTenureMonths]])</f>
        <v>47566</v>
      </c>
      <c r="N1277" s="33">
        <f>IF(Loans[[#This Row],[LoanAmount]]=0,0,Loans[[#This Row],[CollateralValue]]/Loans[[#This Row],[LoanAmount]])</f>
        <v>0.68</v>
      </c>
      <c r="O1277" t="str">
        <f>IF(Loans[[#This Row],[CollateralCoverageRatio]]&lt;1,"Undersecured","Secured")</f>
        <v>Undersecured</v>
      </c>
      <c r="P1277" t="str">
        <f>_xlfn.XLOOKUP(Loans[[#This Row],[BranchCode]],BranchesTbl[BranchCode],BranchesTbl[BranchName])</f>
        <v>Naivasha</v>
      </c>
      <c r="Q1277">
        <f>_xlfn.XLOOKUP(Loans[[#This Row],[CustomerID]],CustomerTbl[CustomerID],CustomerTbl[RiskScore])</f>
        <v>702</v>
      </c>
      <c r="R1277" t="str">
        <f>IFERROR(INDEX(RiskTbl[Risk_Category],MATCH(Loans[[#This Row],[RiskScore]],RiskTbl[Score_Min],1)),"Unknown")</f>
        <v>Low Risk</v>
      </c>
      <c r="S1277" t="str">
        <f>IF(OR(Loans[[#This Row],[LoanStatus]]="Default",Loans[[#This Row],[LoanStatus]]="Watchlist",Loans[[#This Row],[CollateralRisk]]="Undersecured",Loans[[#This Row],[RiskCategory]]="High Risk"),"High Risk Exposure","Normal")</f>
        <v>High Risk Exposure</v>
      </c>
      <c r="T1277" t="str" cm="1">
        <f t="array" ref="T1277">_xlfn.IFS(
Loans[[#This Row],[LoanStatus]]="Default","Critical",
OR(Loans[[#This Row],[LoanStatus]]="Watchlist",Loans[[#This Row],[CollateralRisk]]="Undersecured",Loans[[#This Row],[RiskCategory]]="High Risk"),"High",
TRUE,"Normal"
)</f>
        <v>High</v>
      </c>
    </row>
    <row r="1278" spans="1:20" x14ac:dyDescent="0.35">
      <c r="A1278" t="s">
        <v>2048</v>
      </c>
      <c r="B1278" t="s">
        <v>2049</v>
      </c>
      <c r="C1278" t="s">
        <v>184</v>
      </c>
      <c r="D1278" t="s">
        <v>157</v>
      </c>
      <c r="E1278" s="34">
        <v>6000000</v>
      </c>
      <c r="F1278" s="29">
        <v>0.1226</v>
      </c>
      <c r="G1278" s="30">
        <v>43976</v>
      </c>
      <c r="H1278">
        <v>36</v>
      </c>
      <c r="I1278">
        <v>0</v>
      </c>
      <c r="J1278" s="34">
        <v>7500000</v>
      </c>
      <c r="K1278" t="s">
        <v>171</v>
      </c>
      <c r="L1278" s="34">
        <f>PMT(Loans[[#This Row],[InterestRate]]/12,Loans[[#This Row],[LoanTenureMonths]],-Loans[[#This Row],[LoanAmount]])</f>
        <v>200031.76663462946</v>
      </c>
      <c r="M1278" s="30">
        <f>EDATE(Loans[[#This Row],[LoanStartDate]],Loans[[#This Row],[LoanTenureMonths]])</f>
        <v>45071</v>
      </c>
      <c r="N1278" s="33">
        <f>IF(Loans[[#This Row],[LoanAmount]]=0,0,Loans[[#This Row],[CollateralValue]]/Loans[[#This Row],[LoanAmount]])</f>
        <v>1.25</v>
      </c>
      <c r="O1278" t="str">
        <f>IF(Loans[[#This Row],[CollateralCoverageRatio]]&lt;1,"Undersecured","Secured")</f>
        <v>Secured</v>
      </c>
      <c r="P1278" t="str">
        <f>_xlfn.XLOOKUP(Loans[[#This Row],[BranchCode]],BranchesTbl[BranchCode],BranchesTbl[BranchName])</f>
        <v>Kisumu</v>
      </c>
      <c r="Q1278">
        <f>_xlfn.XLOOKUP(Loans[[#This Row],[CustomerID]],CustomerTbl[CustomerID],CustomerTbl[RiskScore])</f>
        <v>415</v>
      </c>
      <c r="R1278" t="str">
        <f>IFERROR(INDEX(RiskTbl[Risk_Category],MATCH(Loans[[#This Row],[RiskScore]],RiskTbl[Score_Min],1)),"Unknown")</f>
        <v>High Risk</v>
      </c>
      <c r="S1278" t="str">
        <f>IF(OR(Loans[[#This Row],[LoanStatus]]="Default",Loans[[#This Row],[LoanStatus]]="Watchlist",Loans[[#This Row],[CollateralRisk]]="Undersecured",Loans[[#This Row],[RiskCategory]]="High Risk"),"High Risk Exposure","Normal")</f>
        <v>High Risk Exposure</v>
      </c>
      <c r="T1278" t="str" cm="1">
        <f t="array" ref="T1278">_xlfn.IFS(
Loans[[#This Row],[LoanStatus]]="Default","Critical",
OR(Loans[[#This Row],[LoanStatus]]="Watchlist",Loans[[#This Row],[CollateralRisk]]="Undersecured",Loans[[#This Row],[RiskCategory]]="High Risk"),"High",
TRUE,"Normal"
)</f>
        <v>High</v>
      </c>
    </row>
    <row r="1279" spans="1:20" x14ac:dyDescent="0.35">
      <c r="A1279" t="s">
        <v>2050</v>
      </c>
      <c r="B1279" t="s">
        <v>481</v>
      </c>
      <c r="C1279" t="s">
        <v>270</v>
      </c>
      <c r="D1279" t="s">
        <v>155</v>
      </c>
      <c r="E1279" s="34">
        <v>250000</v>
      </c>
      <c r="F1279" s="29">
        <v>0.19489999999999999</v>
      </c>
      <c r="G1279" s="30">
        <v>44579</v>
      </c>
      <c r="H1279">
        <v>72</v>
      </c>
      <c r="I1279">
        <v>120</v>
      </c>
      <c r="J1279" s="34">
        <v>0</v>
      </c>
      <c r="K1279" t="s">
        <v>178</v>
      </c>
      <c r="L1279" s="34">
        <f>PMT(Loans[[#This Row],[InterestRate]]/12,Loans[[#This Row],[LoanTenureMonths]],-Loans[[#This Row],[LoanAmount]])</f>
        <v>5914.5309557405926</v>
      </c>
      <c r="M1279" s="30">
        <f>EDATE(Loans[[#This Row],[LoanStartDate]],Loans[[#This Row],[LoanTenureMonths]])</f>
        <v>46770</v>
      </c>
      <c r="N1279" s="33">
        <f>IF(Loans[[#This Row],[LoanAmount]]=0,0,Loans[[#This Row],[CollateralValue]]/Loans[[#This Row],[LoanAmount]])</f>
        <v>0</v>
      </c>
      <c r="O1279" t="str">
        <f>IF(Loans[[#This Row],[CollateralCoverageRatio]]&lt;1,"Undersecured","Secured")</f>
        <v>Undersecured</v>
      </c>
      <c r="P1279" t="str">
        <f>_xlfn.XLOOKUP(Loans[[#This Row],[BranchCode]],BranchesTbl[BranchCode],BranchesTbl[BranchName])</f>
        <v>Nakuru</v>
      </c>
      <c r="Q1279">
        <f>_xlfn.XLOOKUP(Loans[[#This Row],[CustomerID]],CustomerTbl[CustomerID],CustomerTbl[RiskScore])</f>
        <v>383</v>
      </c>
      <c r="R1279" t="str">
        <f>IFERROR(INDEX(RiskTbl[Risk_Category],MATCH(Loans[[#This Row],[RiskScore]],RiskTbl[Score_Min],1)),"Unknown")</f>
        <v>High Risk</v>
      </c>
      <c r="S1279" t="str">
        <f>IF(OR(Loans[[#This Row],[LoanStatus]]="Default",Loans[[#This Row],[LoanStatus]]="Watchlist",Loans[[#This Row],[CollateralRisk]]="Undersecured",Loans[[#This Row],[RiskCategory]]="High Risk"),"High Risk Exposure","Normal")</f>
        <v>High Risk Exposure</v>
      </c>
      <c r="T1279" t="str" cm="1">
        <f t="array" ref="T1279">_xlfn.IFS(
Loans[[#This Row],[LoanStatus]]="Default","Critical",
OR(Loans[[#This Row],[LoanStatus]]="Watchlist",Loans[[#This Row],[CollateralRisk]]="Undersecured",Loans[[#This Row],[RiskCategory]]="High Risk"),"High",
TRUE,"Normal"
)</f>
        <v>Critical</v>
      </c>
    </row>
    <row r="1280" spans="1:20" x14ac:dyDescent="0.35">
      <c r="A1280" t="s">
        <v>2051</v>
      </c>
      <c r="B1280" t="s">
        <v>252</v>
      </c>
      <c r="C1280" t="s">
        <v>219</v>
      </c>
      <c r="D1280" t="s">
        <v>156</v>
      </c>
      <c r="E1280" s="34">
        <v>1000000</v>
      </c>
      <c r="F1280" s="29">
        <v>0.23449999999999999</v>
      </c>
      <c r="G1280" s="30">
        <v>45543</v>
      </c>
      <c r="H1280">
        <v>72</v>
      </c>
      <c r="I1280">
        <v>0</v>
      </c>
      <c r="J1280" s="34">
        <v>660000</v>
      </c>
      <c r="K1280" t="s">
        <v>171</v>
      </c>
      <c r="L1280" s="34">
        <f>PMT(Loans[[#This Row],[InterestRate]]/12,Loans[[#This Row],[LoanTenureMonths]],-Loans[[#This Row],[LoanAmount]])</f>
        <v>25993.956799005857</v>
      </c>
      <c r="M1280" s="30">
        <f>EDATE(Loans[[#This Row],[LoanStartDate]],Loans[[#This Row],[LoanTenureMonths]])</f>
        <v>47734</v>
      </c>
      <c r="N1280" s="33">
        <f>IF(Loans[[#This Row],[LoanAmount]]=0,0,Loans[[#This Row],[CollateralValue]]/Loans[[#This Row],[LoanAmount]])</f>
        <v>0.66</v>
      </c>
      <c r="O1280" t="str">
        <f>IF(Loans[[#This Row],[CollateralCoverageRatio]]&lt;1,"Undersecured","Secured")</f>
        <v>Undersecured</v>
      </c>
      <c r="P1280" t="str">
        <f>_xlfn.XLOOKUP(Loans[[#This Row],[BranchCode]],BranchesTbl[BranchCode],BranchesTbl[BranchName])</f>
        <v>Meru</v>
      </c>
      <c r="Q1280">
        <f>_xlfn.XLOOKUP(Loans[[#This Row],[CustomerID]],CustomerTbl[CustomerID],CustomerTbl[RiskScore])</f>
        <v>430</v>
      </c>
      <c r="R1280" t="str">
        <f>IFERROR(INDEX(RiskTbl[Risk_Category],MATCH(Loans[[#This Row],[RiskScore]],RiskTbl[Score_Min],1)),"Unknown")</f>
        <v>High Risk</v>
      </c>
      <c r="S1280" t="str">
        <f>IF(OR(Loans[[#This Row],[LoanStatus]]="Default",Loans[[#This Row],[LoanStatus]]="Watchlist",Loans[[#This Row],[CollateralRisk]]="Undersecured",Loans[[#This Row],[RiskCategory]]="High Risk"),"High Risk Exposure","Normal")</f>
        <v>High Risk Exposure</v>
      </c>
      <c r="T1280" t="str" cm="1">
        <f t="array" ref="T1280">_xlfn.IFS(
Loans[[#This Row],[LoanStatus]]="Default","Critical",
OR(Loans[[#This Row],[LoanStatus]]="Watchlist",Loans[[#This Row],[CollateralRisk]]="Undersecured",Loans[[#This Row],[RiskCategory]]="High Risk"),"High",
TRUE,"Normal"
)</f>
        <v>High</v>
      </c>
    </row>
    <row r="1281" spans="1:20" x14ac:dyDescent="0.35">
      <c r="A1281" t="s">
        <v>2052</v>
      </c>
      <c r="B1281" t="s">
        <v>1789</v>
      </c>
      <c r="C1281" t="s">
        <v>206</v>
      </c>
      <c r="D1281" t="s">
        <v>155</v>
      </c>
      <c r="E1281" s="34">
        <v>500000</v>
      </c>
      <c r="F1281" s="29">
        <v>0.22589999999999999</v>
      </c>
      <c r="G1281" s="30">
        <v>45490</v>
      </c>
      <c r="H1281">
        <v>48</v>
      </c>
      <c r="I1281">
        <v>10</v>
      </c>
      <c r="J1281" s="34">
        <v>0</v>
      </c>
      <c r="K1281" t="s">
        <v>171</v>
      </c>
      <c r="L1281" s="34">
        <f>PMT(Loans[[#This Row],[InterestRate]]/12,Loans[[#This Row],[LoanTenureMonths]],-Loans[[#This Row],[LoanAmount]])</f>
        <v>15913.628318407633</v>
      </c>
      <c r="M1281" s="30">
        <f>EDATE(Loans[[#This Row],[LoanStartDate]],Loans[[#This Row],[LoanTenureMonths]])</f>
        <v>46951</v>
      </c>
      <c r="N1281" s="33">
        <f>IF(Loans[[#This Row],[LoanAmount]]=0,0,Loans[[#This Row],[CollateralValue]]/Loans[[#This Row],[LoanAmount]])</f>
        <v>0</v>
      </c>
      <c r="O1281" t="str">
        <f>IF(Loans[[#This Row],[CollateralCoverageRatio]]&lt;1,"Undersecured","Secured")</f>
        <v>Undersecured</v>
      </c>
      <c r="P1281" t="str">
        <f>_xlfn.XLOOKUP(Loans[[#This Row],[BranchCode]],BranchesTbl[BranchCode],BranchesTbl[BranchName])</f>
        <v>Nyahururu</v>
      </c>
      <c r="Q1281">
        <f>_xlfn.XLOOKUP(Loans[[#This Row],[CustomerID]],CustomerTbl[CustomerID],CustomerTbl[RiskScore])</f>
        <v>348</v>
      </c>
      <c r="R1281" t="str">
        <f>IFERROR(INDEX(RiskTbl[Risk_Category],MATCH(Loans[[#This Row],[RiskScore]],RiskTbl[Score_Min],1)),"Unknown")</f>
        <v>High Risk</v>
      </c>
      <c r="S1281" t="str">
        <f>IF(OR(Loans[[#This Row],[LoanStatus]]="Default",Loans[[#This Row],[LoanStatus]]="Watchlist",Loans[[#This Row],[CollateralRisk]]="Undersecured",Loans[[#This Row],[RiskCategory]]="High Risk"),"High Risk Exposure","Normal")</f>
        <v>High Risk Exposure</v>
      </c>
      <c r="T1281" t="str" cm="1">
        <f t="array" ref="T1281">_xlfn.IFS(
Loans[[#This Row],[LoanStatus]]="Default","Critical",
OR(Loans[[#This Row],[LoanStatus]]="Watchlist",Loans[[#This Row],[CollateralRisk]]="Undersecured",Loans[[#This Row],[RiskCategory]]="High Risk"),"High",
TRUE,"Normal"
)</f>
        <v>High</v>
      </c>
    </row>
    <row r="1282" spans="1:20" x14ac:dyDescent="0.35">
      <c r="A1282" t="s">
        <v>2053</v>
      </c>
      <c r="B1282" t="s">
        <v>2054</v>
      </c>
      <c r="C1282" t="s">
        <v>170</v>
      </c>
      <c r="D1282" t="s">
        <v>158</v>
      </c>
      <c r="E1282" s="34">
        <v>500000</v>
      </c>
      <c r="F1282" s="29">
        <v>0.1973</v>
      </c>
      <c r="G1282" s="30">
        <v>44191</v>
      </c>
      <c r="H1282">
        <v>48</v>
      </c>
      <c r="I1282">
        <v>45</v>
      </c>
      <c r="J1282" s="34">
        <v>690000</v>
      </c>
      <c r="K1282" t="s">
        <v>199</v>
      </c>
      <c r="L1282" s="34">
        <f>PMT(Loans[[#This Row],[InterestRate]]/12,Loans[[#This Row],[LoanTenureMonths]],-Loans[[#This Row],[LoanAmount]])</f>
        <v>15143.346695437162</v>
      </c>
      <c r="M1282" s="30">
        <f>EDATE(Loans[[#This Row],[LoanStartDate]],Loans[[#This Row],[LoanTenureMonths]])</f>
        <v>45652</v>
      </c>
      <c r="N1282" s="33">
        <f>IF(Loans[[#This Row],[LoanAmount]]=0,0,Loans[[#This Row],[CollateralValue]]/Loans[[#This Row],[LoanAmount]])</f>
        <v>1.38</v>
      </c>
      <c r="O1282" t="str">
        <f>IF(Loans[[#This Row],[CollateralCoverageRatio]]&lt;1,"Undersecured","Secured")</f>
        <v>Secured</v>
      </c>
      <c r="P1282" t="str">
        <f>_xlfn.XLOOKUP(Loans[[#This Row],[BranchCode]],BranchesTbl[BranchCode],BranchesTbl[BranchName])</f>
        <v>Thika</v>
      </c>
      <c r="Q1282">
        <f>_xlfn.XLOOKUP(Loans[[#This Row],[CustomerID]],CustomerTbl[CustomerID],CustomerTbl[RiskScore])</f>
        <v>501</v>
      </c>
      <c r="R1282" t="str">
        <f>IFERROR(INDEX(RiskTbl[Risk_Category],MATCH(Loans[[#This Row],[RiskScore]],RiskTbl[Score_Min],1)),"Unknown")</f>
        <v>High Risk</v>
      </c>
      <c r="S1282" t="str">
        <f>IF(OR(Loans[[#This Row],[LoanStatus]]="Default",Loans[[#This Row],[LoanStatus]]="Watchlist",Loans[[#This Row],[CollateralRisk]]="Undersecured",Loans[[#This Row],[RiskCategory]]="High Risk"),"High Risk Exposure","Normal")</f>
        <v>High Risk Exposure</v>
      </c>
      <c r="T1282" t="str" cm="1">
        <f t="array" ref="T1282">_xlfn.IFS(
Loans[[#This Row],[LoanStatus]]="Default","Critical",
OR(Loans[[#This Row],[LoanStatus]]="Watchlist",Loans[[#This Row],[CollateralRisk]]="Undersecured",Loans[[#This Row],[RiskCategory]]="High Risk"),"High",
TRUE,"Normal"
)</f>
        <v>High</v>
      </c>
    </row>
    <row r="1283" spans="1:20" x14ac:dyDescent="0.35">
      <c r="A1283" t="s">
        <v>2055</v>
      </c>
      <c r="B1283" t="s">
        <v>704</v>
      </c>
      <c r="C1283" t="s">
        <v>196</v>
      </c>
      <c r="D1283" t="s">
        <v>157</v>
      </c>
      <c r="E1283" s="34">
        <v>80000000</v>
      </c>
      <c r="F1283" s="29">
        <v>9.2799999999999994E-2</v>
      </c>
      <c r="G1283" s="30">
        <v>44443</v>
      </c>
      <c r="H1283">
        <v>12</v>
      </c>
      <c r="I1283">
        <v>120</v>
      </c>
      <c r="J1283" s="34">
        <v>93600000</v>
      </c>
      <c r="K1283" t="s">
        <v>178</v>
      </c>
      <c r="L1283" s="34">
        <f>PMT(Loans[[#This Row],[InterestRate]]/12,Loans[[#This Row],[LoanTenureMonths]],-Loans[[#This Row],[LoanAmount]])</f>
        <v>7006509.9531331323</v>
      </c>
      <c r="M1283" s="30">
        <f>EDATE(Loans[[#This Row],[LoanStartDate]],Loans[[#This Row],[LoanTenureMonths]])</f>
        <v>44808</v>
      </c>
      <c r="N1283" s="33">
        <f>IF(Loans[[#This Row],[LoanAmount]]=0,0,Loans[[#This Row],[CollateralValue]]/Loans[[#This Row],[LoanAmount]])</f>
        <v>1.17</v>
      </c>
      <c r="O1283" t="str">
        <f>IF(Loans[[#This Row],[CollateralCoverageRatio]]&lt;1,"Undersecured","Secured")</f>
        <v>Secured</v>
      </c>
      <c r="P1283" t="str">
        <f>_xlfn.XLOOKUP(Loans[[#This Row],[BranchCode]],BranchesTbl[BranchCode],BranchesTbl[BranchName])</f>
        <v>Karen</v>
      </c>
      <c r="Q1283">
        <f>_xlfn.XLOOKUP(Loans[[#This Row],[CustomerID]],CustomerTbl[CustomerID],CustomerTbl[RiskScore])</f>
        <v>370</v>
      </c>
      <c r="R1283" t="str">
        <f>IFERROR(INDEX(RiskTbl[Risk_Category],MATCH(Loans[[#This Row],[RiskScore]],RiskTbl[Score_Min],1)),"Unknown")</f>
        <v>High Risk</v>
      </c>
      <c r="S1283" t="str">
        <f>IF(OR(Loans[[#This Row],[LoanStatus]]="Default",Loans[[#This Row],[LoanStatus]]="Watchlist",Loans[[#This Row],[CollateralRisk]]="Undersecured",Loans[[#This Row],[RiskCategory]]="High Risk"),"High Risk Exposure","Normal")</f>
        <v>High Risk Exposure</v>
      </c>
      <c r="T1283" t="str" cm="1">
        <f t="array" ref="T1283">_xlfn.IFS(
Loans[[#This Row],[LoanStatus]]="Default","Critical",
OR(Loans[[#This Row],[LoanStatus]]="Watchlist",Loans[[#This Row],[CollateralRisk]]="Undersecured",Loans[[#This Row],[RiskCategory]]="High Risk"),"High",
TRUE,"Normal"
)</f>
        <v>Critical</v>
      </c>
    </row>
    <row r="1284" spans="1:20" x14ac:dyDescent="0.35">
      <c r="A1284" t="s">
        <v>2056</v>
      </c>
      <c r="B1284" t="s">
        <v>872</v>
      </c>
      <c r="C1284" t="s">
        <v>193</v>
      </c>
      <c r="D1284" t="s">
        <v>156</v>
      </c>
      <c r="E1284" s="34">
        <v>6000000</v>
      </c>
      <c r="F1284" s="29">
        <v>0.23769999999999999</v>
      </c>
      <c r="G1284" s="30">
        <v>44139</v>
      </c>
      <c r="H1284">
        <v>12</v>
      </c>
      <c r="I1284">
        <v>90</v>
      </c>
      <c r="J1284" s="34">
        <v>6420000</v>
      </c>
      <c r="K1284" t="s">
        <v>199</v>
      </c>
      <c r="L1284" s="34">
        <f>PMT(Loans[[#This Row],[InterestRate]]/12,Loans[[#This Row],[LoanTenureMonths]],-Loans[[#This Row],[LoanAmount]])</f>
        <v>566689.9520030939</v>
      </c>
      <c r="M1284" s="30">
        <f>EDATE(Loans[[#This Row],[LoanStartDate]],Loans[[#This Row],[LoanTenureMonths]])</f>
        <v>44504</v>
      </c>
      <c r="N1284" s="33">
        <f>IF(Loans[[#This Row],[LoanAmount]]=0,0,Loans[[#This Row],[CollateralValue]]/Loans[[#This Row],[LoanAmount]])</f>
        <v>1.07</v>
      </c>
      <c r="O1284" t="str">
        <f>IF(Loans[[#This Row],[CollateralCoverageRatio]]&lt;1,"Undersecured","Secured")</f>
        <v>Secured</v>
      </c>
      <c r="P1284" t="str">
        <f>_xlfn.XLOOKUP(Loans[[#This Row],[BranchCode]],BranchesTbl[BranchCode],BranchesTbl[BranchName])</f>
        <v>Mombasa</v>
      </c>
      <c r="Q1284">
        <f>_xlfn.XLOOKUP(Loans[[#This Row],[CustomerID]],CustomerTbl[CustomerID],CustomerTbl[RiskScore])</f>
        <v>741</v>
      </c>
      <c r="R1284" t="str">
        <f>IFERROR(INDEX(RiskTbl[Risk_Category],MATCH(Loans[[#This Row],[RiskScore]],RiskTbl[Score_Min],1)),"Unknown")</f>
        <v>Very Low Risk</v>
      </c>
      <c r="S1284" t="str">
        <f>IF(OR(Loans[[#This Row],[LoanStatus]]="Default",Loans[[#This Row],[LoanStatus]]="Watchlist",Loans[[#This Row],[CollateralRisk]]="Undersecured",Loans[[#This Row],[RiskCategory]]="High Risk"),"High Risk Exposure","Normal")</f>
        <v>High Risk Exposure</v>
      </c>
      <c r="T1284" t="str" cm="1">
        <f t="array" ref="T1284">_xlfn.IFS(
Loans[[#This Row],[LoanStatus]]="Default","Critical",
OR(Loans[[#This Row],[LoanStatus]]="Watchlist",Loans[[#This Row],[CollateralRisk]]="Undersecured",Loans[[#This Row],[RiskCategory]]="High Risk"),"High",
TRUE,"Normal"
)</f>
        <v>High</v>
      </c>
    </row>
    <row r="1285" spans="1:20" x14ac:dyDescent="0.35">
      <c r="A1285" t="s">
        <v>2057</v>
      </c>
      <c r="B1285" t="s">
        <v>2049</v>
      </c>
      <c r="C1285" t="s">
        <v>170</v>
      </c>
      <c r="D1285" t="s">
        <v>158</v>
      </c>
      <c r="E1285" s="34">
        <v>1000000</v>
      </c>
      <c r="F1285" s="29">
        <v>0.15740000000000001</v>
      </c>
      <c r="G1285" s="30">
        <v>45286</v>
      </c>
      <c r="H1285">
        <v>48</v>
      </c>
      <c r="I1285">
        <v>45</v>
      </c>
      <c r="J1285" s="34">
        <v>1120000</v>
      </c>
      <c r="K1285" t="s">
        <v>199</v>
      </c>
      <c r="L1285" s="34">
        <f>PMT(Loans[[#This Row],[InterestRate]]/12,Loans[[#This Row],[LoanTenureMonths]],-Loans[[#This Row],[LoanAmount]])</f>
        <v>28207.298009259059</v>
      </c>
      <c r="M1285" s="30">
        <f>EDATE(Loans[[#This Row],[LoanStartDate]],Loans[[#This Row],[LoanTenureMonths]])</f>
        <v>46747</v>
      </c>
      <c r="N1285" s="33">
        <f>IF(Loans[[#This Row],[LoanAmount]]=0,0,Loans[[#This Row],[CollateralValue]]/Loans[[#This Row],[LoanAmount]])</f>
        <v>1.1200000000000001</v>
      </c>
      <c r="O1285" t="str">
        <f>IF(Loans[[#This Row],[CollateralCoverageRatio]]&lt;1,"Undersecured","Secured")</f>
        <v>Secured</v>
      </c>
      <c r="P1285" t="str">
        <f>_xlfn.XLOOKUP(Loans[[#This Row],[BranchCode]],BranchesTbl[BranchCode],BranchesTbl[BranchName])</f>
        <v>Thika</v>
      </c>
      <c r="Q1285">
        <f>_xlfn.XLOOKUP(Loans[[#This Row],[CustomerID]],CustomerTbl[CustomerID],CustomerTbl[RiskScore])</f>
        <v>415</v>
      </c>
      <c r="R1285" t="str">
        <f>IFERROR(INDEX(RiskTbl[Risk_Category],MATCH(Loans[[#This Row],[RiskScore]],RiskTbl[Score_Min],1)),"Unknown")</f>
        <v>High Risk</v>
      </c>
      <c r="S1285" t="str">
        <f>IF(OR(Loans[[#This Row],[LoanStatus]]="Default",Loans[[#This Row],[LoanStatus]]="Watchlist",Loans[[#This Row],[CollateralRisk]]="Undersecured",Loans[[#This Row],[RiskCategory]]="High Risk"),"High Risk Exposure","Normal")</f>
        <v>High Risk Exposure</v>
      </c>
      <c r="T1285" t="str" cm="1">
        <f t="array" ref="T1285">_xlfn.IFS(
Loans[[#This Row],[LoanStatus]]="Default","Critical",
OR(Loans[[#This Row],[LoanStatus]]="Watchlist",Loans[[#This Row],[CollateralRisk]]="Undersecured",Loans[[#This Row],[RiskCategory]]="High Risk"),"High",
TRUE,"Normal"
)</f>
        <v>High</v>
      </c>
    </row>
    <row r="1286" spans="1:20" x14ac:dyDescent="0.35">
      <c r="A1286" t="s">
        <v>2058</v>
      </c>
      <c r="B1286" t="s">
        <v>1618</v>
      </c>
      <c r="C1286" t="s">
        <v>206</v>
      </c>
      <c r="D1286" t="s">
        <v>157</v>
      </c>
      <c r="E1286" s="34">
        <v>80000000</v>
      </c>
      <c r="F1286" s="29">
        <v>0.1203</v>
      </c>
      <c r="G1286" s="30">
        <v>45416</v>
      </c>
      <c r="H1286">
        <v>60</v>
      </c>
      <c r="I1286">
        <v>10</v>
      </c>
      <c r="J1286" s="34">
        <v>83200000</v>
      </c>
      <c r="K1286" t="s">
        <v>171</v>
      </c>
      <c r="L1286" s="34">
        <f>PMT(Loans[[#This Row],[InterestRate]]/12,Loans[[#This Row],[LoanTenureMonths]],-Loans[[#This Row],[LoanAmount]])</f>
        <v>1780768.8511440572</v>
      </c>
      <c r="M1286" s="30">
        <f>EDATE(Loans[[#This Row],[LoanStartDate]],Loans[[#This Row],[LoanTenureMonths]])</f>
        <v>47242</v>
      </c>
      <c r="N1286" s="33">
        <f>IF(Loans[[#This Row],[LoanAmount]]=0,0,Loans[[#This Row],[CollateralValue]]/Loans[[#This Row],[LoanAmount]])</f>
        <v>1.04</v>
      </c>
      <c r="O1286" t="str">
        <f>IF(Loans[[#This Row],[CollateralCoverageRatio]]&lt;1,"Undersecured","Secured")</f>
        <v>Secured</v>
      </c>
      <c r="P1286" t="str">
        <f>_xlfn.XLOOKUP(Loans[[#This Row],[BranchCode]],BranchesTbl[BranchCode],BranchesTbl[BranchName])</f>
        <v>Nyahururu</v>
      </c>
      <c r="Q1286">
        <f>_xlfn.XLOOKUP(Loans[[#This Row],[CustomerID]],CustomerTbl[CustomerID],CustomerTbl[RiskScore])</f>
        <v>758</v>
      </c>
      <c r="R1286" t="str">
        <f>IFERROR(INDEX(RiskTbl[Risk_Category],MATCH(Loans[[#This Row],[RiskScore]],RiskTbl[Score_Min],1)),"Unknown")</f>
        <v>Very Low Risk</v>
      </c>
      <c r="S1286" t="str">
        <f>IF(OR(Loans[[#This Row],[LoanStatus]]="Default",Loans[[#This Row],[LoanStatus]]="Watchlist",Loans[[#This Row],[CollateralRisk]]="Undersecured",Loans[[#This Row],[RiskCategory]]="High Risk"),"High Risk Exposure","Normal")</f>
        <v>Normal</v>
      </c>
      <c r="T1286" t="str" cm="1">
        <f t="array" ref="T1286">_xlfn.IFS(
Loans[[#This Row],[LoanStatus]]="Default","Critical",
OR(Loans[[#This Row],[LoanStatus]]="Watchlist",Loans[[#This Row],[CollateralRisk]]="Undersecured",Loans[[#This Row],[RiskCategory]]="High Risk"),"High",
TRUE,"Normal"
)</f>
        <v>Normal</v>
      </c>
    </row>
    <row r="1287" spans="1:20" x14ac:dyDescent="0.35">
      <c r="A1287" t="s">
        <v>2059</v>
      </c>
      <c r="B1287" t="s">
        <v>865</v>
      </c>
      <c r="C1287" t="s">
        <v>270</v>
      </c>
      <c r="D1287" t="s">
        <v>158</v>
      </c>
      <c r="E1287" s="34">
        <v>3000000</v>
      </c>
      <c r="F1287" s="29">
        <v>0.17480000000000001</v>
      </c>
      <c r="G1287" s="30">
        <v>45246</v>
      </c>
      <c r="H1287">
        <v>60</v>
      </c>
      <c r="I1287">
        <v>90</v>
      </c>
      <c r="J1287" s="34">
        <v>2460000</v>
      </c>
      <c r="K1287" t="s">
        <v>199</v>
      </c>
      <c r="L1287" s="34">
        <f>PMT(Loans[[#This Row],[InterestRate]]/12,Loans[[#This Row],[LoanTenureMonths]],-Loans[[#This Row],[LoanAmount]])</f>
        <v>75334.193710579653</v>
      </c>
      <c r="M1287" s="30">
        <f>EDATE(Loans[[#This Row],[LoanStartDate]],Loans[[#This Row],[LoanTenureMonths]])</f>
        <v>47073</v>
      </c>
      <c r="N1287" s="33">
        <f>IF(Loans[[#This Row],[LoanAmount]]=0,0,Loans[[#This Row],[CollateralValue]]/Loans[[#This Row],[LoanAmount]])</f>
        <v>0.82</v>
      </c>
      <c r="O1287" t="str">
        <f>IF(Loans[[#This Row],[CollateralCoverageRatio]]&lt;1,"Undersecured","Secured")</f>
        <v>Undersecured</v>
      </c>
      <c r="P1287" t="str">
        <f>_xlfn.XLOOKUP(Loans[[#This Row],[BranchCode]],BranchesTbl[BranchCode],BranchesTbl[BranchName])</f>
        <v>Nakuru</v>
      </c>
      <c r="Q1287">
        <f>_xlfn.XLOOKUP(Loans[[#This Row],[CustomerID]],CustomerTbl[CustomerID],CustomerTbl[RiskScore])</f>
        <v>821</v>
      </c>
      <c r="R1287" t="str">
        <f>IFERROR(INDEX(RiskTbl[Risk_Category],MATCH(Loans[[#This Row],[RiskScore]],RiskTbl[Score_Min],1)),"Unknown")</f>
        <v>Prime</v>
      </c>
      <c r="S1287" t="str">
        <f>IF(OR(Loans[[#This Row],[LoanStatus]]="Default",Loans[[#This Row],[LoanStatus]]="Watchlist",Loans[[#This Row],[CollateralRisk]]="Undersecured",Loans[[#This Row],[RiskCategory]]="High Risk"),"High Risk Exposure","Normal")</f>
        <v>High Risk Exposure</v>
      </c>
      <c r="T1287" t="str" cm="1">
        <f t="array" ref="T1287">_xlfn.IFS(
Loans[[#This Row],[LoanStatus]]="Default","Critical",
OR(Loans[[#This Row],[LoanStatus]]="Watchlist",Loans[[#This Row],[CollateralRisk]]="Undersecured",Loans[[#This Row],[RiskCategory]]="High Risk"),"High",
TRUE,"Normal"
)</f>
        <v>High</v>
      </c>
    </row>
    <row r="1288" spans="1:20" x14ac:dyDescent="0.35">
      <c r="A1288" t="s">
        <v>2060</v>
      </c>
      <c r="B1288" t="s">
        <v>2061</v>
      </c>
      <c r="C1288" t="s">
        <v>170</v>
      </c>
      <c r="D1288" t="s">
        <v>157</v>
      </c>
      <c r="E1288" s="34">
        <v>80000000</v>
      </c>
      <c r="F1288" s="29">
        <v>9.06E-2</v>
      </c>
      <c r="G1288" s="30">
        <v>45800</v>
      </c>
      <c r="H1288">
        <v>12</v>
      </c>
      <c r="I1288">
        <v>0</v>
      </c>
      <c r="J1288" s="34">
        <v>114400000</v>
      </c>
      <c r="K1288" t="s">
        <v>171</v>
      </c>
      <c r="L1288" s="34">
        <f>PMT(Loans[[#This Row],[InterestRate]]/12,Loans[[#This Row],[LoanTenureMonths]],-Loans[[#This Row],[LoanAmount]])</f>
        <v>6998344.2389214253</v>
      </c>
      <c r="M1288" s="30">
        <f>EDATE(Loans[[#This Row],[LoanStartDate]],Loans[[#This Row],[LoanTenureMonths]])</f>
        <v>46165</v>
      </c>
      <c r="N1288" s="33">
        <f>IF(Loans[[#This Row],[LoanAmount]]=0,0,Loans[[#This Row],[CollateralValue]]/Loans[[#This Row],[LoanAmount]])</f>
        <v>1.43</v>
      </c>
      <c r="O1288" t="str">
        <f>IF(Loans[[#This Row],[CollateralCoverageRatio]]&lt;1,"Undersecured","Secured")</f>
        <v>Secured</v>
      </c>
      <c r="P1288" t="str">
        <f>_xlfn.XLOOKUP(Loans[[#This Row],[BranchCode]],BranchesTbl[BranchCode],BranchesTbl[BranchName])</f>
        <v>Thika</v>
      </c>
      <c r="Q1288">
        <f>_xlfn.XLOOKUP(Loans[[#This Row],[CustomerID]],CustomerTbl[CustomerID],CustomerTbl[RiskScore])</f>
        <v>521</v>
      </c>
      <c r="R1288" t="str">
        <f>IFERROR(INDEX(RiskTbl[Risk_Category],MATCH(Loans[[#This Row],[RiskScore]],RiskTbl[Score_Min],1)),"Unknown")</f>
        <v>High Risk</v>
      </c>
      <c r="S1288" t="str">
        <f>IF(OR(Loans[[#This Row],[LoanStatus]]="Default",Loans[[#This Row],[LoanStatus]]="Watchlist",Loans[[#This Row],[CollateralRisk]]="Undersecured",Loans[[#This Row],[RiskCategory]]="High Risk"),"High Risk Exposure","Normal")</f>
        <v>High Risk Exposure</v>
      </c>
      <c r="T1288" t="str" cm="1">
        <f t="array" ref="T1288">_xlfn.IFS(
Loans[[#This Row],[LoanStatus]]="Default","Critical",
OR(Loans[[#This Row],[LoanStatus]]="Watchlist",Loans[[#This Row],[CollateralRisk]]="Undersecured",Loans[[#This Row],[RiskCategory]]="High Risk"),"High",
TRUE,"Normal"
)</f>
        <v>High</v>
      </c>
    </row>
    <row r="1289" spans="1:20" x14ac:dyDescent="0.35">
      <c r="A1289" t="s">
        <v>2062</v>
      </c>
      <c r="B1289" t="s">
        <v>1541</v>
      </c>
      <c r="C1289" t="s">
        <v>174</v>
      </c>
      <c r="D1289" t="s">
        <v>155</v>
      </c>
      <c r="E1289" s="34">
        <v>100000</v>
      </c>
      <c r="F1289" s="29">
        <v>0.17860000000000001</v>
      </c>
      <c r="G1289" s="30">
        <v>43999</v>
      </c>
      <c r="H1289">
        <v>24</v>
      </c>
      <c r="I1289">
        <v>120</v>
      </c>
      <c r="J1289" s="34">
        <v>0</v>
      </c>
      <c r="K1289" t="s">
        <v>178</v>
      </c>
      <c r="L1289" s="34">
        <f>PMT(Loans[[#This Row],[InterestRate]]/12,Loans[[#This Row],[LoanTenureMonths]],-Loans[[#This Row],[LoanAmount]])</f>
        <v>4985.6483327940023</v>
      </c>
      <c r="M1289" s="30">
        <f>EDATE(Loans[[#This Row],[LoanStartDate]],Loans[[#This Row],[LoanTenureMonths]])</f>
        <v>44729</v>
      </c>
      <c r="N1289" s="33">
        <f>IF(Loans[[#This Row],[LoanAmount]]=0,0,Loans[[#This Row],[CollateralValue]]/Loans[[#This Row],[LoanAmount]])</f>
        <v>0</v>
      </c>
      <c r="O1289" t="str">
        <f>IF(Loans[[#This Row],[CollateralCoverageRatio]]&lt;1,"Undersecured","Secured")</f>
        <v>Undersecured</v>
      </c>
      <c r="P1289" t="str">
        <f>_xlfn.XLOOKUP(Loans[[#This Row],[BranchCode]],BranchesTbl[BranchCode],BranchesTbl[BranchName])</f>
        <v>Westlands</v>
      </c>
      <c r="Q1289">
        <f>_xlfn.XLOOKUP(Loans[[#This Row],[CustomerID]],CustomerTbl[CustomerID],CustomerTbl[RiskScore])</f>
        <v>314</v>
      </c>
      <c r="R1289" t="str">
        <f>IFERROR(INDEX(RiskTbl[Risk_Category],MATCH(Loans[[#This Row],[RiskScore]],RiskTbl[Score_Min],1)),"Unknown")</f>
        <v>High Risk</v>
      </c>
      <c r="S1289" t="str">
        <f>IF(OR(Loans[[#This Row],[LoanStatus]]="Default",Loans[[#This Row],[LoanStatus]]="Watchlist",Loans[[#This Row],[CollateralRisk]]="Undersecured",Loans[[#This Row],[RiskCategory]]="High Risk"),"High Risk Exposure","Normal")</f>
        <v>High Risk Exposure</v>
      </c>
      <c r="T1289" t="str" cm="1">
        <f t="array" ref="T1289">_xlfn.IFS(
Loans[[#This Row],[LoanStatus]]="Default","Critical",
OR(Loans[[#This Row],[LoanStatus]]="Watchlist",Loans[[#This Row],[CollateralRisk]]="Undersecured",Loans[[#This Row],[RiskCategory]]="High Risk"),"High",
TRUE,"Normal"
)</f>
        <v>Critical</v>
      </c>
    </row>
    <row r="1290" spans="1:20" x14ac:dyDescent="0.35">
      <c r="A1290" t="s">
        <v>2063</v>
      </c>
      <c r="B1290" t="s">
        <v>2064</v>
      </c>
      <c r="C1290" t="s">
        <v>190</v>
      </c>
      <c r="D1290" t="s">
        <v>156</v>
      </c>
      <c r="E1290" s="34">
        <v>25000000</v>
      </c>
      <c r="F1290" s="29">
        <v>0.22900000000000001</v>
      </c>
      <c r="G1290" s="30">
        <v>45033</v>
      </c>
      <c r="H1290">
        <v>72</v>
      </c>
      <c r="I1290">
        <v>45</v>
      </c>
      <c r="J1290" s="34">
        <v>28500000</v>
      </c>
      <c r="K1290" t="s">
        <v>199</v>
      </c>
      <c r="L1290" s="34">
        <f>PMT(Loans[[#This Row],[InterestRate]]/12,Loans[[#This Row],[LoanTenureMonths]],-Loans[[#This Row],[LoanAmount]])</f>
        <v>641577.65232337499</v>
      </c>
      <c r="M1290" s="30">
        <f>EDATE(Loans[[#This Row],[LoanStartDate]],Loans[[#This Row],[LoanTenureMonths]])</f>
        <v>47225</v>
      </c>
      <c r="N1290" s="33">
        <f>IF(Loans[[#This Row],[LoanAmount]]=0,0,Loans[[#This Row],[CollateralValue]]/Loans[[#This Row],[LoanAmount]])</f>
        <v>1.1399999999999999</v>
      </c>
      <c r="O1290" t="str">
        <f>IF(Loans[[#This Row],[CollateralCoverageRatio]]&lt;1,"Undersecured","Secured")</f>
        <v>Secured</v>
      </c>
      <c r="P1290" t="str">
        <f>_xlfn.XLOOKUP(Loans[[#This Row],[BranchCode]],BranchesTbl[BranchCode],BranchesTbl[BranchName])</f>
        <v>Nyeri</v>
      </c>
      <c r="Q1290">
        <f>_xlfn.XLOOKUP(Loans[[#This Row],[CustomerID]],CustomerTbl[CustomerID],CustomerTbl[RiskScore])</f>
        <v>347</v>
      </c>
      <c r="R1290" t="str">
        <f>IFERROR(INDEX(RiskTbl[Risk_Category],MATCH(Loans[[#This Row],[RiskScore]],RiskTbl[Score_Min],1)),"Unknown")</f>
        <v>High Risk</v>
      </c>
      <c r="S1290" t="str">
        <f>IF(OR(Loans[[#This Row],[LoanStatus]]="Default",Loans[[#This Row],[LoanStatus]]="Watchlist",Loans[[#This Row],[CollateralRisk]]="Undersecured",Loans[[#This Row],[RiskCategory]]="High Risk"),"High Risk Exposure","Normal")</f>
        <v>High Risk Exposure</v>
      </c>
      <c r="T1290" t="str" cm="1">
        <f t="array" ref="T1290">_xlfn.IFS(
Loans[[#This Row],[LoanStatus]]="Default","Critical",
OR(Loans[[#This Row],[LoanStatus]]="Watchlist",Loans[[#This Row],[CollateralRisk]]="Undersecured",Loans[[#This Row],[RiskCategory]]="High Risk"),"High",
TRUE,"Normal"
)</f>
        <v>High</v>
      </c>
    </row>
    <row r="1291" spans="1:20" x14ac:dyDescent="0.35">
      <c r="A1291" t="s">
        <v>2065</v>
      </c>
      <c r="B1291" t="s">
        <v>2066</v>
      </c>
      <c r="C1291" t="s">
        <v>174</v>
      </c>
      <c r="D1291" t="s">
        <v>158</v>
      </c>
      <c r="E1291" s="34">
        <v>6000000</v>
      </c>
      <c r="F1291" s="29">
        <v>0.16439999999999999</v>
      </c>
      <c r="G1291" s="30">
        <v>44965</v>
      </c>
      <c r="H1291">
        <v>72</v>
      </c>
      <c r="I1291">
        <v>20</v>
      </c>
      <c r="J1291" s="34">
        <v>6960000</v>
      </c>
      <c r="K1291" t="s">
        <v>171</v>
      </c>
      <c r="L1291" s="34">
        <f>PMT(Loans[[#This Row],[InterestRate]]/12,Loans[[#This Row],[LoanTenureMonths]],-Loans[[#This Row],[LoanAmount]])</f>
        <v>131608.88660123467</v>
      </c>
      <c r="M1291" s="30">
        <f>EDATE(Loans[[#This Row],[LoanStartDate]],Loans[[#This Row],[LoanTenureMonths]])</f>
        <v>47157</v>
      </c>
      <c r="N1291" s="33">
        <f>IF(Loans[[#This Row],[LoanAmount]]=0,0,Loans[[#This Row],[CollateralValue]]/Loans[[#This Row],[LoanAmount]])</f>
        <v>1.1599999999999999</v>
      </c>
      <c r="O1291" t="str">
        <f>IF(Loans[[#This Row],[CollateralCoverageRatio]]&lt;1,"Undersecured","Secured")</f>
        <v>Secured</v>
      </c>
      <c r="P1291" t="str">
        <f>_xlfn.XLOOKUP(Loans[[#This Row],[BranchCode]],BranchesTbl[BranchCode],BranchesTbl[BranchName])</f>
        <v>Westlands</v>
      </c>
      <c r="Q1291">
        <f>_xlfn.XLOOKUP(Loans[[#This Row],[CustomerID]],CustomerTbl[CustomerID],CustomerTbl[RiskScore])</f>
        <v>625</v>
      </c>
      <c r="R1291" t="str">
        <f>IFERROR(INDEX(RiskTbl[Risk_Category],MATCH(Loans[[#This Row],[RiskScore]],RiskTbl[Score_Min],1)),"Unknown")</f>
        <v>Medium Risk</v>
      </c>
      <c r="S1291" t="str">
        <f>IF(OR(Loans[[#This Row],[LoanStatus]]="Default",Loans[[#This Row],[LoanStatus]]="Watchlist",Loans[[#This Row],[CollateralRisk]]="Undersecured",Loans[[#This Row],[RiskCategory]]="High Risk"),"High Risk Exposure","Normal")</f>
        <v>Normal</v>
      </c>
      <c r="T1291" t="str" cm="1">
        <f t="array" ref="T1291">_xlfn.IFS(
Loans[[#This Row],[LoanStatus]]="Default","Critical",
OR(Loans[[#This Row],[LoanStatus]]="Watchlist",Loans[[#This Row],[CollateralRisk]]="Undersecured",Loans[[#This Row],[RiskCategory]]="High Risk"),"High",
TRUE,"Normal"
)</f>
        <v>Normal</v>
      </c>
    </row>
    <row r="1292" spans="1:20" x14ac:dyDescent="0.35">
      <c r="A1292" t="s">
        <v>2067</v>
      </c>
      <c r="B1292" t="s">
        <v>432</v>
      </c>
      <c r="C1292" t="s">
        <v>239</v>
      </c>
      <c r="D1292" t="s">
        <v>156</v>
      </c>
      <c r="E1292" s="34">
        <v>3000000</v>
      </c>
      <c r="F1292" s="29">
        <v>0.1578</v>
      </c>
      <c r="G1292" s="30">
        <v>45721</v>
      </c>
      <c r="H1292">
        <v>36</v>
      </c>
      <c r="I1292">
        <v>120</v>
      </c>
      <c r="J1292" s="34">
        <v>4350000</v>
      </c>
      <c r="K1292" t="s">
        <v>178</v>
      </c>
      <c r="L1292" s="34">
        <f>PMT(Loans[[#This Row],[InterestRate]]/12,Loans[[#This Row],[LoanTenureMonths]],-Loans[[#This Row],[LoanAmount]])</f>
        <v>105145.54541707537</v>
      </c>
      <c r="M1292" s="30">
        <f>EDATE(Loans[[#This Row],[LoanStartDate]],Loans[[#This Row],[LoanTenureMonths]])</f>
        <v>46817</v>
      </c>
      <c r="N1292" s="33">
        <f>IF(Loans[[#This Row],[LoanAmount]]=0,0,Loans[[#This Row],[CollateralValue]]/Loans[[#This Row],[LoanAmount]])</f>
        <v>1.45</v>
      </c>
      <c r="O1292" t="str">
        <f>IF(Loans[[#This Row],[CollateralCoverageRatio]]&lt;1,"Undersecured","Secured")</f>
        <v>Secured</v>
      </c>
      <c r="P1292" t="str">
        <f>_xlfn.XLOOKUP(Loans[[#This Row],[BranchCode]],BranchesTbl[BranchCode],BranchesTbl[BranchName])</f>
        <v>Machakos</v>
      </c>
      <c r="Q1292">
        <f>_xlfn.XLOOKUP(Loans[[#This Row],[CustomerID]],CustomerTbl[CustomerID],CustomerTbl[RiskScore])</f>
        <v>517</v>
      </c>
      <c r="R1292" t="str">
        <f>IFERROR(INDEX(RiskTbl[Risk_Category],MATCH(Loans[[#This Row],[RiskScore]],RiskTbl[Score_Min],1)),"Unknown")</f>
        <v>High Risk</v>
      </c>
      <c r="S1292" t="str">
        <f>IF(OR(Loans[[#This Row],[LoanStatus]]="Default",Loans[[#This Row],[LoanStatus]]="Watchlist",Loans[[#This Row],[CollateralRisk]]="Undersecured",Loans[[#This Row],[RiskCategory]]="High Risk"),"High Risk Exposure","Normal")</f>
        <v>High Risk Exposure</v>
      </c>
      <c r="T1292" t="str" cm="1">
        <f t="array" ref="T1292">_xlfn.IFS(
Loans[[#This Row],[LoanStatus]]="Default","Critical",
OR(Loans[[#This Row],[LoanStatus]]="Watchlist",Loans[[#This Row],[CollateralRisk]]="Undersecured",Loans[[#This Row],[RiskCategory]]="High Risk"),"High",
TRUE,"Normal"
)</f>
        <v>Critical</v>
      </c>
    </row>
    <row r="1293" spans="1:20" x14ac:dyDescent="0.35">
      <c r="A1293" t="s">
        <v>2068</v>
      </c>
      <c r="B1293" t="s">
        <v>1806</v>
      </c>
      <c r="C1293" t="s">
        <v>270</v>
      </c>
      <c r="D1293" t="s">
        <v>155</v>
      </c>
      <c r="E1293" s="34">
        <v>250000</v>
      </c>
      <c r="F1293" s="29">
        <v>0.1673</v>
      </c>
      <c r="G1293" s="30">
        <v>45650</v>
      </c>
      <c r="H1293">
        <v>24</v>
      </c>
      <c r="I1293">
        <v>45</v>
      </c>
      <c r="J1293" s="34">
        <v>0</v>
      </c>
      <c r="K1293" t="s">
        <v>199</v>
      </c>
      <c r="L1293" s="34">
        <f>PMT(Loans[[#This Row],[InterestRate]]/12,Loans[[#This Row],[LoanTenureMonths]],-Loans[[#This Row],[LoanAmount]])</f>
        <v>12328.156949142382</v>
      </c>
      <c r="M1293" s="30">
        <f>EDATE(Loans[[#This Row],[LoanStartDate]],Loans[[#This Row],[LoanTenureMonths]])</f>
        <v>46380</v>
      </c>
      <c r="N1293" s="33">
        <f>IF(Loans[[#This Row],[LoanAmount]]=0,0,Loans[[#This Row],[CollateralValue]]/Loans[[#This Row],[LoanAmount]])</f>
        <v>0</v>
      </c>
      <c r="O1293" t="str">
        <f>IF(Loans[[#This Row],[CollateralCoverageRatio]]&lt;1,"Undersecured","Secured")</f>
        <v>Undersecured</v>
      </c>
      <c r="P1293" t="str">
        <f>_xlfn.XLOOKUP(Loans[[#This Row],[BranchCode]],BranchesTbl[BranchCode],BranchesTbl[BranchName])</f>
        <v>Nakuru</v>
      </c>
      <c r="Q1293">
        <f>_xlfn.XLOOKUP(Loans[[#This Row],[CustomerID]],CustomerTbl[CustomerID],CustomerTbl[RiskScore])</f>
        <v>526</v>
      </c>
      <c r="R1293" t="str">
        <f>IFERROR(INDEX(RiskTbl[Risk_Category],MATCH(Loans[[#This Row],[RiskScore]],RiskTbl[Score_Min],1)),"Unknown")</f>
        <v>High Risk</v>
      </c>
      <c r="S1293" t="str">
        <f>IF(OR(Loans[[#This Row],[LoanStatus]]="Default",Loans[[#This Row],[LoanStatus]]="Watchlist",Loans[[#This Row],[CollateralRisk]]="Undersecured",Loans[[#This Row],[RiskCategory]]="High Risk"),"High Risk Exposure","Normal")</f>
        <v>High Risk Exposure</v>
      </c>
      <c r="T1293" t="str" cm="1">
        <f t="array" ref="T1293">_xlfn.IFS(
Loans[[#This Row],[LoanStatus]]="Default","Critical",
OR(Loans[[#This Row],[LoanStatus]]="Watchlist",Loans[[#This Row],[CollateralRisk]]="Undersecured",Loans[[#This Row],[RiskCategory]]="High Risk"),"High",
TRUE,"Normal"
)</f>
        <v>High</v>
      </c>
    </row>
    <row r="1294" spans="1:20" x14ac:dyDescent="0.35">
      <c r="A1294" t="s">
        <v>2069</v>
      </c>
      <c r="B1294" t="s">
        <v>361</v>
      </c>
      <c r="C1294" t="s">
        <v>232</v>
      </c>
      <c r="D1294" t="s">
        <v>156</v>
      </c>
      <c r="E1294" s="34">
        <v>25000000</v>
      </c>
      <c r="F1294" s="29">
        <v>0.2147</v>
      </c>
      <c r="G1294" s="30">
        <v>45783</v>
      </c>
      <c r="H1294">
        <v>60</v>
      </c>
      <c r="I1294">
        <v>45</v>
      </c>
      <c r="J1294" s="34">
        <v>30000000</v>
      </c>
      <c r="K1294" t="s">
        <v>199</v>
      </c>
      <c r="L1294" s="34">
        <f>PMT(Loans[[#This Row],[InterestRate]]/12,Loans[[#This Row],[LoanTenureMonths]],-Loans[[#This Row],[LoanAmount]])</f>
        <v>682960.41891968623</v>
      </c>
      <c r="M1294" s="30">
        <f>EDATE(Loans[[#This Row],[LoanStartDate]],Loans[[#This Row],[LoanTenureMonths]])</f>
        <v>47609</v>
      </c>
      <c r="N1294" s="33">
        <f>IF(Loans[[#This Row],[LoanAmount]]=0,0,Loans[[#This Row],[CollateralValue]]/Loans[[#This Row],[LoanAmount]])</f>
        <v>1.2</v>
      </c>
      <c r="O1294" t="str">
        <f>IF(Loans[[#This Row],[CollateralCoverageRatio]]&lt;1,"Undersecured","Secured")</f>
        <v>Secured</v>
      </c>
      <c r="P1294" t="str">
        <f>_xlfn.XLOOKUP(Loans[[#This Row],[BranchCode]],BranchesTbl[BranchCode],BranchesTbl[BranchName])</f>
        <v>Upper Hill</v>
      </c>
      <c r="Q1294">
        <f>_xlfn.XLOOKUP(Loans[[#This Row],[CustomerID]],CustomerTbl[CustomerID],CustomerTbl[RiskScore])</f>
        <v>588</v>
      </c>
      <c r="R1294" t="str">
        <f>IFERROR(INDEX(RiskTbl[Risk_Category],MATCH(Loans[[#This Row],[RiskScore]],RiskTbl[Score_Min],1)),"Unknown")</f>
        <v>Medium Risk</v>
      </c>
      <c r="S1294" t="str">
        <f>IF(OR(Loans[[#This Row],[LoanStatus]]="Default",Loans[[#This Row],[LoanStatus]]="Watchlist",Loans[[#This Row],[CollateralRisk]]="Undersecured",Loans[[#This Row],[RiskCategory]]="High Risk"),"High Risk Exposure","Normal")</f>
        <v>High Risk Exposure</v>
      </c>
      <c r="T1294" t="str" cm="1">
        <f t="array" ref="T1294">_xlfn.IFS(
Loans[[#This Row],[LoanStatus]]="Default","Critical",
OR(Loans[[#This Row],[LoanStatus]]="Watchlist",Loans[[#This Row],[CollateralRisk]]="Undersecured",Loans[[#This Row],[RiskCategory]]="High Risk"),"High",
TRUE,"Normal"
)</f>
        <v>High</v>
      </c>
    </row>
    <row r="1295" spans="1:20" x14ac:dyDescent="0.35">
      <c r="A1295" t="s">
        <v>2070</v>
      </c>
      <c r="B1295" t="s">
        <v>1220</v>
      </c>
      <c r="C1295" t="s">
        <v>174</v>
      </c>
      <c r="D1295" t="s">
        <v>158</v>
      </c>
      <c r="E1295" s="34">
        <v>3000000</v>
      </c>
      <c r="F1295" s="29">
        <v>0.15540000000000001</v>
      </c>
      <c r="G1295" s="30">
        <v>44613</v>
      </c>
      <c r="H1295">
        <v>12</v>
      </c>
      <c r="I1295">
        <v>0</v>
      </c>
      <c r="J1295" s="34">
        <v>4380000</v>
      </c>
      <c r="K1295" t="s">
        <v>171</v>
      </c>
      <c r="L1295" s="34">
        <f>PMT(Loans[[#This Row],[InterestRate]]/12,Loans[[#This Row],[LoanTenureMonths]],-Loans[[#This Row],[LoanAmount]])</f>
        <v>271539.9578629192</v>
      </c>
      <c r="M1295" s="30">
        <f>EDATE(Loans[[#This Row],[LoanStartDate]],Loans[[#This Row],[LoanTenureMonths]])</f>
        <v>44978</v>
      </c>
      <c r="N1295" s="33">
        <f>IF(Loans[[#This Row],[LoanAmount]]=0,0,Loans[[#This Row],[CollateralValue]]/Loans[[#This Row],[LoanAmount]])</f>
        <v>1.46</v>
      </c>
      <c r="O1295" t="str">
        <f>IF(Loans[[#This Row],[CollateralCoverageRatio]]&lt;1,"Undersecured","Secured")</f>
        <v>Secured</v>
      </c>
      <c r="P1295" t="str">
        <f>_xlfn.XLOOKUP(Loans[[#This Row],[BranchCode]],BranchesTbl[BranchCode],BranchesTbl[BranchName])</f>
        <v>Westlands</v>
      </c>
      <c r="Q1295">
        <f>_xlfn.XLOOKUP(Loans[[#This Row],[CustomerID]],CustomerTbl[CustomerID],CustomerTbl[RiskScore])</f>
        <v>463</v>
      </c>
      <c r="R1295" t="str">
        <f>IFERROR(INDEX(RiskTbl[Risk_Category],MATCH(Loans[[#This Row],[RiskScore]],RiskTbl[Score_Min],1)),"Unknown")</f>
        <v>High Risk</v>
      </c>
      <c r="S1295" t="str">
        <f>IF(OR(Loans[[#This Row],[LoanStatus]]="Default",Loans[[#This Row],[LoanStatus]]="Watchlist",Loans[[#This Row],[CollateralRisk]]="Undersecured",Loans[[#This Row],[RiskCategory]]="High Risk"),"High Risk Exposure","Normal")</f>
        <v>High Risk Exposure</v>
      </c>
      <c r="T1295" t="str" cm="1">
        <f t="array" ref="T1295">_xlfn.IFS(
Loans[[#This Row],[LoanStatus]]="Default","Critical",
OR(Loans[[#This Row],[LoanStatus]]="Watchlist",Loans[[#This Row],[CollateralRisk]]="Undersecured",Loans[[#This Row],[RiskCategory]]="High Risk"),"High",
TRUE,"Normal"
)</f>
        <v>High</v>
      </c>
    </row>
    <row r="1296" spans="1:20" x14ac:dyDescent="0.35">
      <c r="A1296" t="s">
        <v>2071</v>
      </c>
      <c r="B1296" t="s">
        <v>629</v>
      </c>
      <c r="C1296" t="s">
        <v>196</v>
      </c>
      <c r="D1296" t="s">
        <v>155</v>
      </c>
      <c r="E1296" s="34">
        <v>1000000</v>
      </c>
      <c r="F1296" s="29">
        <v>0.20250000000000001</v>
      </c>
      <c r="G1296" s="30">
        <v>43854</v>
      </c>
      <c r="H1296">
        <v>72</v>
      </c>
      <c r="I1296">
        <v>10</v>
      </c>
      <c r="J1296" s="34">
        <v>0</v>
      </c>
      <c r="K1296" t="s">
        <v>171</v>
      </c>
      <c r="L1296" s="34">
        <f>PMT(Loans[[#This Row],[InterestRate]]/12,Loans[[#This Row],[LoanTenureMonths]],-Loans[[#This Row],[LoanAmount]])</f>
        <v>24097.960217212796</v>
      </c>
      <c r="M1296" s="30">
        <f>EDATE(Loans[[#This Row],[LoanStartDate]],Loans[[#This Row],[LoanTenureMonths]])</f>
        <v>46046</v>
      </c>
      <c r="N1296" s="33">
        <f>IF(Loans[[#This Row],[LoanAmount]]=0,0,Loans[[#This Row],[CollateralValue]]/Loans[[#This Row],[LoanAmount]])</f>
        <v>0</v>
      </c>
      <c r="O1296" t="str">
        <f>IF(Loans[[#This Row],[CollateralCoverageRatio]]&lt;1,"Undersecured","Secured")</f>
        <v>Undersecured</v>
      </c>
      <c r="P1296" t="str">
        <f>_xlfn.XLOOKUP(Loans[[#This Row],[BranchCode]],BranchesTbl[BranchCode],BranchesTbl[BranchName])</f>
        <v>Karen</v>
      </c>
      <c r="Q1296">
        <f>_xlfn.XLOOKUP(Loans[[#This Row],[CustomerID]],CustomerTbl[CustomerID],CustomerTbl[RiskScore])</f>
        <v>746</v>
      </c>
      <c r="R1296" t="str">
        <f>IFERROR(INDEX(RiskTbl[Risk_Category],MATCH(Loans[[#This Row],[RiskScore]],RiskTbl[Score_Min],1)),"Unknown")</f>
        <v>Very Low Risk</v>
      </c>
      <c r="S1296" t="str">
        <f>IF(OR(Loans[[#This Row],[LoanStatus]]="Default",Loans[[#This Row],[LoanStatus]]="Watchlist",Loans[[#This Row],[CollateralRisk]]="Undersecured",Loans[[#This Row],[RiskCategory]]="High Risk"),"High Risk Exposure","Normal")</f>
        <v>High Risk Exposure</v>
      </c>
      <c r="T1296" t="str" cm="1">
        <f t="array" ref="T1296">_xlfn.IFS(
Loans[[#This Row],[LoanStatus]]="Default","Critical",
OR(Loans[[#This Row],[LoanStatus]]="Watchlist",Loans[[#This Row],[CollateralRisk]]="Undersecured",Loans[[#This Row],[RiskCategory]]="High Risk"),"High",
TRUE,"Normal"
)</f>
        <v>High</v>
      </c>
    </row>
    <row r="1297" spans="1:20" x14ac:dyDescent="0.35">
      <c r="A1297" t="s">
        <v>2072</v>
      </c>
      <c r="B1297" t="s">
        <v>1709</v>
      </c>
      <c r="C1297" t="s">
        <v>170</v>
      </c>
      <c r="D1297" t="s">
        <v>158</v>
      </c>
      <c r="E1297" s="34">
        <v>3000000</v>
      </c>
      <c r="F1297" s="29">
        <v>0.1229</v>
      </c>
      <c r="G1297" s="30">
        <v>43892</v>
      </c>
      <c r="H1297">
        <v>36</v>
      </c>
      <c r="I1297">
        <v>10</v>
      </c>
      <c r="J1297" s="34">
        <v>2220000</v>
      </c>
      <c r="K1297" t="s">
        <v>171</v>
      </c>
      <c r="L1297" s="34">
        <f>PMT(Loans[[#This Row],[InterestRate]]/12,Loans[[#This Row],[LoanTenureMonths]],-Loans[[#This Row],[LoanAmount]])</f>
        <v>100058.96927107086</v>
      </c>
      <c r="M1297" s="30">
        <f>EDATE(Loans[[#This Row],[LoanStartDate]],Loans[[#This Row],[LoanTenureMonths]])</f>
        <v>44987</v>
      </c>
      <c r="N1297" s="33">
        <f>IF(Loans[[#This Row],[LoanAmount]]=0,0,Loans[[#This Row],[CollateralValue]]/Loans[[#This Row],[LoanAmount]])</f>
        <v>0.74</v>
      </c>
      <c r="O1297" t="str">
        <f>IF(Loans[[#This Row],[CollateralCoverageRatio]]&lt;1,"Undersecured","Secured")</f>
        <v>Undersecured</v>
      </c>
      <c r="P1297" t="str">
        <f>_xlfn.XLOOKUP(Loans[[#This Row],[BranchCode]],BranchesTbl[BranchCode],BranchesTbl[BranchName])</f>
        <v>Thika</v>
      </c>
      <c r="Q1297">
        <f>_xlfn.XLOOKUP(Loans[[#This Row],[CustomerID]],CustomerTbl[CustomerID],CustomerTbl[RiskScore])</f>
        <v>525</v>
      </c>
      <c r="R1297" t="str">
        <f>IFERROR(INDEX(RiskTbl[Risk_Category],MATCH(Loans[[#This Row],[RiskScore]],RiskTbl[Score_Min],1)),"Unknown")</f>
        <v>High Risk</v>
      </c>
      <c r="S1297" t="str">
        <f>IF(OR(Loans[[#This Row],[LoanStatus]]="Default",Loans[[#This Row],[LoanStatus]]="Watchlist",Loans[[#This Row],[CollateralRisk]]="Undersecured",Loans[[#This Row],[RiskCategory]]="High Risk"),"High Risk Exposure","Normal")</f>
        <v>High Risk Exposure</v>
      </c>
      <c r="T1297" t="str" cm="1">
        <f t="array" ref="T1297">_xlfn.IFS(
Loans[[#This Row],[LoanStatus]]="Default","Critical",
OR(Loans[[#This Row],[LoanStatus]]="Watchlist",Loans[[#This Row],[CollateralRisk]]="Undersecured",Loans[[#This Row],[RiskCategory]]="High Risk"),"High",
TRUE,"Normal"
)</f>
        <v>High</v>
      </c>
    </row>
    <row r="1298" spans="1:20" x14ac:dyDescent="0.35">
      <c r="A1298" t="s">
        <v>2073</v>
      </c>
      <c r="B1298" t="s">
        <v>1194</v>
      </c>
      <c r="C1298" t="s">
        <v>177</v>
      </c>
      <c r="D1298" t="s">
        <v>157</v>
      </c>
      <c r="E1298" s="34">
        <v>80000000</v>
      </c>
      <c r="F1298" s="29">
        <v>0.1361</v>
      </c>
      <c r="G1298" s="30">
        <v>44518</v>
      </c>
      <c r="H1298">
        <v>12</v>
      </c>
      <c r="I1298">
        <v>0</v>
      </c>
      <c r="J1298" s="34">
        <v>102400000</v>
      </c>
      <c r="K1298" t="s">
        <v>171</v>
      </c>
      <c r="L1298" s="34">
        <f>PMT(Loans[[#This Row],[InterestRate]]/12,Loans[[#This Row],[LoanTenureMonths]],-Loans[[#This Row],[LoanAmount]])</f>
        <v>7168297.4590759501</v>
      </c>
      <c r="M1298" s="30">
        <f>EDATE(Loans[[#This Row],[LoanStartDate]],Loans[[#This Row],[LoanTenureMonths]])</f>
        <v>44883</v>
      </c>
      <c r="N1298" s="33">
        <f>IF(Loans[[#This Row],[LoanAmount]]=0,0,Loans[[#This Row],[CollateralValue]]/Loans[[#This Row],[LoanAmount]])</f>
        <v>1.28</v>
      </c>
      <c r="O1298" t="str">
        <f>IF(Loans[[#This Row],[CollateralCoverageRatio]]&lt;1,"Undersecured","Secured")</f>
        <v>Secured</v>
      </c>
      <c r="P1298" t="str">
        <f>_xlfn.XLOOKUP(Loans[[#This Row],[BranchCode]],BranchesTbl[BranchCode],BranchesTbl[BranchName])</f>
        <v>Naivasha</v>
      </c>
      <c r="Q1298">
        <f>_xlfn.XLOOKUP(Loans[[#This Row],[CustomerID]],CustomerTbl[CustomerID],CustomerTbl[RiskScore])</f>
        <v>567</v>
      </c>
      <c r="R1298" t="str">
        <f>IFERROR(INDEX(RiskTbl[Risk_Category],MATCH(Loans[[#This Row],[RiskScore]],RiskTbl[Score_Min],1)),"Unknown")</f>
        <v>High Risk</v>
      </c>
      <c r="S1298" t="str">
        <f>IF(OR(Loans[[#This Row],[LoanStatus]]="Default",Loans[[#This Row],[LoanStatus]]="Watchlist",Loans[[#This Row],[CollateralRisk]]="Undersecured",Loans[[#This Row],[RiskCategory]]="High Risk"),"High Risk Exposure","Normal")</f>
        <v>High Risk Exposure</v>
      </c>
      <c r="T1298" t="str" cm="1">
        <f t="array" ref="T1298">_xlfn.IFS(
Loans[[#This Row],[LoanStatus]]="Default","Critical",
OR(Loans[[#This Row],[LoanStatus]]="Watchlist",Loans[[#This Row],[CollateralRisk]]="Undersecured",Loans[[#This Row],[RiskCategory]]="High Risk"),"High",
TRUE,"Normal"
)</f>
        <v>High</v>
      </c>
    </row>
    <row r="1299" spans="1:20" x14ac:dyDescent="0.35">
      <c r="A1299" t="s">
        <v>2074</v>
      </c>
      <c r="B1299" t="s">
        <v>2021</v>
      </c>
      <c r="C1299" t="s">
        <v>270</v>
      </c>
      <c r="D1299" t="s">
        <v>156</v>
      </c>
      <c r="E1299" s="34">
        <v>1000000</v>
      </c>
      <c r="F1299" s="29">
        <v>0.2399</v>
      </c>
      <c r="G1299" s="30">
        <v>45964</v>
      </c>
      <c r="H1299">
        <v>24</v>
      </c>
      <c r="I1299">
        <v>5</v>
      </c>
      <c r="J1299" s="34">
        <v>1070000</v>
      </c>
      <c r="K1299" t="s">
        <v>171</v>
      </c>
      <c r="L1299" s="34">
        <f>PMT(Loans[[#This Row],[InterestRate]]/12,Loans[[#This Row],[LoanTenureMonths]],-Loans[[#This Row],[LoanAmount]])</f>
        <v>52866.106300004001</v>
      </c>
      <c r="M1299" s="30">
        <f>EDATE(Loans[[#This Row],[LoanStartDate]],Loans[[#This Row],[LoanTenureMonths]])</f>
        <v>46694</v>
      </c>
      <c r="N1299" s="33">
        <f>IF(Loans[[#This Row],[LoanAmount]]=0,0,Loans[[#This Row],[CollateralValue]]/Loans[[#This Row],[LoanAmount]])</f>
        <v>1.07</v>
      </c>
      <c r="O1299" t="str">
        <f>IF(Loans[[#This Row],[CollateralCoverageRatio]]&lt;1,"Undersecured","Secured")</f>
        <v>Secured</v>
      </c>
      <c r="P1299" t="str">
        <f>_xlfn.XLOOKUP(Loans[[#This Row],[BranchCode]],BranchesTbl[BranchCode],BranchesTbl[BranchName])</f>
        <v>Nakuru</v>
      </c>
      <c r="Q1299">
        <f>_xlfn.XLOOKUP(Loans[[#This Row],[CustomerID]],CustomerTbl[CustomerID],CustomerTbl[RiskScore])</f>
        <v>848</v>
      </c>
      <c r="R1299" t="str">
        <f>IFERROR(INDEX(RiskTbl[Risk_Category],MATCH(Loans[[#This Row],[RiskScore]],RiskTbl[Score_Min],1)),"Unknown")</f>
        <v>Prime</v>
      </c>
      <c r="S1299" t="str">
        <f>IF(OR(Loans[[#This Row],[LoanStatus]]="Default",Loans[[#This Row],[LoanStatus]]="Watchlist",Loans[[#This Row],[CollateralRisk]]="Undersecured",Loans[[#This Row],[RiskCategory]]="High Risk"),"High Risk Exposure","Normal")</f>
        <v>Normal</v>
      </c>
      <c r="T1299" t="str" cm="1">
        <f t="array" ref="T1299">_xlfn.IFS(
Loans[[#This Row],[LoanStatus]]="Default","Critical",
OR(Loans[[#This Row],[LoanStatus]]="Watchlist",Loans[[#This Row],[CollateralRisk]]="Undersecured",Loans[[#This Row],[RiskCategory]]="High Risk"),"High",
TRUE,"Normal"
)</f>
        <v>Normal</v>
      </c>
    </row>
    <row r="1300" spans="1:20" x14ac:dyDescent="0.35">
      <c r="A1300" t="s">
        <v>2075</v>
      </c>
      <c r="B1300" t="s">
        <v>722</v>
      </c>
      <c r="C1300" t="s">
        <v>232</v>
      </c>
      <c r="D1300" t="s">
        <v>157</v>
      </c>
      <c r="E1300" s="34">
        <v>6000000</v>
      </c>
      <c r="F1300" s="29">
        <v>0.12239999999999999</v>
      </c>
      <c r="G1300" s="30">
        <v>45368</v>
      </c>
      <c r="H1300">
        <v>24</v>
      </c>
      <c r="I1300">
        <v>0</v>
      </c>
      <c r="J1300" s="34">
        <v>6060000</v>
      </c>
      <c r="K1300" t="s">
        <v>171</v>
      </c>
      <c r="L1300" s="34">
        <f>PMT(Loans[[#This Row],[InterestRate]]/12,Loans[[#This Row],[LoanTenureMonths]],-Loans[[#This Row],[LoanAmount]])</f>
        <v>283113.77282821416</v>
      </c>
      <c r="M1300" s="30">
        <f>EDATE(Loans[[#This Row],[LoanStartDate]],Loans[[#This Row],[LoanTenureMonths]])</f>
        <v>46098</v>
      </c>
      <c r="N1300" s="33">
        <f>IF(Loans[[#This Row],[LoanAmount]]=0,0,Loans[[#This Row],[CollateralValue]]/Loans[[#This Row],[LoanAmount]])</f>
        <v>1.01</v>
      </c>
      <c r="O1300" t="str">
        <f>IF(Loans[[#This Row],[CollateralCoverageRatio]]&lt;1,"Undersecured","Secured")</f>
        <v>Secured</v>
      </c>
      <c r="P1300" t="str">
        <f>_xlfn.XLOOKUP(Loans[[#This Row],[BranchCode]],BranchesTbl[BranchCode],BranchesTbl[BranchName])</f>
        <v>Upper Hill</v>
      </c>
      <c r="Q1300">
        <f>_xlfn.XLOOKUP(Loans[[#This Row],[CustomerID]],CustomerTbl[CustomerID],CustomerTbl[RiskScore])</f>
        <v>366</v>
      </c>
      <c r="R1300" t="str">
        <f>IFERROR(INDEX(RiskTbl[Risk_Category],MATCH(Loans[[#This Row],[RiskScore]],RiskTbl[Score_Min],1)),"Unknown")</f>
        <v>High Risk</v>
      </c>
      <c r="S1300" t="str">
        <f>IF(OR(Loans[[#This Row],[LoanStatus]]="Default",Loans[[#This Row],[LoanStatus]]="Watchlist",Loans[[#This Row],[CollateralRisk]]="Undersecured",Loans[[#This Row],[RiskCategory]]="High Risk"),"High Risk Exposure","Normal")</f>
        <v>High Risk Exposure</v>
      </c>
      <c r="T1300" t="str" cm="1">
        <f t="array" ref="T1300">_xlfn.IFS(
Loans[[#This Row],[LoanStatus]]="Default","Critical",
OR(Loans[[#This Row],[LoanStatus]]="Watchlist",Loans[[#This Row],[CollateralRisk]]="Undersecured",Loans[[#This Row],[RiskCategory]]="High Risk"),"High",
TRUE,"Normal"
)</f>
        <v>High</v>
      </c>
    </row>
    <row r="1301" spans="1:20" x14ac:dyDescent="0.35">
      <c r="A1301" t="s">
        <v>2076</v>
      </c>
      <c r="B1301" t="s">
        <v>2077</v>
      </c>
      <c r="C1301" t="s">
        <v>219</v>
      </c>
      <c r="D1301" t="s">
        <v>156</v>
      </c>
      <c r="E1301" s="34">
        <v>1000000</v>
      </c>
      <c r="F1301" s="29">
        <v>0.183</v>
      </c>
      <c r="G1301" s="30">
        <v>44160</v>
      </c>
      <c r="H1301">
        <v>72</v>
      </c>
      <c r="I1301">
        <v>0</v>
      </c>
      <c r="J1301" s="34">
        <v>730000</v>
      </c>
      <c r="K1301" t="s">
        <v>171</v>
      </c>
      <c r="L1301" s="34">
        <f>PMT(Loans[[#This Row],[InterestRate]]/12,Loans[[#This Row],[LoanTenureMonths]],-Loans[[#This Row],[LoanAmount]])</f>
        <v>22977.711620676931</v>
      </c>
      <c r="M1301" s="30">
        <f>EDATE(Loans[[#This Row],[LoanStartDate]],Loans[[#This Row],[LoanTenureMonths]])</f>
        <v>46351</v>
      </c>
      <c r="N1301" s="33">
        <f>IF(Loans[[#This Row],[LoanAmount]]=0,0,Loans[[#This Row],[CollateralValue]]/Loans[[#This Row],[LoanAmount]])</f>
        <v>0.73</v>
      </c>
      <c r="O1301" t="str">
        <f>IF(Loans[[#This Row],[CollateralCoverageRatio]]&lt;1,"Undersecured","Secured")</f>
        <v>Undersecured</v>
      </c>
      <c r="P1301" t="str">
        <f>_xlfn.XLOOKUP(Loans[[#This Row],[BranchCode]],BranchesTbl[BranchCode],BranchesTbl[BranchName])</f>
        <v>Meru</v>
      </c>
      <c r="Q1301">
        <f>_xlfn.XLOOKUP(Loans[[#This Row],[CustomerID]],CustomerTbl[CustomerID],CustomerTbl[RiskScore])</f>
        <v>681</v>
      </c>
      <c r="R1301" t="str">
        <f>IFERROR(INDEX(RiskTbl[Risk_Category],MATCH(Loans[[#This Row],[RiskScore]],RiskTbl[Score_Min],1)),"Unknown")</f>
        <v>Low Risk</v>
      </c>
      <c r="S1301" t="str">
        <f>IF(OR(Loans[[#This Row],[LoanStatus]]="Default",Loans[[#This Row],[LoanStatus]]="Watchlist",Loans[[#This Row],[CollateralRisk]]="Undersecured",Loans[[#This Row],[RiskCategory]]="High Risk"),"High Risk Exposure","Normal")</f>
        <v>High Risk Exposure</v>
      </c>
      <c r="T1301" t="str" cm="1">
        <f t="array" ref="T1301">_xlfn.IFS(
Loans[[#This Row],[LoanStatus]]="Default","Critical",
OR(Loans[[#This Row],[LoanStatus]]="Watchlist",Loans[[#This Row],[CollateralRisk]]="Undersecured",Loans[[#This Row],[RiskCategory]]="High Risk"),"High",
TRUE,"Normal"
)</f>
        <v>High</v>
      </c>
    </row>
    <row r="1302" spans="1:20" x14ac:dyDescent="0.35">
      <c r="A1302" t="s">
        <v>2078</v>
      </c>
      <c r="B1302" t="s">
        <v>978</v>
      </c>
      <c r="C1302" t="s">
        <v>206</v>
      </c>
      <c r="D1302" t="s">
        <v>156</v>
      </c>
      <c r="E1302" s="34">
        <v>6000000</v>
      </c>
      <c r="F1302" s="29">
        <v>0.19089999999999999</v>
      </c>
      <c r="G1302" s="30">
        <v>44018</v>
      </c>
      <c r="H1302">
        <v>48</v>
      </c>
      <c r="I1302">
        <v>10</v>
      </c>
      <c r="J1302" s="34">
        <v>4500000</v>
      </c>
      <c r="K1302" t="s">
        <v>171</v>
      </c>
      <c r="L1302" s="34">
        <f>PMT(Loans[[#This Row],[InterestRate]]/12,Loans[[#This Row],[LoanTenureMonths]],-Loans[[#This Row],[LoanAmount]])</f>
        <v>179685.78502745731</v>
      </c>
      <c r="M1302" s="30">
        <f>EDATE(Loans[[#This Row],[LoanStartDate]],Loans[[#This Row],[LoanTenureMonths]])</f>
        <v>45479</v>
      </c>
      <c r="N1302" s="33">
        <f>IF(Loans[[#This Row],[LoanAmount]]=0,0,Loans[[#This Row],[CollateralValue]]/Loans[[#This Row],[LoanAmount]])</f>
        <v>0.75</v>
      </c>
      <c r="O1302" t="str">
        <f>IF(Loans[[#This Row],[CollateralCoverageRatio]]&lt;1,"Undersecured","Secured")</f>
        <v>Undersecured</v>
      </c>
      <c r="P1302" t="str">
        <f>_xlfn.XLOOKUP(Loans[[#This Row],[BranchCode]],BranchesTbl[BranchCode],BranchesTbl[BranchName])</f>
        <v>Nyahururu</v>
      </c>
      <c r="Q1302">
        <f>_xlfn.XLOOKUP(Loans[[#This Row],[CustomerID]],CustomerTbl[CustomerID],CustomerTbl[RiskScore])</f>
        <v>775</v>
      </c>
      <c r="R1302" t="str">
        <f>IFERROR(INDEX(RiskTbl[Risk_Category],MATCH(Loans[[#This Row],[RiskScore]],RiskTbl[Score_Min],1)),"Unknown")</f>
        <v>Very Low Risk</v>
      </c>
      <c r="S1302" t="str">
        <f>IF(OR(Loans[[#This Row],[LoanStatus]]="Default",Loans[[#This Row],[LoanStatus]]="Watchlist",Loans[[#This Row],[CollateralRisk]]="Undersecured",Loans[[#This Row],[RiskCategory]]="High Risk"),"High Risk Exposure","Normal")</f>
        <v>High Risk Exposure</v>
      </c>
      <c r="T1302" t="str" cm="1">
        <f t="array" ref="T1302">_xlfn.IFS(
Loans[[#This Row],[LoanStatus]]="Default","Critical",
OR(Loans[[#This Row],[LoanStatus]]="Watchlist",Loans[[#This Row],[CollateralRisk]]="Undersecured",Loans[[#This Row],[RiskCategory]]="High Risk"),"High",
TRUE,"Normal"
)</f>
        <v>High</v>
      </c>
    </row>
    <row r="1303" spans="1:20" x14ac:dyDescent="0.35">
      <c r="A1303" t="s">
        <v>2079</v>
      </c>
      <c r="B1303" t="s">
        <v>1611</v>
      </c>
      <c r="C1303" t="s">
        <v>170</v>
      </c>
      <c r="D1303" t="s">
        <v>155</v>
      </c>
      <c r="E1303" s="34">
        <v>100000</v>
      </c>
      <c r="F1303" s="29">
        <v>0.20749999999999999</v>
      </c>
      <c r="G1303" s="30">
        <v>45683</v>
      </c>
      <c r="H1303">
        <v>12</v>
      </c>
      <c r="I1303">
        <v>45</v>
      </c>
      <c r="J1303" s="34">
        <v>0</v>
      </c>
      <c r="K1303" t="s">
        <v>199</v>
      </c>
      <c r="L1303" s="34">
        <f>PMT(Loans[[#This Row],[InterestRate]]/12,Loans[[#This Row],[LoanTenureMonths]],-Loans[[#This Row],[LoanAmount]])</f>
        <v>9299.3831271892104</v>
      </c>
      <c r="M1303" s="30">
        <f>EDATE(Loans[[#This Row],[LoanStartDate]],Loans[[#This Row],[LoanTenureMonths]])</f>
        <v>46048</v>
      </c>
      <c r="N1303" s="33">
        <f>IF(Loans[[#This Row],[LoanAmount]]=0,0,Loans[[#This Row],[CollateralValue]]/Loans[[#This Row],[LoanAmount]])</f>
        <v>0</v>
      </c>
      <c r="O1303" t="str">
        <f>IF(Loans[[#This Row],[CollateralCoverageRatio]]&lt;1,"Undersecured","Secured")</f>
        <v>Undersecured</v>
      </c>
      <c r="P1303" t="str">
        <f>_xlfn.XLOOKUP(Loans[[#This Row],[BranchCode]],BranchesTbl[BranchCode],BranchesTbl[BranchName])</f>
        <v>Thika</v>
      </c>
      <c r="Q1303">
        <f>_xlfn.XLOOKUP(Loans[[#This Row],[CustomerID]],CustomerTbl[CustomerID],CustomerTbl[RiskScore])</f>
        <v>668</v>
      </c>
      <c r="R1303" t="str">
        <f>IFERROR(INDEX(RiskTbl[Risk_Category],MATCH(Loans[[#This Row],[RiskScore]],RiskTbl[Score_Min],1)),"Unknown")</f>
        <v>Medium Risk</v>
      </c>
      <c r="S1303" t="str">
        <f>IF(OR(Loans[[#This Row],[LoanStatus]]="Default",Loans[[#This Row],[LoanStatus]]="Watchlist",Loans[[#This Row],[CollateralRisk]]="Undersecured",Loans[[#This Row],[RiskCategory]]="High Risk"),"High Risk Exposure","Normal")</f>
        <v>High Risk Exposure</v>
      </c>
      <c r="T1303" t="str" cm="1">
        <f t="array" ref="T1303">_xlfn.IFS(
Loans[[#This Row],[LoanStatus]]="Default","Critical",
OR(Loans[[#This Row],[LoanStatus]]="Watchlist",Loans[[#This Row],[CollateralRisk]]="Undersecured",Loans[[#This Row],[RiskCategory]]="High Risk"),"High",
TRUE,"Normal"
)</f>
        <v>High</v>
      </c>
    </row>
    <row r="1304" spans="1:20" x14ac:dyDescent="0.35">
      <c r="A1304" t="s">
        <v>2080</v>
      </c>
      <c r="B1304" t="s">
        <v>1041</v>
      </c>
      <c r="C1304" t="s">
        <v>239</v>
      </c>
      <c r="D1304" t="s">
        <v>155</v>
      </c>
      <c r="E1304" s="34">
        <v>500000</v>
      </c>
      <c r="F1304" s="29">
        <v>0.2039</v>
      </c>
      <c r="G1304" s="30">
        <v>43844</v>
      </c>
      <c r="H1304">
        <v>60</v>
      </c>
      <c r="I1304">
        <v>10</v>
      </c>
      <c r="J1304" s="34">
        <v>0</v>
      </c>
      <c r="K1304" t="s">
        <v>171</v>
      </c>
      <c r="L1304" s="34">
        <f>PMT(Loans[[#This Row],[InterestRate]]/12,Loans[[#This Row],[LoanTenureMonths]],-Loans[[#This Row],[LoanAmount]])</f>
        <v>13355.676144132432</v>
      </c>
      <c r="M1304" s="30">
        <f>EDATE(Loans[[#This Row],[LoanStartDate]],Loans[[#This Row],[LoanTenureMonths]])</f>
        <v>45671</v>
      </c>
      <c r="N1304" s="33">
        <f>IF(Loans[[#This Row],[LoanAmount]]=0,0,Loans[[#This Row],[CollateralValue]]/Loans[[#This Row],[LoanAmount]])</f>
        <v>0</v>
      </c>
      <c r="O1304" t="str">
        <f>IF(Loans[[#This Row],[CollateralCoverageRatio]]&lt;1,"Undersecured","Secured")</f>
        <v>Undersecured</v>
      </c>
      <c r="P1304" t="str">
        <f>_xlfn.XLOOKUP(Loans[[#This Row],[BranchCode]],BranchesTbl[BranchCode],BranchesTbl[BranchName])</f>
        <v>Machakos</v>
      </c>
      <c r="Q1304">
        <f>_xlfn.XLOOKUP(Loans[[#This Row],[CustomerID]],CustomerTbl[CustomerID],CustomerTbl[RiskScore])</f>
        <v>424</v>
      </c>
      <c r="R1304" t="str">
        <f>IFERROR(INDEX(RiskTbl[Risk_Category],MATCH(Loans[[#This Row],[RiskScore]],RiskTbl[Score_Min],1)),"Unknown")</f>
        <v>High Risk</v>
      </c>
      <c r="S1304" t="str">
        <f>IF(OR(Loans[[#This Row],[LoanStatus]]="Default",Loans[[#This Row],[LoanStatus]]="Watchlist",Loans[[#This Row],[CollateralRisk]]="Undersecured",Loans[[#This Row],[RiskCategory]]="High Risk"),"High Risk Exposure","Normal")</f>
        <v>High Risk Exposure</v>
      </c>
      <c r="T1304" t="str" cm="1">
        <f t="array" ref="T1304">_xlfn.IFS(
Loans[[#This Row],[LoanStatus]]="Default","Critical",
OR(Loans[[#This Row],[LoanStatus]]="Watchlist",Loans[[#This Row],[CollateralRisk]]="Undersecured",Loans[[#This Row],[RiskCategory]]="High Risk"),"High",
TRUE,"Normal"
)</f>
        <v>High</v>
      </c>
    </row>
    <row r="1305" spans="1:20" x14ac:dyDescent="0.35">
      <c r="A1305" t="s">
        <v>2081</v>
      </c>
      <c r="B1305" t="s">
        <v>689</v>
      </c>
      <c r="C1305" t="s">
        <v>267</v>
      </c>
      <c r="D1305" t="s">
        <v>156</v>
      </c>
      <c r="E1305" s="34">
        <v>3000000</v>
      </c>
      <c r="F1305" s="29">
        <v>0.19539999999999999</v>
      </c>
      <c r="G1305" s="30">
        <v>45575</v>
      </c>
      <c r="H1305">
        <v>48</v>
      </c>
      <c r="I1305">
        <v>0</v>
      </c>
      <c r="J1305" s="34">
        <v>4320000</v>
      </c>
      <c r="K1305" t="s">
        <v>171</v>
      </c>
      <c r="L1305" s="34">
        <f>PMT(Loans[[#This Row],[InterestRate]]/12,Loans[[#This Row],[LoanTenureMonths]],-Loans[[#This Row],[LoanAmount]])</f>
        <v>90557.44735970872</v>
      </c>
      <c r="M1305" s="30">
        <f>EDATE(Loans[[#This Row],[LoanStartDate]],Loans[[#This Row],[LoanTenureMonths]])</f>
        <v>47036</v>
      </c>
      <c r="N1305" s="33">
        <f>IF(Loans[[#This Row],[LoanAmount]]=0,0,Loans[[#This Row],[CollateralValue]]/Loans[[#This Row],[LoanAmount]])</f>
        <v>1.44</v>
      </c>
      <c r="O1305" t="str">
        <f>IF(Loans[[#This Row],[CollateralCoverageRatio]]&lt;1,"Undersecured","Secured")</f>
        <v>Secured</v>
      </c>
      <c r="P1305" t="str">
        <f>_xlfn.XLOOKUP(Loans[[#This Row],[BranchCode]],BranchesTbl[BranchCode],BranchesTbl[BranchName])</f>
        <v>Malindi</v>
      </c>
      <c r="Q1305">
        <f>_xlfn.XLOOKUP(Loans[[#This Row],[CustomerID]],CustomerTbl[CustomerID],CustomerTbl[RiskScore])</f>
        <v>416</v>
      </c>
      <c r="R1305" t="str">
        <f>IFERROR(INDEX(RiskTbl[Risk_Category],MATCH(Loans[[#This Row],[RiskScore]],RiskTbl[Score_Min],1)),"Unknown")</f>
        <v>High Risk</v>
      </c>
      <c r="S1305" t="str">
        <f>IF(OR(Loans[[#This Row],[LoanStatus]]="Default",Loans[[#This Row],[LoanStatus]]="Watchlist",Loans[[#This Row],[CollateralRisk]]="Undersecured",Loans[[#This Row],[RiskCategory]]="High Risk"),"High Risk Exposure","Normal")</f>
        <v>High Risk Exposure</v>
      </c>
      <c r="T1305" t="str" cm="1">
        <f t="array" ref="T1305">_xlfn.IFS(
Loans[[#This Row],[LoanStatus]]="Default","Critical",
OR(Loans[[#This Row],[LoanStatus]]="Watchlist",Loans[[#This Row],[CollateralRisk]]="Undersecured",Loans[[#This Row],[RiskCategory]]="High Risk"),"High",
TRUE,"Normal"
)</f>
        <v>High</v>
      </c>
    </row>
    <row r="1306" spans="1:20" x14ac:dyDescent="0.35">
      <c r="A1306" t="s">
        <v>2082</v>
      </c>
      <c r="B1306" t="s">
        <v>337</v>
      </c>
      <c r="C1306" t="s">
        <v>239</v>
      </c>
      <c r="D1306" t="s">
        <v>158</v>
      </c>
      <c r="E1306" s="34">
        <v>3000000</v>
      </c>
      <c r="F1306" s="29">
        <v>0.17530000000000001</v>
      </c>
      <c r="G1306" s="30">
        <v>45468</v>
      </c>
      <c r="H1306">
        <v>12</v>
      </c>
      <c r="I1306">
        <v>120</v>
      </c>
      <c r="J1306" s="34">
        <v>3120000</v>
      </c>
      <c r="K1306" t="s">
        <v>178</v>
      </c>
      <c r="L1306" s="34">
        <f>PMT(Loans[[#This Row],[InterestRate]]/12,Loans[[#This Row],[LoanTenureMonths]],-Loans[[#This Row],[LoanAmount]])</f>
        <v>274369.38639312581</v>
      </c>
      <c r="M1306" s="30">
        <f>EDATE(Loans[[#This Row],[LoanStartDate]],Loans[[#This Row],[LoanTenureMonths]])</f>
        <v>45833</v>
      </c>
      <c r="N1306" s="33">
        <f>IF(Loans[[#This Row],[LoanAmount]]=0,0,Loans[[#This Row],[CollateralValue]]/Loans[[#This Row],[LoanAmount]])</f>
        <v>1.04</v>
      </c>
      <c r="O1306" t="str">
        <f>IF(Loans[[#This Row],[CollateralCoverageRatio]]&lt;1,"Undersecured","Secured")</f>
        <v>Secured</v>
      </c>
      <c r="P1306" t="str">
        <f>_xlfn.XLOOKUP(Loans[[#This Row],[BranchCode]],BranchesTbl[BranchCode],BranchesTbl[BranchName])</f>
        <v>Machakos</v>
      </c>
      <c r="Q1306">
        <f>_xlfn.XLOOKUP(Loans[[#This Row],[CustomerID]],CustomerTbl[CustomerID],CustomerTbl[RiskScore])</f>
        <v>402</v>
      </c>
      <c r="R1306" t="str">
        <f>IFERROR(INDEX(RiskTbl[Risk_Category],MATCH(Loans[[#This Row],[RiskScore]],RiskTbl[Score_Min],1)),"Unknown")</f>
        <v>High Risk</v>
      </c>
      <c r="S1306" t="str">
        <f>IF(OR(Loans[[#This Row],[LoanStatus]]="Default",Loans[[#This Row],[LoanStatus]]="Watchlist",Loans[[#This Row],[CollateralRisk]]="Undersecured",Loans[[#This Row],[RiskCategory]]="High Risk"),"High Risk Exposure","Normal")</f>
        <v>High Risk Exposure</v>
      </c>
      <c r="T1306" t="str" cm="1">
        <f t="array" ref="T1306">_xlfn.IFS(
Loans[[#This Row],[LoanStatus]]="Default","Critical",
OR(Loans[[#This Row],[LoanStatus]]="Watchlist",Loans[[#This Row],[CollateralRisk]]="Undersecured",Loans[[#This Row],[RiskCategory]]="High Risk"),"High",
TRUE,"Normal"
)</f>
        <v>Critical</v>
      </c>
    </row>
    <row r="1307" spans="1:20" x14ac:dyDescent="0.35">
      <c r="A1307" t="s">
        <v>2083</v>
      </c>
      <c r="B1307" t="s">
        <v>264</v>
      </c>
      <c r="C1307" t="s">
        <v>170</v>
      </c>
      <c r="D1307" t="s">
        <v>158</v>
      </c>
      <c r="E1307" s="34">
        <v>500000</v>
      </c>
      <c r="F1307" s="29">
        <v>0.14230000000000001</v>
      </c>
      <c r="G1307" s="30">
        <v>44949</v>
      </c>
      <c r="H1307">
        <v>36</v>
      </c>
      <c r="I1307">
        <v>0</v>
      </c>
      <c r="J1307" s="34">
        <v>250000</v>
      </c>
      <c r="K1307" t="s">
        <v>171</v>
      </c>
      <c r="L1307" s="34">
        <f>PMT(Loans[[#This Row],[InterestRate]]/12,Loans[[#This Row],[LoanTenureMonths]],-Loans[[#This Row],[LoanAmount]])</f>
        <v>17144.722476402116</v>
      </c>
      <c r="M1307" s="30">
        <f>EDATE(Loans[[#This Row],[LoanStartDate]],Loans[[#This Row],[LoanTenureMonths]])</f>
        <v>46045</v>
      </c>
      <c r="N1307" s="33">
        <f>IF(Loans[[#This Row],[LoanAmount]]=0,0,Loans[[#This Row],[CollateralValue]]/Loans[[#This Row],[LoanAmount]])</f>
        <v>0.5</v>
      </c>
      <c r="O1307" t="str">
        <f>IF(Loans[[#This Row],[CollateralCoverageRatio]]&lt;1,"Undersecured","Secured")</f>
        <v>Undersecured</v>
      </c>
      <c r="P1307" t="str">
        <f>_xlfn.XLOOKUP(Loans[[#This Row],[BranchCode]],BranchesTbl[BranchCode],BranchesTbl[BranchName])</f>
        <v>Thika</v>
      </c>
      <c r="Q1307">
        <f>_xlfn.XLOOKUP(Loans[[#This Row],[CustomerID]],CustomerTbl[CustomerID],CustomerTbl[RiskScore])</f>
        <v>316</v>
      </c>
      <c r="R1307" t="str">
        <f>IFERROR(INDEX(RiskTbl[Risk_Category],MATCH(Loans[[#This Row],[RiskScore]],RiskTbl[Score_Min],1)),"Unknown")</f>
        <v>High Risk</v>
      </c>
      <c r="S1307" t="str">
        <f>IF(OR(Loans[[#This Row],[LoanStatus]]="Default",Loans[[#This Row],[LoanStatus]]="Watchlist",Loans[[#This Row],[CollateralRisk]]="Undersecured",Loans[[#This Row],[RiskCategory]]="High Risk"),"High Risk Exposure","Normal")</f>
        <v>High Risk Exposure</v>
      </c>
      <c r="T1307" t="str" cm="1">
        <f t="array" ref="T1307">_xlfn.IFS(
Loans[[#This Row],[LoanStatus]]="Default","Critical",
OR(Loans[[#This Row],[LoanStatus]]="Watchlist",Loans[[#This Row],[CollateralRisk]]="Undersecured",Loans[[#This Row],[RiskCategory]]="High Risk"),"High",
TRUE,"Normal"
)</f>
        <v>High</v>
      </c>
    </row>
    <row r="1308" spans="1:20" x14ac:dyDescent="0.35">
      <c r="A1308" t="s">
        <v>2084</v>
      </c>
      <c r="B1308" t="s">
        <v>335</v>
      </c>
      <c r="C1308" t="s">
        <v>170</v>
      </c>
      <c r="D1308" t="s">
        <v>156</v>
      </c>
      <c r="E1308" s="34">
        <v>1000000</v>
      </c>
      <c r="F1308" s="29">
        <v>0.1968</v>
      </c>
      <c r="G1308" s="30">
        <v>45305</v>
      </c>
      <c r="H1308">
        <v>24</v>
      </c>
      <c r="I1308">
        <v>0</v>
      </c>
      <c r="J1308" s="34">
        <v>620000</v>
      </c>
      <c r="K1308" t="s">
        <v>171</v>
      </c>
      <c r="L1308" s="34">
        <f>PMT(Loans[[#This Row],[InterestRate]]/12,Loans[[#This Row],[LoanTenureMonths]],-Loans[[#This Row],[LoanAmount]])</f>
        <v>50739.613227468479</v>
      </c>
      <c r="M1308" s="30">
        <f>EDATE(Loans[[#This Row],[LoanStartDate]],Loans[[#This Row],[LoanTenureMonths]])</f>
        <v>46036</v>
      </c>
      <c r="N1308" s="33">
        <f>IF(Loans[[#This Row],[LoanAmount]]=0,0,Loans[[#This Row],[CollateralValue]]/Loans[[#This Row],[LoanAmount]])</f>
        <v>0.62</v>
      </c>
      <c r="O1308" t="str">
        <f>IF(Loans[[#This Row],[CollateralCoverageRatio]]&lt;1,"Undersecured","Secured")</f>
        <v>Undersecured</v>
      </c>
      <c r="P1308" t="str">
        <f>_xlfn.XLOOKUP(Loans[[#This Row],[BranchCode]],BranchesTbl[BranchCode],BranchesTbl[BranchName])</f>
        <v>Thika</v>
      </c>
      <c r="Q1308">
        <f>_xlfn.XLOOKUP(Loans[[#This Row],[CustomerID]],CustomerTbl[CustomerID],CustomerTbl[RiskScore])</f>
        <v>656</v>
      </c>
      <c r="R1308" t="str">
        <f>IFERROR(INDEX(RiskTbl[Risk_Category],MATCH(Loans[[#This Row],[RiskScore]],RiskTbl[Score_Min],1)),"Unknown")</f>
        <v>Medium Risk</v>
      </c>
      <c r="S1308" t="str">
        <f>IF(OR(Loans[[#This Row],[LoanStatus]]="Default",Loans[[#This Row],[LoanStatus]]="Watchlist",Loans[[#This Row],[CollateralRisk]]="Undersecured",Loans[[#This Row],[RiskCategory]]="High Risk"),"High Risk Exposure","Normal")</f>
        <v>High Risk Exposure</v>
      </c>
      <c r="T1308" t="str" cm="1">
        <f t="array" ref="T1308">_xlfn.IFS(
Loans[[#This Row],[LoanStatus]]="Default","Critical",
OR(Loans[[#This Row],[LoanStatus]]="Watchlist",Loans[[#This Row],[CollateralRisk]]="Undersecured",Loans[[#This Row],[RiskCategory]]="High Risk"),"High",
TRUE,"Normal"
)</f>
        <v>High</v>
      </c>
    </row>
    <row r="1309" spans="1:20" x14ac:dyDescent="0.35">
      <c r="A1309" t="s">
        <v>2085</v>
      </c>
      <c r="B1309" t="s">
        <v>1904</v>
      </c>
      <c r="C1309" t="s">
        <v>170</v>
      </c>
      <c r="D1309" t="s">
        <v>156</v>
      </c>
      <c r="E1309" s="34">
        <v>3000000</v>
      </c>
      <c r="F1309" s="29">
        <v>0.1694</v>
      </c>
      <c r="G1309" s="30">
        <v>45165</v>
      </c>
      <c r="H1309">
        <v>36</v>
      </c>
      <c r="I1309">
        <v>0</v>
      </c>
      <c r="J1309" s="34">
        <v>2550000</v>
      </c>
      <c r="K1309" t="s">
        <v>171</v>
      </c>
      <c r="L1309" s="34">
        <f>PMT(Loans[[#This Row],[InterestRate]]/12,Loans[[#This Row],[LoanTenureMonths]],-Loans[[#This Row],[LoanAmount]])</f>
        <v>106868.62091208957</v>
      </c>
      <c r="M1309" s="30">
        <f>EDATE(Loans[[#This Row],[LoanStartDate]],Loans[[#This Row],[LoanTenureMonths]])</f>
        <v>46261</v>
      </c>
      <c r="N1309" s="33">
        <f>IF(Loans[[#This Row],[LoanAmount]]=0,0,Loans[[#This Row],[CollateralValue]]/Loans[[#This Row],[LoanAmount]])</f>
        <v>0.85</v>
      </c>
      <c r="O1309" t="str">
        <f>IF(Loans[[#This Row],[CollateralCoverageRatio]]&lt;1,"Undersecured","Secured")</f>
        <v>Undersecured</v>
      </c>
      <c r="P1309" t="str">
        <f>_xlfn.XLOOKUP(Loans[[#This Row],[BranchCode]],BranchesTbl[BranchCode],BranchesTbl[BranchName])</f>
        <v>Thika</v>
      </c>
      <c r="Q1309">
        <f>_xlfn.XLOOKUP(Loans[[#This Row],[CustomerID]],CustomerTbl[CustomerID],CustomerTbl[RiskScore])</f>
        <v>543</v>
      </c>
      <c r="R1309" t="str">
        <f>IFERROR(INDEX(RiskTbl[Risk_Category],MATCH(Loans[[#This Row],[RiskScore]],RiskTbl[Score_Min],1)),"Unknown")</f>
        <v>High Risk</v>
      </c>
      <c r="S1309" t="str">
        <f>IF(OR(Loans[[#This Row],[LoanStatus]]="Default",Loans[[#This Row],[LoanStatus]]="Watchlist",Loans[[#This Row],[CollateralRisk]]="Undersecured",Loans[[#This Row],[RiskCategory]]="High Risk"),"High Risk Exposure","Normal")</f>
        <v>High Risk Exposure</v>
      </c>
      <c r="T1309" t="str" cm="1">
        <f t="array" ref="T1309">_xlfn.IFS(
Loans[[#This Row],[LoanStatus]]="Default","Critical",
OR(Loans[[#This Row],[LoanStatus]]="Watchlist",Loans[[#This Row],[CollateralRisk]]="Undersecured",Loans[[#This Row],[RiskCategory]]="High Risk"),"High",
TRUE,"Normal"
)</f>
        <v>High</v>
      </c>
    </row>
    <row r="1310" spans="1:20" x14ac:dyDescent="0.35">
      <c r="A1310" t="s">
        <v>2086</v>
      </c>
      <c r="B1310" t="s">
        <v>227</v>
      </c>
      <c r="C1310" t="s">
        <v>196</v>
      </c>
      <c r="D1310" t="s">
        <v>156</v>
      </c>
      <c r="E1310" s="34">
        <v>6000000</v>
      </c>
      <c r="F1310" s="29">
        <v>0.1837</v>
      </c>
      <c r="G1310" s="30">
        <v>45614</v>
      </c>
      <c r="H1310">
        <v>12</v>
      </c>
      <c r="I1310">
        <v>0</v>
      </c>
      <c r="J1310" s="34">
        <v>6300000</v>
      </c>
      <c r="K1310" t="s">
        <v>171</v>
      </c>
      <c r="L1310" s="34">
        <f>PMT(Loans[[#This Row],[InterestRate]]/12,Loans[[#This Row],[LoanTenureMonths]],-Loans[[#This Row],[LoanAmount]])</f>
        <v>551137.03732312645</v>
      </c>
      <c r="M1310" s="30">
        <f>EDATE(Loans[[#This Row],[LoanStartDate]],Loans[[#This Row],[LoanTenureMonths]])</f>
        <v>45979</v>
      </c>
      <c r="N1310" s="33">
        <f>IF(Loans[[#This Row],[LoanAmount]]=0,0,Loans[[#This Row],[CollateralValue]]/Loans[[#This Row],[LoanAmount]])</f>
        <v>1.05</v>
      </c>
      <c r="O1310" t="str">
        <f>IF(Loans[[#This Row],[CollateralCoverageRatio]]&lt;1,"Undersecured","Secured")</f>
        <v>Secured</v>
      </c>
      <c r="P1310" t="str">
        <f>_xlfn.XLOOKUP(Loans[[#This Row],[BranchCode]],BranchesTbl[BranchCode],BranchesTbl[BranchName])</f>
        <v>Karen</v>
      </c>
      <c r="Q1310">
        <f>_xlfn.XLOOKUP(Loans[[#This Row],[CustomerID]],CustomerTbl[CustomerID],CustomerTbl[RiskScore])</f>
        <v>702</v>
      </c>
      <c r="R1310" t="str">
        <f>IFERROR(INDEX(RiskTbl[Risk_Category],MATCH(Loans[[#This Row],[RiskScore]],RiskTbl[Score_Min],1)),"Unknown")</f>
        <v>Low Risk</v>
      </c>
      <c r="S1310" t="str">
        <f>IF(OR(Loans[[#This Row],[LoanStatus]]="Default",Loans[[#This Row],[LoanStatus]]="Watchlist",Loans[[#This Row],[CollateralRisk]]="Undersecured",Loans[[#This Row],[RiskCategory]]="High Risk"),"High Risk Exposure","Normal")</f>
        <v>Normal</v>
      </c>
      <c r="T1310" t="str" cm="1">
        <f t="array" ref="T1310">_xlfn.IFS(
Loans[[#This Row],[LoanStatus]]="Default","Critical",
OR(Loans[[#This Row],[LoanStatus]]="Watchlist",Loans[[#This Row],[CollateralRisk]]="Undersecured",Loans[[#This Row],[RiskCategory]]="High Risk"),"High",
TRUE,"Normal"
)</f>
        <v>Normal</v>
      </c>
    </row>
    <row r="1311" spans="1:20" x14ac:dyDescent="0.35">
      <c r="A1311" t="s">
        <v>2087</v>
      </c>
      <c r="B1311" t="s">
        <v>1096</v>
      </c>
      <c r="C1311" t="s">
        <v>239</v>
      </c>
      <c r="D1311" t="s">
        <v>157</v>
      </c>
      <c r="E1311" s="34">
        <v>25000000</v>
      </c>
      <c r="F1311" s="29">
        <v>0.1036</v>
      </c>
      <c r="G1311" s="30">
        <v>44997</v>
      </c>
      <c r="H1311">
        <v>72</v>
      </c>
      <c r="I1311">
        <v>0</v>
      </c>
      <c r="J1311" s="34">
        <v>28000000</v>
      </c>
      <c r="K1311" t="s">
        <v>171</v>
      </c>
      <c r="L1311" s="34">
        <f>PMT(Loans[[#This Row],[InterestRate]]/12,Loans[[#This Row],[LoanTenureMonths]],-Loans[[#This Row],[LoanAmount]])</f>
        <v>467697.33308149967</v>
      </c>
      <c r="M1311" s="30">
        <f>EDATE(Loans[[#This Row],[LoanStartDate]],Loans[[#This Row],[LoanTenureMonths]])</f>
        <v>47189</v>
      </c>
      <c r="N1311" s="33">
        <f>IF(Loans[[#This Row],[LoanAmount]]=0,0,Loans[[#This Row],[CollateralValue]]/Loans[[#This Row],[LoanAmount]])</f>
        <v>1.1200000000000001</v>
      </c>
      <c r="O1311" t="str">
        <f>IF(Loans[[#This Row],[CollateralCoverageRatio]]&lt;1,"Undersecured","Secured")</f>
        <v>Secured</v>
      </c>
      <c r="P1311" t="str">
        <f>_xlfn.XLOOKUP(Loans[[#This Row],[BranchCode]],BranchesTbl[BranchCode],BranchesTbl[BranchName])</f>
        <v>Machakos</v>
      </c>
      <c r="Q1311">
        <f>_xlfn.XLOOKUP(Loans[[#This Row],[CustomerID]],CustomerTbl[CustomerID],CustomerTbl[RiskScore])</f>
        <v>419</v>
      </c>
      <c r="R1311" t="str">
        <f>IFERROR(INDEX(RiskTbl[Risk_Category],MATCH(Loans[[#This Row],[RiskScore]],RiskTbl[Score_Min],1)),"Unknown")</f>
        <v>High Risk</v>
      </c>
      <c r="S1311" t="str">
        <f>IF(OR(Loans[[#This Row],[LoanStatus]]="Default",Loans[[#This Row],[LoanStatus]]="Watchlist",Loans[[#This Row],[CollateralRisk]]="Undersecured",Loans[[#This Row],[RiskCategory]]="High Risk"),"High Risk Exposure","Normal")</f>
        <v>High Risk Exposure</v>
      </c>
      <c r="T1311" t="str" cm="1">
        <f t="array" ref="T1311">_xlfn.IFS(
Loans[[#This Row],[LoanStatus]]="Default","Critical",
OR(Loans[[#This Row],[LoanStatus]]="Watchlist",Loans[[#This Row],[CollateralRisk]]="Undersecured",Loans[[#This Row],[RiskCategory]]="High Risk"),"High",
TRUE,"Normal"
)</f>
        <v>High</v>
      </c>
    </row>
    <row r="1312" spans="1:20" x14ac:dyDescent="0.35">
      <c r="A1312" t="s">
        <v>2088</v>
      </c>
      <c r="B1312" t="s">
        <v>483</v>
      </c>
      <c r="C1312" t="s">
        <v>170</v>
      </c>
      <c r="D1312" t="s">
        <v>156</v>
      </c>
      <c r="E1312" s="34">
        <v>6000000</v>
      </c>
      <c r="F1312" s="29">
        <v>0.2034</v>
      </c>
      <c r="G1312" s="30">
        <v>45409</v>
      </c>
      <c r="H1312">
        <v>36</v>
      </c>
      <c r="I1312">
        <v>120</v>
      </c>
      <c r="J1312" s="34">
        <v>6540000</v>
      </c>
      <c r="K1312" t="s">
        <v>178</v>
      </c>
      <c r="L1312" s="34">
        <f>PMT(Loans[[#This Row],[InterestRate]]/12,Loans[[#This Row],[LoanTenureMonths]],-Loans[[#This Row],[LoanAmount]])</f>
        <v>224022.29367086251</v>
      </c>
      <c r="M1312" s="30">
        <f>EDATE(Loans[[#This Row],[LoanStartDate]],Loans[[#This Row],[LoanTenureMonths]])</f>
        <v>46504</v>
      </c>
      <c r="N1312" s="33">
        <f>IF(Loans[[#This Row],[LoanAmount]]=0,0,Loans[[#This Row],[CollateralValue]]/Loans[[#This Row],[LoanAmount]])</f>
        <v>1.0900000000000001</v>
      </c>
      <c r="O1312" t="str">
        <f>IF(Loans[[#This Row],[CollateralCoverageRatio]]&lt;1,"Undersecured","Secured")</f>
        <v>Secured</v>
      </c>
      <c r="P1312" t="str">
        <f>_xlfn.XLOOKUP(Loans[[#This Row],[BranchCode]],BranchesTbl[BranchCode],BranchesTbl[BranchName])</f>
        <v>Thika</v>
      </c>
      <c r="Q1312">
        <f>_xlfn.XLOOKUP(Loans[[#This Row],[CustomerID]],CustomerTbl[CustomerID],CustomerTbl[RiskScore])</f>
        <v>787</v>
      </c>
      <c r="R1312" t="str">
        <f>IFERROR(INDEX(RiskTbl[Risk_Category],MATCH(Loans[[#This Row],[RiskScore]],RiskTbl[Score_Min],1)),"Unknown")</f>
        <v>Very Low Risk</v>
      </c>
      <c r="S1312" t="str">
        <f>IF(OR(Loans[[#This Row],[LoanStatus]]="Default",Loans[[#This Row],[LoanStatus]]="Watchlist",Loans[[#This Row],[CollateralRisk]]="Undersecured",Loans[[#This Row],[RiskCategory]]="High Risk"),"High Risk Exposure","Normal")</f>
        <v>High Risk Exposure</v>
      </c>
      <c r="T1312" t="str" cm="1">
        <f t="array" ref="T1312">_xlfn.IFS(
Loans[[#This Row],[LoanStatus]]="Default","Critical",
OR(Loans[[#This Row],[LoanStatus]]="Watchlist",Loans[[#This Row],[CollateralRisk]]="Undersecured",Loans[[#This Row],[RiskCategory]]="High Risk"),"High",
TRUE,"Normal"
)</f>
        <v>Critical</v>
      </c>
    </row>
    <row r="1313" spans="1:20" x14ac:dyDescent="0.35">
      <c r="A1313" t="s">
        <v>2089</v>
      </c>
      <c r="B1313" t="s">
        <v>1454</v>
      </c>
      <c r="C1313" t="s">
        <v>177</v>
      </c>
      <c r="D1313" t="s">
        <v>157</v>
      </c>
      <c r="E1313" s="34">
        <v>6000000</v>
      </c>
      <c r="F1313" s="29">
        <v>9.2600000000000002E-2</v>
      </c>
      <c r="G1313" s="30">
        <v>43969</v>
      </c>
      <c r="H1313">
        <v>24</v>
      </c>
      <c r="I1313">
        <v>45</v>
      </c>
      <c r="J1313" s="34">
        <v>5100000</v>
      </c>
      <c r="K1313" t="s">
        <v>199</v>
      </c>
      <c r="L1313" s="34">
        <f>PMT(Loans[[#This Row],[InterestRate]]/12,Loans[[#This Row],[LoanTenureMonths]],-Loans[[#This Row],[LoanAmount]])</f>
        <v>274824.7644790932</v>
      </c>
      <c r="M1313" s="30">
        <f>EDATE(Loans[[#This Row],[LoanStartDate]],Loans[[#This Row],[LoanTenureMonths]])</f>
        <v>44699</v>
      </c>
      <c r="N1313" s="33">
        <f>IF(Loans[[#This Row],[LoanAmount]]=0,0,Loans[[#This Row],[CollateralValue]]/Loans[[#This Row],[LoanAmount]])</f>
        <v>0.85</v>
      </c>
      <c r="O1313" t="str">
        <f>IF(Loans[[#This Row],[CollateralCoverageRatio]]&lt;1,"Undersecured","Secured")</f>
        <v>Undersecured</v>
      </c>
      <c r="P1313" t="str">
        <f>_xlfn.XLOOKUP(Loans[[#This Row],[BranchCode]],BranchesTbl[BranchCode],BranchesTbl[BranchName])</f>
        <v>Naivasha</v>
      </c>
      <c r="Q1313">
        <f>_xlfn.XLOOKUP(Loans[[#This Row],[CustomerID]],CustomerTbl[CustomerID],CustomerTbl[RiskScore])</f>
        <v>502</v>
      </c>
      <c r="R1313" t="str">
        <f>IFERROR(INDEX(RiskTbl[Risk_Category],MATCH(Loans[[#This Row],[RiskScore]],RiskTbl[Score_Min],1)),"Unknown")</f>
        <v>High Risk</v>
      </c>
      <c r="S1313" t="str">
        <f>IF(OR(Loans[[#This Row],[LoanStatus]]="Default",Loans[[#This Row],[LoanStatus]]="Watchlist",Loans[[#This Row],[CollateralRisk]]="Undersecured",Loans[[#This Row],[RiskCategory]]="High Risk"),"High Risk Exposure","Normal")</f>
        <v>High Risk Exposure</v>
      </c>
      <c r="T1313" t="str" cm="1">
        <f t="array" ref="T1313">_xlfn.IFS(
Loans[[#This Row],[LoanStatus]]="Default","Critical",
OR(Loans[[#This Row],[LoanStatus]]="Watchlist",Loans[[#This Row],[CollateralRisk]]="Undersecured",Loans[[#This Row],[RiskCategory]]="High Risk"),"High",
TRUE,"Normal"
)</f>
        <v>High</v>
      </c>
    </row>
    <row r="1314" spans="1:20" x14ac:dyDescent="0.35">
      <c r="A1314" t="s">
        <v>2090</v>
      </c>
      <c r="B1314" t="s">
        <v>2091</v>
      </c>
      <c r="C1314" t="s">
        <v>239</v>
      </c>
      <c r="D1314" t="s">
        <v>157</v>
      </c>
      <c r="E1314" s="34">
        <v>80000000</v>
      </c>
      <c r="F1314" s="29">
        <v>0.1129</v>
      </c>
      <c r="G1314" s="30">
        <v>44475</v>
      </c>
      <c r="H1314">
        <v>12</v>
      </c>
      <c r="I1314">
        <v>0</v>
      </c>
      <c r="J1314" s="34">
        <v>48800000</v>
      </c>
      <c r="K1314" t="s">
        <v>171</v>
      </c>
      <c r="L1314" s="34">
        <f>PMT(Loans[[#This Row],[InterestRate]]/12,Loans[[#This Row],[LoanTenureMonths]],-Loans[[#This Row],[LoanAmount]])</f>
        <v>7081358.9167601019</v>
      </c>
      <c r="M1314" s="30">
        <f>EDATE(Loans[[#This Row],[LoanStartDate]],Loans[[#This Row],[LoanTenureMonths]])</f>
        <v>44840</v>
      </c>
      <c r="N1314" s="33">
        <f>IF(Loans[[#This Row],[LoanAmount]]=0,0,Loans[[#This Row],[CollateralValue]]/Loans[[#This Row],[LoanAmount]])</f>
        <v>0.61</v>
      </c>
      <c r="O1314" t="str">
        <f>IF(Loans[[#This Row],[CollateralCoverageRatio]]&lt;1,"Undersecured","Secured")</f>
        <v>Undersecured</v>
      </c>
      <c r="P1314" t="str">
        <f>_xlfn.XLOOKUP(Loans[[#This Row],[BranchCode]],BranchesTbl[BranchCode],BranchesTbl[BranchName])</f>
        <v>Machakos</v>
      </c>
      <c r="Q1314">
        <f>_xlfn.XLOOKUP(Loans[[#This Row],[CustomerID]],CustomerTbl[CustomerID],CustomerTbl[RiskScore])</f>
        <v>554</v>
      </c>
      <c r="R1314" t="str">
        <f>IFERROR(INDEX(RiskTbl[Risk_Category],MATCH(Loans[[#This Row],[RiskScore]],RiskTbl[Score_Min],1)),"Unknown")</f>
        <v>High Risk</v>
      </c>
      <c r="S1314" t="str">
        <f>IF(OR(Loans[[#This Row],[LoanStatus]]="Default",Loans[[#This Row],[LoanStatus]]="Watchlist",Loans[[#This Row],[CollateralRisk]]="Undersecured",Loans[[#This Row],[RiskCategory]]="High Risk"),"High Risk Exposure","Normal")</f>
        <v>High Risk Exposure</v>
      </c>
      <c r="T1314" t="str" cm="1">
        <f t="array" ref="T1314">_xlfn.IFS(
Loans[[#This Row],[LoanStatus]]="Default","Critical",
OR(Loans[[#This Row],[LoanStatus]]="Watchlist",Loans[[#This Row],[CollateralRisk]]="Undersecured",Loans[[#This Row],[RiskCategory]]="High Risk"),"High",
TRUE,"Normal"
)</f>
        <v>High</v>
      </c>
    </row>
    <row r="1315" spans="1:20" x14ac:dyDescent="0.35">
      <c r="A1315" t="s">
        <v>2092</v>
      </c>
      <c r="B1315" t="s">
        <v>1594</v>
      </c>
      <c r="C1315" t="s">
        <v>184</v>
      </c>
      <c r="D1315" t="s">
        <v>156</v>
      </c>
      <c r="E1315" s="34">
        <v>1000000</v>
      </c>
      <c r="F1315" s="29">
        <v>0.14610000000000001</v>
      </c>
      <c r="G1315" s="30">
        <v>44912</v>
      </c>
      <c r="H1315">
        <v>48</v>
      </c>
      <c r="I1315">
        <v>120</v>
      </c>
      <c r="J1315" s="34">
        <v>1460000</v>
      </c>
      <c r="K1315" t="s">
        <v>178</v>
      </c>
      <c r="L1315" s="34">
        <f>PMT(Loans[[#This Row],[InterestRate]]/12,Loans[[#This Row],[LoanTenureMonths]],-Loans[[#This Row],[LoanAmount]])</f>
        <v>27633.454800353284</v>
      </c>
      <c r="M1315" s="30">
        <f>EDATE(Loans[[#This Row],[LoanStartDate]],Loans[[#This Row],[LoanTenureMonths]])</f>
        <v>46373</v>
      </c>
      <c r="N1315" s="33">
        <f>IF(Loans[[#This Row],[LoanAmount]]=0,0,Loans[[#This Row],[CollateralValue]]/Loans[[#This Row],[LoanAmount]])</f>
        <v>1.46</v>
      </c>
      <c r="O1315" t="str">
        <f>IF(Loans[[#This Row],[CollateralCoverageRatio]]&lt;1,"Undersecured","Secured")</f>
        <v>Secured</v>
      </c>
      <c r="P1315" t="str">
        <f>_xlfn.XLOOKUP(Loans[[#This Row],[BranchCode]],BranchesTbl[BranchCode],BranchesTbl[BranchName])</f>
        <v>Kisumu</v>
      </c>
      <c r="Q1315">
        <f>_xlfn.XLOOKUP(Loans[[#This Row],[CustomerID]],CustomerTbl[CustomerID],CustomerTbl[RiskScore])</f>
        <v>457</v>
      </c>
      <c r="R1315" t="str">
        <f>IFERROR(INDEX(RiskTbl[Risk_Category],MATCH(Loans[[#This Row],[RiskScore]],RiskTbl[Score_Min],1)),"Unknown")</f>
        <v>High Risk</v>
      </c>
      <c r="S1315" t="str">
        <f>IF(OR(Loans[[#This Row],[LoanStatus]]="Default",Loans[[#This Row],[LoanStatus]]="Watchlist",Loans[[#This Row],[CollateralRisk]]="Undersecured",Loans[[#This Row],[RiskCategory]]="High Risk"),"High Risk Exposure","Normal")</f>
        <v>High Risk Exposure</v>
      </c>
      <c r="T1315" t="str" cm="1">
        <f t="array" ref="T1315">_xlfn.IFS(
Loans[[#This Row],[LoanStatus]]="Default","Critical",
OR(Loans[[#This Row],[LoanStatus]]="Watchlist",Loans[[#This Row],[CollateralRisk]]="Undersecured",Loans[[#This Row],[RiskCategory]]="High Risk"),"High",
TRUE,"Normal"
)</f>
        <v>Critical</v>
      </c>
    </row>
    <row r="1316" spans="1:20" x14ac:dyDescent="0.35">
      <c r="A1316" t="s">
        <v>2093</v>
      </c>
      <c r="B1316" t="s">
        <v>1846</v>
      </c>
      <c r="C1316" t="s">
        <v>239</v>
      </c>
      <c r="D1316" t="s">
        <v>157</v>
      </c>
      <c r="E1316" s="34">
        <v>25000000</v>
      </c>
      <c r="F1316" s="29">
        <v>0.12230000000000001</v>
      </c>
      <c r="G1316" s="30">
        <v>44637</v>
      </c>
      <c r="H1316">
        <v>36</v>
      </c>
      <c r="I1316">
        <v>90</v>
      </c>
      <c r="J1316" s="34">
        <v>30000000</v>
      </c>
      <c r="K1316" t="s">
        <v>199</v>
      </c>
      <c r="L1316" s="34">
        <f>PMT(Loans[[#This Row],[InterestRate]]/12,Loans[[#This Row],[LoanTenureMonths]],-Loans[[#This Row],[LoanAmount]])</f>
        <v>833106.73573107761</v>
      </c>
      <c r="M1316" s="30">
        <f>EDATE(Loans[[#This Row],[LoanStartDate]],Loans[[#This Row],[LoanTenureMonths]])</f>
        <v>45733</v>
      </c>
      <c r="N1316" s="33">
        <f>IF(Loans[[#This Row],[LoanAmount]]=0,0,Loans[[#This Row],[CollateralValue]]/Loans[[#This Row],[LoanAmount]])</f>
        <v>1.2</v>
      </c>
      <c r="O1316" t="str">
        <f>IF(Loans[[#This Row],[CollateralCoverageRatio]]&lt;1,"Undersecured","Secured")</f>
        <v>Secured</v>
      </c>
      <c r="P1316" t="str">
        <f>_xlfn.XLOOKUP(Loans[[#This Row],[BranchCode]],BranchesTbl[BranchCode],BranchesTbl[BranchName])</f>
        <v>Machakos</v>
      </c>
      <c r="Q1316">
        <f>_xlfn.XLOOKUP(Loans[[#This Row],[CustomerID]],CustomerTbl[CustomerID],CustomerTbl[RiskScore])</f>
        <v>354</v>
      </c>
      <c r="R1316" t="str">
        <f>IFERROR(INDEX(RiskTbl[Risk_Category],MATCH(Loans[[#This Row],[RiskScore]],RiskTbl[Score_Min],1)),"Unknown")</f>
        <v>High Risk</v>
      </c>
      <c r="S1316" t="str">
        <f>IF(OR(Loans[[#This Row],[LoanStatus]]="Default",Loans[[#This Row],[LoanStatus]]="Watchlist",Loans[[#This Row],[CollateralRisk]]="Undersecured",Loans[[#This Row],[RiskCategory]]="High Risk"),"High Risk Exposure","Normal")</f>
        <v>High Risk Exposure</v>
      </c>
      <c r="T1316" t="str" cm="1">
        <f t="array" ref="T1316">_xlfn.IFS(
Loans[[#This Row],[LoanStatus]]="Default","Critical",
OR(Loans[[#This Row],[LoanStatus]]="Watchlist",Loans[[#This Row],[CollateralRisk]]="Undersecured",Loans[[#This Row],[RiskCategory]]="High Risk"),"High",
TRUE,"Normal"
)</f>
        <v>High</v>
      </c>
    </row>
    <row r="1317" spans="1:20" x14ac:dyDescent="0.35">
      <c r="A1317" t="s">
        <v>2094</v>
      </c>
      <c r="B1317" t="s">
        <v>1608</v>
      </c>
      <c r="C1317" t="s">
        <v>170</v>
      </c>
      <c r="D1317" t="s">
        <v>156</v>
      </c>
      <c r="E1317" s="34">
        <v>3000000</v>
      </c>
      <c r="F1317" s="29">
        <v>0.19170000000000001</v>
      </c>
      <c r="G1317" s="30">
        <v>44170</v>
      </c>
      <c r="H1317">
        <v>72</v>
      </c>
      <c r="I1317">
        <v>20</v>
      </c>
      <c r="J1317" s="34">
        <v>3870000</v>
      </c>
      <c r="K1317" t="s">
        <v>171</v>
      </c>
      <c r="L1317" s="34">
        <f>PMT(Loans[[#This Row],[InterestRate]]/12,Loans[[#This Row],[LoanTenureMonths]],-Loans[[#This Row],[LoanAmount]])</f>
        <v>70422.472182474565</v>
      </c>
      <c r="M1317" s="30">
        <f>EDATE(Loans[[#This Row],[LoanStartDate]],Loans[[#This Row],[LoanTenureMonths]])</f>
        <v>46361</v>
      </c>
      <c r="N1317" s="33">
        <f>IF(Loans[[#This Row],[LoanAmount]]=0,0,Loans[[#This Row],[CollateralValue]]/Loans[[#This Row],[LoanAmount]])</f>
        <v>1.29</v>
      </c>
      <c r="O1317" t="str">
        <f>IF(Loans[[#This Row],[CollateralCoverageRatio]]&lt;1,"Undersecured","Secured")</f>
        <v>Secured</v>
      </c>
      <c r="P1317" t="str">
        <f>_xlfn.XLOOKUP(Loans[[#This Row],[BranchCode]],BranchesTbl[BranchCode],BranchesTbl[BranchName])</f>
        <v>Thika</v>
      </c>
      <c r="Q1317">
        <f>_xlfn.XLOOKUP(Loans[[#This Row],[CustomerID]],CustomerTbl[CustomerID],CustomerTbl[RiskScore])</f>
        <v>415</v>
      </c>
      <c r="R1317" t="str">
        <f>IFERROR(INDEX(RiskTbl[Risk_Category],MATCH(Loans[[#This Row],[RiskScore]],RiskTbl[Score_Min],1)),"Unknown")</f>
        <v>High Risk</v>
      </c>
      <c r="S1317" t="str">
        <f>IF(OR(Loans[[#This Row],[LoanStatus]]="Default",Loans[[#This Row],[LoanStatus]]="Watchlist",Loans[[#This Row],[CollateralRisk]]="Undersecured",Loans[[#This Row],[RiskCategory]]="High Risk"),"High Risk Exposure","Normal")</f>
        <v>High Risk Exposure</v>
      </c>
      <c r="T1317" t="str" cm="1">
        <f t="array" ref="T1317">_xlfn.IFS(
Loans[[#This Row],[LoanStatus]]="Default","Critical",
OR(Loans[[#This Row],[LoanStatus]]="Watchlist",Loans[[#This Row],[CollateralRisk]]="Undersecured",Loans[[#This Row],[RiskCategory]]="High Risk"),"High",
TRUE,"Normal"
)</f>
        <v>High</v>
      </c>
    </row>
    <row r="1318" spans="1:20" x14ac:dyDescent="0.35">
      <c r="A1318" t="s">
        <v>2095</v>
      </c>
      <c r="B1318" t="s">
        <v>481</v>
      </c>
      <c r="C1318" t="s">
        <v>187</v>
      </c>
      <c r="D1318" t="s">
        <v>157</v>
      </c>
      <c r="E1318" s="34">
        <v>6000000</v>
      </c>
      <c r="F1318" s="29">
        <v>0.1085</v>
      </c>
      <c r="G1318" s="30">
        <v>45408</v>
      </c>
      <c r="H1318">
        <v>12</v>
      </c>
      <c r="I1318">
        <v>90</v>
      </c>
      <c r="J1318" s="34">
        <v>7200000</v>
      </c>
      <c r="K1318" t="s">
        <v>199</v>
      </c>
      <c r="L1318" s="34">
        <f>PMT(Loans[[#This Row],[InterestRate]]/12,Loans[[#This Row],[LoanTenureMonths]],-Loans[[#This Row],[LoanAmount]])</f>
        <v>529870.23691144946</v>
      </c>
      <c r="M1318" s="30">
        <f>EDATE(Loans[[#This Row],[LoanStartDate]],Loans[[#This Row],[LoanTenureMonths]])</f>
        <v>45773</v>
      </c>
      <c r="N1318" s="33">
        <f>IF(Loans[[#This Row],[LoanAmount]]=0,0,Loans[[#This Row],[CollateralValue]]/Loans[[#This Row],[LoanAmount]])</f>
        <v>1.2</v>
      </c>
      <c r="O1318" t="str">
        <f>IF(Loans[[#This Row],[CollateralCoverageRatio]]&lt;1,"Undersecured","Secured")</f>
        <v>Secured</v>
      </c>
      <c r="P1318" t="str">
        <f>_xlfn.XLOOKUP(Loans[[#This Row],[BranchCode]],BranchesTbl[BranchCode],BranchesTbl[BranchName])</f>
        <v>Eldoret</v>
      </c>
      <c r="Q1318">
        <f>_xlfn.XLOOKUP(Loans[[#This Row],[CustomerID]],CustomerTbl[CustomerID],CustomerTbl[RiskScore])</f>
        <v>383</v>
      </c>
      <c r="R1318" t="str">
        <f>IFERROR(INDEX(RiskTbl[Risk_Category],MATCH(Loans[[#This Row],[RiskScore]],RiskTbl[Score_Min],1)),"Unknown")</f>
        <v>High Risk</v>
      </c>
      <c r="S1318" t="str">
        <f>IF(OR(Loans[[#This Row],[LoanStatus]]="Default",Loans[[#This Row],[LoanStatus]]="Watchlist",Loans[[#This Row],[CollateralRisk]]="Undersecured",Loans[[#This Row],[RiskCategory]]="High Risk"),"High Risk Exposure","Normal")</f>
        <v>High Risk Exposure</v>
      </c>
      <c r="T1318" t="str" cm="1">
        <f t="array" ref="T1318">_xlfn.IFS(
Loans[[#This Row],[LoanStatus]]="Default","Critical",
OR(Loans[[#This Row],[LoanStatus]]="Watchlist",Loans[[#This Row],[CollateralRisk]]="Undersecured",Loans[[#This Row],[RiskCategory]]="High Risk"),"High",
TRUE,"Normal"
)</f>
        <v>High</v>
      </c>
    </row>
    <row r="1319" spans="1:20" x14ac:dyDescent="0.35">
      <c r="A1319" t="s">
        <v>2096</v>
      </c>
      <c r="B1319" t="s">
        <v>751</v>
      </c>
      <c r="C1319" t="s">
        <v>190</v>
      </c>
      <c r="D1319" t="s">
        <v>158</v>
      </c>
      <c r="E1319" s="34">
        <v>500000</v>
      </c>
      <c r="F1319" s="29">
        <v>0.1343</v>
      </c>
      <c r="G1319" s="30">
        <v>44707</v>
      </c>
      <c r="H1319">
        <v>12</v>
      </c>
      <c r="I1319">
        <v>0</v>
      </c>
      <c r="J1319" s="34">
        <v>705000</v>
      </c>
      <c r="K1319" t="s">
        <v>171</v>
      </c>
      <c r="L1319" s="34">
        <f>PMT(Loans[[#This Row],[InterestRate]]/12,Loans[[#This Row],[LoanTenureMonths]],-Loans[[#This Row],[LoanAmount]])</f>
        <v>44759.570903979242</v>
      </c>
      <c r="M1319" s="30">
        <f>EDATE(Loans[[#This Row],[LoanStartDate]],Loans[[#This Row],[LoanTenureMonths]])</f>
        <v>45072</v>
      </c>
      <c r="N1319" s="33">
        <f>IF(Loans[[#This Row],[LoanAmount]]=0,0,Loans[[#This Row],[CollateralValue]]/Loans[[#This Row],[LoanAmount]])</f>
        <v>1.41</v>
      </c>
      <c r="O1319" t="str">
        <f>IF(Loans[[#This Row],[CollateralCoverageRatio]]&lt;1,"Undersecured","Secured")</f>
        <v>Secured</v>
      </c>
      <c r="P1319" t="str">
        <f>_xlfn.XLOOKUP(Loans[[#This Row],[BranchCode]],BranchesTbl[BranchCode],BranchesTbl[BranchName])</f>
        <v>Nyeri</v>
      </c>
      <c r="Q1319">
        <f>_xlfn.XLOOKUP(Loans[[#This Row],[CustomerID]],CustomerTbl[CustomerID],CustomerTbl[RiskScore])</f>
        <v>595</v>
      </c>
      <c r="R1319" t="str">
        <f>IFERROR(INDEX(RiskTbl[Risk_Category],MATCH(Loans[[#This Row],[RiskScore]],RiskTbl[Score_Min],1)),"Unknown")</f>
        <v>Medium Risk</v>
      </c>
      <c r="S1319" t="str">
        <f>IF(OR(Loans[[#This Row],[LoanStatus]]="Default",Loans[[#This Row],[LoanStatus]]="Watchlist",Loans[[#This Row],[CollateralRisk]]="Undersecured",Loans[[#This Row],[RiskCategory]]="High Risk"),"High Risk Exposure","Normal")</f>
        <v>Normal</v>
      </c>
      <c r="T1319" t="str" cm="1">
        <f t="array" ref="T1319">_xlfn.IFS(
Loans[[#This Row],[LoanStatus]]="Default","Critical",
OR(Loans[[#This Row],[LoanStatus]]="Watchlist",Loans[[#This Row],[CollateralRisk]]="Undersecured",Loans[[#This Row],[RiskCategory]]="High Risk"),"High",
TRUE,"Normal"
)</f>
        <v>Normal</v>
      </c>
    </row>
    <row r="1320" spans="1:20" x14ac:dyDescent="0.35">
      <c r="A1320" t="s">
        <v>2097</v>
      </c>
      <c r="B1320" t="s">
        <v>238</v>
      </c>
      <c r="C1320" t="s">
        <v>170</v>
      </c>
      <c r="D1320" t="s">
        <v>156</v>
      </c>
      <c r="E1320" s="34">
        <v>1000000</v>
      </c>
      <c r="F1320" s="29">
        <v>0.21310000000000001</v>
      </c>
      <c r="G1320" s="30">
        <v>43915</v>
      </c>
      <c r="H1320">
        <v>24</v>
      </c>
      <c r="I1320">
        <v>5</v>
      </c>
      <c r="J1320" s="34">
        <v>1210000</v>
      </c>
      <c r="K1320" t="s">
        <v>171</v>
      </c>
      <c r="L1320" s="34">
        <f>PMT(Loans[[#This Row],[InterestRate]]/12,Loans[[#This Row],[LoanTenureMonths]],-Loans[[#This Row],[LoanAmount]])</f>
        <v>51538.043465637325</v>
      </c>
      <c r="M1320" s="30">
        <f>EDATE(Loans[[#This Row],[LoanStartDate]],Loans[[#This Row],[LoanTenureMonths]])</f>
        <v>44645</v>
      </c>
      <c r="N1320" s="33">
        <f>IF(Loans[[#This Row],[LoanAmount]]=0,0,Loans[[#This Row],[CollateralValue]]/Loans[[#This Row],[LoanAmount]])</f>
        <v>1.21</v>
      </c>
      <c r="O1320" t="str">
        <f>IF(Loans[[#This Row],[CollateralCoverageRatio]]&lt;1,"Undersecured","Secured")</f>
        <v>Secured</v>
      </c>
      <c r="P1320" t="str">
        <f>_xlfn.XLOOKUP(Loans[[#This Row],[BranchCode]],BranchesTbl[BranchCode],BranchesTbl[BranchName])</f>
        <v>Thika</v>
      </c>
      <c r="Q1320">
        <f>_xlfn.XLOOKUP(Loans[[#This Row],[CustomerID]],CustomerTbl[CustomerID],CustomerTbl[RiskScore])</f>
        <v>748</v>
      </c>
      <c r="R1320" t="str">
        <f>IFERROR(INDEX(RiskTbl[Risk_Category],MATCH(Loans[[#This Row],[RiskScore]],RiskTbl[Score_Min],1)),"Unknown")</f>
        <v>Very Low Risk</v>
      </c>
      <c r="S1320" t="str">
        <f>IF(OR(Loans[[#This Row],[LoanStatus]]="Default",Loans[[#This Row],[LoanStatus]]="Watchlist",Loans[[#This Row],[CollateralRisk]]="Undersecured",Loans[[#This Row],[RiskCategory]]="High Risk"),"High Risk Exposure","Normal")</f>
        <v>Normal</v>
      </c>
      <c r="T1320" t="str" cm="1">
        <f t="array" ref="T1320">_xlfn.IFS(
Loans[[#This Row],[LoanStatus]]="Default","Critical",
OR(Loans[[#This Row],[LoanStatus]]="Watchlist",Loans[[#This Row],[CollateralRisk]]="Undersecured",Loans[[#This Row],[RiskCategory]]="High Risk"),"High",
TRUE,"Normal"
)</f>
        <v>Normal</v>
      </c>
    </row>
    <row r="1321" spans="1:20" x14ac:dyDescent="0.35">
      <c r="A1321" t="s">
        <v>2098</v>
      </c>
      <c r="B1321" t="s">
        <v>2099</v>
      </c>
      <c r="C1321" t="s">
        <v>219</v>
      </c>
      <c r="D1321" t="s">
        <v>157</v>
      </c>
      <c r="E1321" s="34">
        <v>6000000</v>
      </c>
      <c r="F1321" s="29">
        <v>0.13089999999999999</v>
      </c>
      <c r="G1321" s="30">
        <v>45714</v>
      </c>
      <c r="H1321">
        <v>36</v>
      </c>
      <c r="I1321">
        <v>10</v>
      </c>
      <c r="J1321" s="34">
        <v>8700000</v>
      </c>
      <c r="K1321" t="s">
        <v>171</v>
      </c>
      <c r="L1321" s="34">
        <f>PMT(Loans[[#This Row],[InterestRate]]/12,Loans[[#This Row],[LoanTenureMonths]],-Loans[[#This Row],[LoanAmount]])</f>
        <v>202423.90774287825</v>
      </c>
      <c r="M1321" s="30">
        <f>EDATE(Loans[[#This Row],[LoanStartDate]],Loans[[#This Row],[LoanTenureMonths]])</f>
        <v>46809</v>
      </c>
      <c r="N1321" s="33">
        <f>IF(Loans[[#This Row],[LoanAmount]]=0,0,Loans[[#This Row],[CollateralValue]]/Loans[[#This Row],[LoanAmount]])</f>
        <v>1.45</v>
      </c>
      <c r="O1321" t="str">
        <f>IF(Loans[[#This Row],[CollateralCoverageRatio]]&lt;1,"Undersecured","Secured")</f>
        <v>Secured</v>
      </c>
      <c r="P1321" t="str">
        <f>_xlfn.XLOOKUP(Loans[[#This Row],[BranchCode]],BranchesTbl[BranchCode],BranchesTbl[BranchName])</f>
        <v>Meru</v>
      </c>
      <c r="Q1321">
        <f>_xlfn.XLOOKUP(Loans[[#This Row],[CustomerID]],CustomerTbl[CustomerID],CustomerTbl[RiskScore])</f>
        <v>711</v>
      </c>
      <c r="R1321" t="str">
        <f>IFERROR(INDEX(RiskTbl[Risk_Category],MATCH(Loans[[#This Row],[RiskScore]],RiskTbl[Score_Min],1)),"Unknown")</f>
        <v>Low Risk</v>
      </c>
      <c r="S1321" t="str">
        <f>IF(OR(Loans[[#This Row],[LoanStatus]]="Default",Loans[[#This Row],[LoanStatus]]="Watchlist",Loans[[#This Row],[CollateralRisk]]="Undersecured",Loans[[#This Row],[RiskCategory]]="High Risk"),"High Risk Exposure","Normal")</f>
        <v>Normal</v>
      </c>
      <c r="T1321" t="str" cm="1">
        <f t="array" ref="T1321">_xlfn.IFS(
Loans[[#This Row],[LoanStatus]]="Default","Critical",
OR(Loans[[#This Row],[LoanStatus]]="Watchlist",Loans[[#This Row],[CollateralRisk]]="Undersecured",Loans[[#This Row],[RiskCategory]]="High Risk"),"High",
TRUE,"Normal"
)</f>
        <v>Normal</v>
      </c>
    </row>
    <row r="1322" spans="1:20" x14ac:dyDescent="0.35">
      <c r="A1322" t="s">
        <v>2100</v>
      </c>
      <c r="B1322" t="s">
        <v>1349</v>
      </c>
      <c r="C1322" t="s">
        <v>206</v>
      </c>
      <c r="D1322" t="s">
        <v>158</v>
      </c>
      <c r="E1322" s="34">
        <v>500000</v>
      </c>
      <c r="F1322" s="29">
        <v>0.14710000000000001</v>
      </c>
      <c r="G1322" s="30">
        <v>45059</v>
      </c>
      <c r="H1322">
        <v>60</v>
      </c>
      <c r="I1322">
        <v>90</v>
      </c>
      <c r="J1322" s="34">
        <v>430000</v>
      </c>
      <c r="K1322" t="s">
        <v>199</v>
      </c>
      <c r="L1322" s="34">
        <f>PMT(Loans[[#This Row],[InterestRate]]/12,Loans[[#This Row],[LoanTenureMonths]],-Loans[[#This Row],[LoanAmount]])</f>
        <v>11818.988442043999</v>
      </c>
      <c r="M1322" s="30">
        <f>EDATE(Loans[[#This Row],[LoanStartDate]],Loans[[#This Row],[LoanTenureMonths]])</f>
        <v>46886</v>
      </c>
      <c r="N1322" s="33">
        <f>IF(Loans[[#This Row],[LoanAmount]]=0,0,Loans[[#This Row],[CollateralValue]]/Loans[[#This Row],[LoanAmount]])</f>
        <v>0.86</v>
      </c>
      <c r="O1322" t="str">
        <f>IF(Loans[[#This Row],[CollateralCoverageRatio]]&lt;1,"Undersecured","Secured")</f>
        <v>Undersecured</v>
      </c>
      <c r="P1322" t="str">
        <f>_xlfn.XLOOKUP(Loans[[#This Row],[BranchCode]],BranchesTbl[BranchCode],BranchesTbl[BranchName])</f>
        <v>Nyahururu</v>
      </c>
      <c r="Q1322">
        <f>_xlfn.XLOOKUP(Loans[[#This Row],[CustomerID]],CustomerTbl[CustomerID],CustomerTbl[RiskScore])</f>
        <v>334</v>
      </c>
      <c r="R1322" t="str">
        <f>IFERROR(INDEX(RiskTbl[Risk_Category],MATCH(Loans[[#This Row],[RiskScore]],RiskTbl[Score_Min],1)),"Unknown")</f>
        <v>High Risk</v>
      </c>
      <c r="S1322" t="str">
        <f>IF(OR(Loans[[#This Row],[LoanStatus]]="Default",Loans[[#This Row],[LoanStatus]]="Watchlist",Loans[[#This Row],[CollateralRisk]]="Undersecured",Loans[[#This Row],[RiskCategory]]="High Risk"),"High Risk Exposure","Normal")</f>
        <v>High Risk Exposure</v>
      </c>
      <c r="T1322" t="str" cm="1">
        <f t="array" ref="T1322">_xlfn.IFS(
Loans[[#This Row],[LoanStatus]]="Default","Critical",
OR(Loans[[#This Row],[LoanStatus]]="Watchlist",Loans[[#This Row],[CollateralRisk]]="Undersecured",Loans[[#This Row],[RiskCategory]]="High Risk"),"High",
TRUE,"Normal"
)</f>
        <v>High</v>
      </c>
    </row>
    <row r="1323" spans="1:20" x14ac:dyDescent="0.35">
      <c r="A1323" t="s">
        <v>2101</v>
      </c>
      <c r="B1323" t="s">
        <v>300</v>
      </c>
      <c r="C1323" t="s">
        <v>206</v>
      </c>
      <c r="D1323" t="s">
        <v>156</v>
      </c>
      <c r="E1323" s="34">
        <v>25000000</v>
      </c>
      <c r="F1323" s="29">
        <v>0.22770000000000001</v>
      </c>
      <c r="G1323" s="30">
        <v>43912</v>
      </c>
      <c r="H1323">
        <v>24</v>
      </c>
      <c r="I1323">
        <v>45</v>
      </c>
      <c r="J1323" s="34">
        <v>29750000</v>
      </c>
      <c r="K1323" t="s">
        <v>199</v>
      </c>
      <c r="L1323" s="34">
        <f>PMT(Loans[[#This Row],[InterestRate]]/12,Loans[[#This Row],[LoanTenureMonths]],-Loans[[#This Row],[LoanAmount]])</f>
        <v>1306479.6791548398</v>
      </c>
      <c r="M1323" s="30">
        <f>EDATE(Loans[[#This Row],[LoanStartDate]],Loans[[#This Row],[LoanTenureMonths]])</f>
        <v>44642</v>
      </c>
      <c r="N1323" s="33">
        <f>IF(Loans[[#This Row],[LoanAmount]]=0,0,Loans[[#This Row],[CollateralValue]]/Loans[[#This Row],[LoanAmount]])</f>
        <v>1.19</v>
      </c>
      <c r="O1323" t="str">
        <f>IF(Loans[[#This Row],[CollateralCoverageRatio]]&lt;1,"Undersecured","Secured")</f>
        <v>Secured</v>
      </c>
      <c r="P1323" t="str">
        <f>_xlfn.XLOOKUP(Loans[[#This Row],[BranchCode]],BranchesTbl[BranchCode],BranchesTbl[BranchName])</f>
        <v>Nyahururu</v>
      </c>
      <c r="Q1323">
        <f>_xlfn.XLOOKUP(Loans[[#This Row],[CustomerID]],CustomerTbl[CustomerID],CustomerTbl[RiskScore])</f>
        <v>674</v>
      </c>
      <c r="R1323" t="str">
        <f>IFERROR(INDEX(RiskTbl[Risk_Category],MATCH(Loans[[#This Row],[RiskScore]],RiskTbl[Score_Min],1)),"Unknown")</f>
        <v>Low Risk</v>
      </c>
      <c r="S1323" t="str">
        <f>IF(OR(Loans[[#This Row],[LoanStatus]]="Default",Loans[[#This Row],[LoanStatus]]="Watchlist",Loans[[#This Row],[CollateralRisk]]="Undersecured",Loans[[#This Row],[RiskCategory]]="High Risk"),"High Risk Exposure","Normal")</f>
        <v>High Risk Exposure</v>
      </c>
      <c r="T1323" t="str" cm="1">
        <f t="array" ref="T1323">_xlfn.IFS(
Loans[[#This Row],[LoanStatus]]="Default","Critical",
OR(Loans[[#This Row],[LoanStatus]]="Watchlist",Loans[[#This Row],[CollateralRisk]]="Undersecured",Loans[[#This Row],[RiskCategory]]="High Risk"),"High",
TRUE,"Normal"
)</f>
        <v>High</v>
      </c>
    </row>
    <row r="1324" spans="1:20" x14ac:dyDescent="0.35">
      <c r="A1324" t="s">
        <v>2102</v>
      </c>
      <c r="B1324" t="s">
        <v>1494</v>
      </c>
      <c r="C1324" t="s">
        <v>239</v>
      </c>
      <c r="D1324" t="s">
        <v>156</v>
      </c>
      <c r="E1324" s="34">
        <v>1000000</v>
      </c>
      <c r="F1324" s="29">
        <v>0.2099</v>
      </c>
      <c r="G1324" s="30">
        <v>44911</v>
      </c>
      <c r="H1324">
        <v>12</v>
      </c>
      <c r="I1324">
        <v>0</v>
      </c>
      <c r="J1324" s="34">
        <v>1210000</v>
      </c>
      <c r="K1324" t="s">
        <v>171</v>
      </c>
      <c r="L1324" s="34">
        <f>PMT(Loans[[#This Row],[InterestRate]]/12,Loans[[#This Row],[LoanTenureMonths]],-Loans[[#This Row],[LoanAmount]])</f>
        <v>93108.97445709788</v>
      </c>
      <c r="M1324" s="30">
        <f>EDATE(Loans[[#This Row],[LoanStartDate]],Loans[[#This Row],[LoanTenureMonths]])</f>
        <v>45276</v>
      </c>
      <c r="N1324" s="33">
        <f>IF(Loans[[#This Row],[LoanAmount]]=0,0,Loans[[#This Row],[CollateralValue]]/Loans[[#This Row],[LoanAmount]])</f>
        <v>1.21</v>
      </c>
      <c r="O1324" t="str">
        <f>IF(Loans[[#This Row],[CollateralCoverageRatio]]&lt;1,"Undersecured","Secured")</f>
        <v>Secured</v>
      </c>
      <c r="P1324" t="str">
        <f>_xlfn.XLOOKUP(Loans[[#This Row],[BranchCode]],BranchesTbl[BranchCode],BranchesTbl[BranchName])</f>
        <v>Machakos</v>
      </c>
      <c r="Q1324">
        <f>_xlfn.XLOOKUP(Loans[[#This Row],[CustomerID]],CustomerTbl[CustomerID],CustomerTbl[RiskScore])</f>
        <v>333</v>
      </c>
      <c r="R1324" t="str">
        <f>IFERROR(INDEX(RiskTbl[Risk_Category],MATCH(Loans[[#This Row],[RiskScore]],RiskTbl[Score_Min],1)),"Unknown")</f>
        <v>High Risk</v>
      </c>
      <c r="S1324" t="str">
        <f>IF(OR(Loans[[#This Row],[LoanStatus]]="Default",Loans[[#This Row],[LoanStatus]]="Watchlist",Loans[[#This Row],[CollateralRisk]]="Undersecured",Loans[[#This Row],[RiskCategory]]="High Risk"),"High Risk Exposure","Normal")</f>
        <v>High Risk Exposure</v>
      </c>
      <c r="T1324" t="str" cm="1">
        <f t="array" ref="T1324">_xlfn.IFS(
Loans[[#This Row],[LoanStatus]]="Default","Critical",
OR(Loans[[#This Row],[LoanStatus]]="Watchlist",Loans[[#This Row],[CollateralRisk]]="Undersecured",Loans[[#This Row],[RiskCategory]]="High Risk"),"High",
TRUE,"Normal"
)</f>
        <v>High</v>
      </c>
    </row>
    <row r="1325" spans="1:20" x14ac:dyDescent="0.35">
      <c r="A1325" t="s">
        <v>2103</v>
      </c>
      <c r="B1325" t="s">
        <v>517</v>
      </c>
      <c r="C1325" t="s">
        <v>206</v>
      </c>
      <c r="D1325" t="s">
        <v>157</v>
      </c>
      <c r="E1325" s="34">
        <v>25000000</v>
      </c>
      <c r="F1325" s="29">
        <v>0.1173</v>
      </c>
      <c r="G1325" s="30">
        <v>44808</v>
      </c>
      <c r="H1325">
        <v>48</v>
      </c>
      <c r="I1325">
        <v>0</v>
      </c>
      <c r="J1325" s="34">
        <v>36500000</v>
      </c>
      <c r="K1325" t="s">
        <v>171</v>
      </c>
      <c r="L1325" s="34">
        <f>PMT(Loans[[#This Row],[InterestRate]]/12,Loans[[#This Row],[LoanTenureMonths]],-Loans[[#This Row],[LoanAmount]])</f>
        <v>655036.57120554778</v>
      </c>
      <c r="M1325" s="30">
        <f>EDATE(Loans[[#This Row],[LoanStartDate]],Loans[[#This Row],[LoanTenureMonths]])</f>
        <v>46269</v>
      </c>
      <c r="N1325" s="33">
        <f>IF(Loans[[#This Row],[LoanAmount]]=0,0,Loans[[#This Row],[CollateralValue]]/Loans[[#This Row],[LoanAmount]])</f>
        <v>1.46</v>
      </c>
      <c r="O1325" t="str">
        <f>IF(Loans[[#This Row],[CollateralCoverageRatio]]&lt;1,"Undersecured","Secured")</f>
        <v>Secured</v>
      </c>
      <c r="P1325" t="str">
        <f>_xlfn.XLOOKUP(Loans[[#This Row],[BranchCode]],BranchesTbl[BranchCode],BranchesTbl[BranchName])</f>
        <v>Nyahururu</v>
      </c>
      <c r="Q1325">
        <f>_xlfn.XLOOKUP(Loans[[#This Row],[CustomerID]],CustomerTbl[CustomerID],CustomerTbl[RiskScore])</f>
        <v>474</v>
      </c>
      <c r="R1325" t="str">
        <f>IFERROR(INDEX(RiskTbl[Risk_Category],MATCH(Loans[[#This Row],[RiskScore]],RiskTbl[Score_Min],1)),"Unknown")</f>
        <v>High Risk</v>
      </c>
      <c r="S1325" t="str">
        <f>IF(OR(Loans[[#This Row],[LoanStatus]]="Default",Loans[[#This Row],[LoanStatus]]="Watchlist",Loans[[#This Row],[CollateralRisk]]="Undersecured",Loans[[#This Row],[RiskCategory]]="High Risk"),"High Risk Exposure","Normal")</f>
        <v>High Risk Exposure</v>
      </c>
      <c r="T1325" t="str" cm="1">
        <f t="array" ref="T1325">_xlfn.IFS(
Loans[[#This Row],[LoanStatus]]="Default","Critical",
OR(Loans[[#This Row],[LoanStatus]]="Watchlist",Loans[[#This Row],[CollateralRisk]]="Undersecured",Loans[[#This Row],[RiskCategory]]="High Risk"),"High",
TRUE,"Normal"
)</f>
        <v>High</v>
      </c>
    </row>
    <row r="1326" spans="1:20" x14ac:dyDescent="0.35">
      <c r="A1326" t="s">
        <v>2104</v>
      </c>
      <c r="B1326" t="s">
        <v>1565</v>
      </c>
      <c r="C1326" t="s">
        <v>170</v>
      </c>
      <c r="D1326" t="s">
        <v>155</v>
      </c>
      <c r="E1326" s="34">
        <v>250000</v>
      </c>
      <c r="F1326" s="29">
        <v>0.26929999999999998</v>
      </c>
      <c r="G1326" s="30">
        <v>45843</v>
      </c>
      <c r="H1326">
        <v>48</v>
      </c>
      <c r="I1326">
        <v>10</v>
      </c>
      <c r="J1326" s="34">
        <v>0</v>
      </c>
      <c r="K1326" t="s">
        <v>171</v>
      </c>
      <c r="L1326" s="34">
        <f>PMT(Loans[[#This Row],[InterestRate]]/12,Loans[[#This Row],[LoanTenureMonths]],-Loans[[#This Row],[LoanAmount]])</f>
        <v>8560.6549253668854</v>
      </c>
      <c r="M1326" s="30">
        <f>EDATE(Loans[[#This Row],[LoanStartDate]],Loans[[#This Row],[LoanTenureMonths]])</f>
        <v>47304</v>
      </c>
      <c r="N1326" s="33">
        <f>IF(Loans[[#This Row],[LoanAmount]]=0,0,Loans[[#This Row],[CollateralValue]]/Loans[[#This Row],[LoanAmount]])</f>
        <v>0</v>
      </c>
      <c r="O1326" t="str">
        <f>IF(Loans[[#This Row],[CollateralCoverageRatio]]&lt;1,"Undersecured","Secured")</f>
        <v>Undersecured</v>
      </c>
      <c r="P1326" t="str">
        <f>_xlfn.XLOOKUP(Loans[[#This Row],[BranchCode]],BranchesTbl[BranchCode],BranchesTbl[BranchName])</f>
        <v>Thika</v>
      </c>
      <c r="Q1326">
        <f>_xlfn.XLOOKUP(Loans[[#This Row],[CustomerID]],CustomerTbl[CustomerID],CustomerTbl[RiskScore])</f>
        <v>478</v>
      </c>
      <c r="R1326" t="str">
        <f>IFERROR(INDEX(RiskTbl[Risk_Category],MATCH(Loans[[#This Row],[RiskScore]],RiskTbl[Score_Min],1)),"Unknown")</f>
        <v>High Risk</v>
      </c>
      <c r="S1326" t="str">
        <f>IF(OR(Loans[[#This Row],[LoanStatus]]="Default",Loans[[#This Row],[LoanStatus]]="Watchlist",Loans[[#This Row],[CollateralRisk]]="Undersecured",Loans[[#This Row],[RiskCategory]]="High Risk"),"High Risk Exposure","Normal")</f>
        <v>High Risk Exposure</v>
      </c>
      <c r="T1326" t="str" cm="1">
        <f t="array" ref="T1326">_xlfn.IFS(
Loans[[#This Row],[LoanStatus]]="Default","Critical",
OR(Loans[[#This Row],[LoanStatus]]="Watchlist",Loans[[#This Row],[CollateralRisk]]="Undersecured",Loans[[#This Row],[RiskCategory]]="High Risk"),"High",
TRUE,"Normal"
)</f>
        <v>High</v>
      </c>
    </row>
    <row r="1327" spans="1:20" x14ac:dyDescent="0.35">
      <c r="A1327" t="s">
        <v>2105</v>
      </c>
      <c r="B1327" t="s">
        <v>1754</v>
      </c>
      <c r="C1327" t="s">
        <v>184</v>
      </c>
      <c r="D1327" t="s">
        <v>155</v>
      </c>
      <c r="E1327" s="34">
        <v>100000</v>
      </c>
      <c r="F1327" s="29">
        <v>0.19470000000000001</v>
      </c>
      <c r="G1327" s="30">
        <v>45556</v>
      </c>
      <c r="H1327">
        <v>60</v>
      </c>
      <c r="I1327">
        <v>0</v>
      </c>
      <c r="J1327" s="34">
        <v>0</v>
      </c>
      <c r="K1327" t="s">
        <v>171</v>
      </c>
      <c r="L1327" s="34">
        <f>PMT(Loans[[#This Row],[InterestRate]]/12,Loans[[#This Row],[LoanTenureMonths]],-Loans[[#This Row],[LoanAmount]])</f>
        <v>2619.9848077017073</v>
      </c>
      <c r="M1327" s="30">
        <f>EDATE(Loans[[#This Row],[LoanStartDate]],Loans[[#This Row],[LoanTenureMonths]])</f>
        <v>47382</v>
      </c>
      <c r="N1327" s="33">
        <f>IF(Loans[[#This Row],[LoanAmount]]=0,0,Loans[[#This Row],[CollateralValue]]/Loans[[#This Row],[LoanAmount]])</f>
        <v>0</v>
      </c>
      <c r="O1327" t="str">
        <f>IF(Loans[[#This Row],[CollateralCoverageRatio]]&lt;1,"Undersecured","Secured")</f>
        <v>Undersecured</v>
      </c>
      <c r="P1327" t="str">
        <f>_xlfn.XLOOKUP(Loans[[#This Row],[BranchCode]],BranchesTbl[BranchCode],BranchesTbl[BranchName])</f>
        <v>Kisumu</v>
      </c>
      <c r="Q1327">
        <f>_xlfn.XLOOKUP(Loans[[#This Row],[CustomerID]],CustomerTbl[CustomerID],CustomerTbl[RiskScore])</f>
        <v>308</v>
      </c>
      <c r="R1327" t="str">
        <f>IFERROR(INDEX(RiskTbl[Risk_Category],MATCH(Loans[[#This Row],[RiskScore]],RiskTbl[Score_Min],1)),"Unknown")</f>
        <v>High Risk</v>
      </c>
      <c r="S1327" t="str">
        <f>IF(OR(Loans[[#This Row],[LoanStatus]]="Default",Loans[[#This Row],[LoanStatus]]="Watchlist",Loans[[#This Row],[CollateralRisk]]="Undersecured",Loans[[#This Row],[RiskCategory]]="High Risk"),"High Risk Exposure","Normal")</f>
        <v>High Risk Exposure</v>
      </c>
      <c r="T1327" t="str" cm="1">
        <f t="array" ref="T1327">_xlfn.IFS(
Loans[[#This Row],[LoanStatus]]="Default","Critical",
OR(Loans[[#This Row],[LoanStatus]]="Watchlist",Loans[[#This Row],[CollateralRisk]]="Undersecured",Loans[[#This Row],[RiskCategory]]="High Risk"),"High",
TRUE,"Normal"
)</f>
        <v>High</v>
      </c>
    </row>
    <row r="1328" spans="1:20" x14ac:dyDescent="0.35">
      <c r="A1328" t="s">
        <v>2106</v>
      </c>
      <c r="B1328" t="s">
        <v>2099</v>
      </c>
      <c r="C1328" t="s">
        <v>170</v>
      </c>
      <c r="D1328" t="s">
        <v>158</v>
      </c>
      <c r="E1328" s="34">
        <v>1000000</v>
      </c>
      <c r="F1328" s="29">
        <v>0.1678</v>
      </c>
      <c r="G1328" s="30">
        <v>44687</v>
      </c>
      <c r="H1328">
        <v>72</v>
      </c>
      <c r="I1328">
        <v>0</v>
      </c>
      <c r="J1328" s="34">
        <v>1240000</v>
      </c>
      <c r="K1328" t="s">
        <v>171</v>
      </c>
      <c r="L1328" s="34">
        <f>PMT(Loans[[#This Row],[InterestRate]]/12,Loans[[#This Row],[LoanTenureMonths]],-Loans[[#This Row],[LoanAmount]])</f>
        <v>22123.551601464507</v>
      </c>
      <c r="M1328" s="30">
        <f>EDATE(Loans[[#This Row],[LoanStartDate]],Loans[[#This Row],[LoanTenureMonths]])</f>
        <v>46879</v>
      </c>
      <c r="N1328" s="33">
        <f>IF(Loans[[#This Row],[LoanAmount]]=0,0,Loans[[#This Row],[CollateralValue]]/Loans[[#This Row],[LoanAmount]])</f>
        <v>1.24</v>
      </c>
      <c r="O1328" t="str">
        <f>IF(Loans[[#This Row],[CollateralCoverageRatio]]&lt;1,"Undersecured","Secured")</f>
        <v>Secured</v>
      </c>
      <c r="P1328" t="str">
        <f>_xlfn.XLOOKUP(Loans[[#This Row],[BranchCode]],BranchesTbl[BranchCode],BranchesTbl[BranchName])</f>
        <v>Thika</v>
      </c>
      <c r="Q1328">
        <f>_xlfn.XLOOKUP(Loans[[#This Row],[CustomerID]],CustomerTbl[CustomerID],CustomerTbl[RiskScore])</f>
        <v>711</v>
      </c>
      <c r="R1328" t="str">
        <f>IFERROR(INDEX(RiskTbl[Risk_Category],MATCH(Loans[[#This Row],[RiskScore]],RiskTbl[Score_Min],1)),"Unknown")</f>
        <v>Low Risk</v>
      </c>
      <c r="S1328" t="str">
        <f>IF(OR(Loans[[#This Row],[LoanStatus]]="Default",Loans[[#This Row],[LoanStatus]]="Watchlist",Loans[[#This Row],[CollateralRisk]]="Undersecured",Loans[[#This Row],[RiskCategory]]="High Risk"),"High Risk Exposure","Normal")</f>
        <v>Normal</v>
      </c>
      <c r="T1328" t="str" cm="1">
        <f t="array" ref="T1328">_xlfn.IFS(
Loans[[#This Row],[LoanStatus]]="Default","Critical",
OR(Loans[[#This Row],[LoanStatus]]="Watchlist",Loans[[#This Row],[CollateralRisk]]="Undersecured",Loans[[#This Row],[RiskCategory]]="High Risk"),"High",
TRUE,"Normal"
)</f>
        <v>Normal</v>
      </c>
    </row>
    <row r="1329" spans="1:20" x14ac:dyDescent="0.35">
      <c r="A1329" t="s">
        <v>2107</v>
      </c>
      <c r="B1329" t="s">
        <v>2108</v>
      </c>
      <c r="C1329" t="s">
        <v>219</v>
      </c>
      <c r="D1329" t="s">
        <v>156</v>
      </c>
      <c r="E1329" s="34">
        <v>3000000</v>
      </c>
      <c r="F1329" s="29">
        <v>0.1643</v>
      </c>
      <c r="G1329" s="30">
        <v>44551</v>
      </c>
      <c r="H1329">
        <v>24</v>
      </c>
      <c r="I1329">
        <v>20</v>
      </c>
      <c r="J1329" s="34">
        <v>4470000</v>
      </c>
      <c r="K1329" t="s">
        <v>171</v>
      </c>
      <c r="L1329" s="34">
        <f>PMT(Loans[[#This Row],[InterestRate]]/12,Loans[[#This Row],[LoanTenureMonths]],-Loans[[#This Row],[LoanAmount]])</f>
        <v>147506.45144913372</v>
      </c>
      <c r="M1329" s="30">
        <f>EDATE(Loans[[#This Row],[LoanStartDate]],Loans[[#This Row],[LoanTenureMonths]])</f>
        <v>45281</v>
      </c>
      <c r="N1329" s="33">
        <f>IF(Loans[[#This Row],[LoanAmount]]=0,0,Loans[[#This Row],[CollateralValue]]/Loans[[#This Row],[LoanAmount]])</f>
        <v>1.49</v>
      </c>
      <c r="O1329" t="str">
        <f>IF(Loans[[#This Row],[CollateralCoverageRatio]]&lt;1,"Undersecured","Secured")</f>
        <v>Secured</v>
      </c>
      <c r="P1329" t="str">
        <f>_xlfn.XLOOKUP(Loans[[#This Row],[BranchCode]],BranchesTbl[BranchCode],BranchesTbl[BranchName])</f>
        <v>Meru</v>
      </c>
      <c r="Q1329">
        <f>_xlfn.XLOOKUP(Loans[[#This Row],[CustomerID]],CustomerTbl[CustomerID],CustomerTbl[RiskScore])</f>
        <v>760</v>
      </c>
      <c r="R1329" t="str">
        <f>IFERROR(INDEX(RiskTbl[Risk_Category],MATCH(Loans[[#This Row],[RiskScore]],RiskTbl[Score_Min],1)),"Unknown")</f>
        <v>Very Low Risk</v>
      </c>
      <c r="S1329" t="str">
        <f>IF(OR(Loans[[#This Row],[LoanStatus]]="Default",Loans[[#This Row],[LoanStatus]]="Watchlist",Loans[[#This Row],[CollateralRisk]]="Undersecured",Loans[[#This Row],[RiskCategory]]="High Risk"),"High Risk Exposure","Normal")</f>
        <v>Normal</v>
      </c>
      <c r="T1329" t="str" cm="1">
        <f t="array" ref="T1329">_xlfn.IFS(
Loans[[#This Row],[LoanStatus]]="Default","Critical",
OR(Loans[[#This Row],[LoanStatus]]="Watchlist",Loans[[#This Row],[CollateralRisk]]="Undersecured",Loans[[#This Row],[RiskCategory]]="High Risk"),"High",
TRUE,"Normal"
)</f>
        <v>Normal</v>
      </c>
    </row>
    <row r="1330" spans="1:20" x14ac:dyDescent="0.35">
      <c r="A1330" t="s">
        <v>2109</v>
      </c>
      <c r="B1330" t="s">
        <v>404</v>
      </c>
      <c r="C1330" t="s">
        <v>174</v>
      </c>
      <c r="D1330" t="s">
        <v>158</v>
      </c>
      <c r="E1330" s="34">
        <v>6000000</v>
      </c>
      <c r="F1330" s="29">
        <v>0.1366</v>
      </c>
      <c r="G1330" s="30">
        <v>45871</v>
      </c>
      <c r="H1330">
        <v>48</v>
      </c>
      <c r="I1330">
        <v>0</v>
      </c>
      <c r="J1330" s="34">
        <v>9000000</v>
      </c>
      <c r="K1330" t="s">
        <v>171</v>
      </c>
      <c r="L1330" s="34">
        <f>PMT(Loans[[#This Row],[InterestRate]]/12,Loans[[#This Row],[LoanTenureMonths]],-Loans[[#This Row],[LoanAmount]])</f>
        <v>162937.36763604448</v>
      </c>
      <c r="M1330" s="30">
        <f>EDATE(Loans[[#This Row],[LoanStartDate]],Loans[[#This Row],[LoanTenureMonths]])</f>
        <v>47332</v>
      </c>
      <c r="N1330" s="33">
        <f>IF(Loans[[#This Row],[LoanAmount]]=0,0,Loans[[#This Row],[CollateralValue]]/Loans[[#This Row],[LoanAmount]])</f>
        <v>1.5</v>
      </c>
      <c r="O1330" t="str">
        <f>IF(Loans[[#This Row],[CollateralCoverageRatio]]&lt;1,"Undersecured","Secured")</f>
        <v>Secured</v>
      </c>
      <c r="P1330" t="str">
        <f>_xlfn.XLOOKUP(Loans[[#This Row],[BranchCode]],BranchesTbl[BranchCode],BranchesTbl[BranchName])</f>
        <v>Westlands</v>
      </c>
      <c r="Q1330">
        <f>_xlfn.XLOOKUP(Loans[[#This Row],[CustomerID]],CustomerTbl[CustomerID],CustomerTbl[RiskScore])</f>
        <v>764</v>
      </c>
      <c r="R1330" t="str">
        <f>IFERROR(INDEX(RiskTbl[Risk_Category],MATCH(Loans[[#This Row],[RiskScore]],RiskTbl[Score_Min],1)),"Unknown")</f>
        <v>Very Low Risk</v>
      </c>
      <c r="S1330" t="str">
        <f>IF(OR(Loans[[#This Row],[LoanStatus]]="Default",Loans[[#This Row],[LoanStatus]]="Watchlist",Loans[[#This Row],[CollateralRisk]]="Undersecured",Loans[[#This Row],[RiskCategory]]="High Risk"),"High Risk Exposure","Normal")</f>
        <v>Normal</v>
      </c>
      <c r="T1330" t="str" cm="1">
        <f t="array" ref="T1330">_xlfn.IFS(
Loans[[#This Row],[LoanStatus]]="Default","Critical",
OR(Loans[[#This Row],[LoanStatus]]="Watchlist",Loans[[#This Row],[CollateralRisk]]="Undersecured",Loans[[#This Row],[RiskCategory]]="High Risk"),"High",
TRUE,"Normal"
)</f>
        <v>Normal</v>
      </c>
    </row>
    <row r="1331" spans="1:20" x14ac:dyDescent="0.35">
      <c r="A1331" t="s">
        <v>2110</v>
      </c>
      <c r="B1331" t="s">
        <v>1055</v>
      </c>
      <c r="C1331" t="s">
        <v>239</v>
      </c>
      <c r="D1331" t="s">
        <v>158</v>
      </c>
      <c r="E1331" s="34">
        <v>1000000</v>
      </c>
      <c r="F1331" s="29">
        <v>0.12089999999999999</v>
      </c>
      <c r="G1331" s="30">
        <v>44258</v>
      </c>
      <c r="H1331">
        <v>60</v>
      </c>
      <c r="I1331">
        <v>0</v>
      </c>
      <c r="J1331" s="34">
        <v>1400000</v>
      </c>
      <c r="K1331" t="s">
        <v>171</v>
      </c>
      <c r="L1331" s="34">
        <f>PMT(Loans[[#This Row],[InterestRate]]/12,Loans[[#This Row],[LoanTenureMonths]],-Loans[[#This Row],[LoanAmount]])</f>
        <v>22289.954365670135</v>
      </c>
      <c r="M1331" s="30">
        <f>EDATE(Loans[[#This Row],[LoanStartDate]],Loans[[#This Row],[LoanTenureMonths]])</f>
        <v>46084</v>
      </c>
      <c r="N1331" s="33">
        <f>IF(Loans[[#This Row],[LoanAmount]]=0,0,Loans[[#This Row],[CollateralValue]]/Loans[[#This Row],[LoanAmount]])</f>
        <v>1.4</v>
      </c>
      <c r="O1331" t="str">
        <f>IF(Loans[[#This Row],[CollateralCoverageRatio]]&lt;1,"Undersecured","Secured")</f>
        <v>Secured</v>
      </c>
      <c r="P1331" t="str">
        <f>_xlfn.XLOOKUP(Loans[[#This Row],[BranchCode]],BranchesTbl[BranchCode],BranchesTbl[BranchName])</f>
        <v>Machakos</v>
      </c>
      <c r="Q1331">
        <f>_xlfn.XLOOKUP(Loans[[#This Row],[CustomerID]],CustomerTbl[CustomerID],CustomerTbl[RiskScore])</f>
        <v>805</v>
      </c>
      <c r="R1331" t="str">
        <f>IFERROR(INDEX(RiskTbl[Risk_Category],MATCH(Loans[[#This Row],[RiskScore]],RiskTbl[Score_Min],1)),"Unknown")</f>
        <v>Prime</v>
      </c>
      <c r="S1331" t="str">
        <f>IF(OR(Loans[[#This Row],[LoanStatus]]="Default",Loans[[#This Row],[LoanStatus]]="Watchlist",Loans[[#This Row],[CollateralRisk]]="Undersecured",Loans[[#This Row],[RiskCategory]]="High Risk"),"High Risk Exposure","Normal")</f>
        <v>Normal</v>
      </c>
      <c r="T1331" t="str" cm="1">
        <f t="array" ref="T1331">_xlfn.IFS(
Loans[[#This Row],[LoanStatus]]="Default","Critical",
OR(Loans[[#This Row],[LoanStatus]]="Watchlist",Loans[[#This Row],[CollateralRisk]]="Undersecured",Loans[[#This Row],[RiskCategory]]="High Risk"),"High",
TRUE,"Normal"
)</f>
        <v>Normal</v>
      </c>
    </row>
    <row r="1332" spans="1:20" x14ac:dyDescent="0.35">
      <c r="A1332" t="s">
        <v>2111</v>
      </c>
      <c r="B1332" t="s">
        <v>1415</v>
      </c>
      <c r="C1332" t="s">
        <v>239</v>
      </c>
      <c r="D1332" t="s">
        <v>155</v>
      </c>
      <c r="E1332" s="34">
        <v>1000000</v>
      </c>
      <c r="F1332" s="29">
        <v>0.28000000000000003</v>
      </c>
      <c r="G1332" s="30">
        <v>45021</v>
      </c>
      <c r="H1332">
        <v>72</v>
      </c>
      <c r="I1332">
        <v>90</v>
      </c>
      <c r="J1332" s="34">
        <v>0</v>
      </c>
      <c r="K1332" t="s">
        <v>199</v>
      </c>
      <c r="L1332" s="34">
        <f>PMT(Loans[[#This Row],[InterestRate]]/12,Loans[[#This Row],[LoanTenureMonths]],-Loans[[#This Row],[LoanAmount]])</f>
        <v>28806.797592711831</v>
      </c>
      <c r="M1332" s="30">
        <f>EDATE(Loans[[#This Row],[LoanStartDate]],Loans[[#This Row],[LoanTenureMonths]])</f>
        <v>47213</v>
      </c>
      <c r="N1332" s="33">
        <f>IF(Loans[[#This Row],[LoanAmount]]=0,0,Loans[[#This Row],[CollateralValue]]/Loans[[#This Row],[LoanAmount]])</f>
        <v>0</v>
      </c>
      <c r="O1332" t="str">
        <f>IF(Loans[[#This Row],[CollateralCoverageRatio]]&lt;1,"Undersecured","Secured")</f>
        <v>Undersecured</v>
      </c>
      <c r="P1332" t="str">
        <f>_xlfn.XLOOKUP(Loans[[#This Row],[BranchCode]],BranchesTbl[BranchCode],BranchesTbl[BranchName])</f>
        <v>Machakos</v>
      </c>
      <c r="Q1332">
        <f>_xlfn.XLOOKUP(Loans[[#This Row],[CustomerID]],CustomerTbl[CustomerID],CustomerTbl[RiskScore])</f>
        <v>309</v>
      </c>
      <c r="R1332" t="str">
        <f>IFERROR(INDEX(RiskTbl[Risk_Category],MATCH(Loans[[#This Row],[RiskScore]],RiskTbl[Score_Min],1)),"Unknown")</f>
        <v>High Risk</v>
      </c>
      <c r="S1332" t="str">
        <f>IF(OR(Loans[[#This Row],[LoanStatus]]="Default",Loans[[#This Row],[LoanStatus]]="Watchlist",Loans[[#This Row],[CollateralRisk]]="Undersecured",Loans[[#This Row],[RiskCategory]]="High Risk"),"High Risk Exposure","Normal")</f>
        <v>High Risk Exposure</v>
      </c>
      <c r="T1332" t="str" cm="1">
        <f t="array" ref="T1332">_xlfn.IFS(
Loans[[#This Row],[LoanStatus]]="Default","Critical",
OR(Loans[[#This Row],[LoanStatus]]="Watchlist",Loans[[#This Row],[CollateralRisk]]="Undersecured",Loans[[#This Row],[RiskCategory]]="High Risk"),"High",
TRUE,"Normal"
)</f>
        <v>High</v>
      </c>
    </row>
    <row r="1333" spans="1:20" x14ac:dyDescent="0.35">
      <c r="A1333" t="s">
        <v>2112</v>
      </c>
      <c r="B1333" t="s">
        <v>928</v>
      </c>
      <c r="C1333" t="s">
        <v>196</v>
      </c>
      <c r="D1333" t="s">
        <v>157</v>
      </c>
      <c r="E1333" s="34">
        <v>25000000</v>
      </c>
      <c r="F1333" s="29">
        <v>0.1232</v>
      </c>
      <c r="G1333" s="30">
        <v>45861</v>
      </c>
      <c r="H1333">
        <v>72</v>
      </c>
      <c r="I1333">
        <v>0</v>
      </c>
      <c r="J1333" s="34">
        <v>24250000</v>
      </c>
      <c r="K1333" t="s">
        <v>171</v>
      </c>
      <c r="L1333" s="34">
        <f>PMT(Loans[[#This Row],[InterestRate]]/12,Loans[[#This Row],[LoanTenureMonths]],-Loans[[#This Row],[LoanAmount]])</f>
        <v>492924.99102974171</v>
      </c>
      <c r="M1333" s="30">
        <f>EDATE(Loans[[#This Row],[LoanStartDate]],Loans[[#This Row],[LoanTenureMonths]])</f>
        <v>48052</v>
      </c>
      <c r="N1333" s="33">
        <f>IF(Loans[[#This Row],[LoanAmount]]=0,0,Loans[[#This Row],[CollateralValue]]/Loans[[#This Row],[LoanAmount]])</f>
        <v>0.97</v>
      </c>
      <c r="O1333" t="str">
        <f>IF(Loans[[#This Row],[CollateralCoverageRatio]]&lt;1,"Undersecured","Secured")</f>
        <v>Undersecured</v>
      </c>
      <c r="P1333" t="str">
        <f>_xlfn.XLOOKUP(Loans[[#This Row],[BranchCode]],BranchesTbl[BranchCode],BranchesTbl[BranchName])</f>
        <v>Karen</v>
      </c>
      <c r="Q1333">
        <f>_xlfn.XLOOKUP(Loans[[#This Row],[CustomerID]],CustomerTbl[CustomerID],CustomerTbl[RiskScore])</f>
        <v>844</v>
      </c>
      <c r="R1333" t="str">
        <f>IFERROR(INDEX(RiskTbl[Risk_Category],MATCH(Loans[[#This Row],[RiskScore]],RiskTbl[Score_Min],1)),"Unknown")</f>
        <v>Prime</v>
      </c>
      <c r="S1333" t="str">
        <f>IF(OR(Loans[[#This Row],[LoanStatus]]="Default",Loans[[#This Row],[LoanStatus]]="Watchlist",Loans[[#This Row],[CollateralRisk]]="Undersecured",Loans[[#This Row],[RiskCategory]]="High Risk"),"High Risk Exposure","Normal")</f>
        <v>High Risk Exposure</v>
      </c>
      <c r="T1333" t="str" cm="1">
        <f t="array" ref="T1333">_xlfn.IFS(
Loans[[#This Row],[LoanStatus]]="Default","Critical",
OR(Loans[[#This Row],[LoanStatus]]="Watchlist",Loans[[#This Row],[CollateralRisk]]="Undersecured",Loans[[#This Row],[RiskCategory]]="High Risk"),"High",
TRUE,"Normal"
)</f>
        <v>High</v>
      </c>
    </row>
    <row r="1334" spans="1:20" x14ac:dyDescent="0.35">
      <c r="A1334" t="s">
        <v>2113</v>
      </c>
      <c r="B1334" t="s">
        <v>2114</v>
      </c>
      <c r="C1334" t="s">
        <v>181</v>
      </c>
      <c r="D1334" t="s">
        <v>155</v>
      </c>
      <c r="E1334" s="34">
        <v>1000000</v>
      </c>
      <c r="F1334" s="29">
        <v>0.2651</v>
      </c>
      <c r="G1334" s="30">
        <v>44816</v>
      </c>
      <c r="H1334">
        <v>12</v>
      </c>
      <c r="I1334">
        <v>45</v>
      </c>
      <c r="J1334" s="34">
        <v>0</v>
      </c>
      <c r="K1334" t="s">
        <v>199</v>
      </c>
      <c r="L1334" s="34">
        <f>PMT(Loans[[#This Row],[InterestRate]]/12,Loans[[#This Row],[LoanTenureMonths]],-Loans[[#This Row],[LoanAmount]])</f>
        <v>95778.477256924991</v>
      </c>
      <c r="M1334" s="30">
        <f>EDATE(Loans[[#This Row],[LoanStartDate]],Loans[[#This Row],[LoanTenureMonths]])</f>
        <v>45181</v>
      </c>
      <c r="N1334" s="33">
        <f>IF(Loans[[#This Row],[LoanAmount]]=0,0,Loans[[#This Row],[CollateralValue]]/Loans[[#This Row],[LoanAmount]])</f>
        <v>0</v>
      </c>
      <c r="O1334" t="str">
        <f>IF(Loans[[#This Row],[CollateralCoverageRatio]]&lt;1,"Undersecured","Secured")</f>
        <v>Undersecured</v>
      </c>
      <c r="P1334" t="str">
        <f>_xlfn.XLOOKUP(Loans[[#This Row],[BranchCode]],BranchesTbl[BranchCode],BranchesTbl[BranchName])</f>
        <v>Kitale</v>
      </c>
      <c r="Q1334">
        <f>_xlfn.XLOOKUP(Loans[[#This Row],[CustomerID]],CustomerTbl[CustomerID],CustomerTbl[RiskScore])</f>
        <v>601</v>
      </c>
      <c r="R1334" t="str">
        <f>IFERROR(INDEX(RiskTbl[Risk_Category],MATCH(Loans[[#This Row],[RiskScore]],RiskTbl[Score_Min],1)),"Unknown")</f>
        <v>Medium Risk</v>
      </c>
      <c r="S1334" t="str">
        <f>IF(OR(Loans[[#This Row],[LoanStatus]]="Default",Loans[[#This Row],[LoanStatus]]="Watchlist",Loans[[#This Row],[CollateralRisk]]="Undersecured",Loans[[#This Row],[RiskCategory]]="High Risk"),"High Risk Exposure","Normal")</f>
        <v>High Risk Exposure</v>
      </c>
      <c r="T1334" t="str" cm="1">
        <f t="array" ref="T1334">_xlfn.IFS(
Loans[[#This Row],[LoanStatus]]="Default","Critical",
OR(Loans[[#This Row],[LoanStatus]]="Watchlist",Loans[[#This Row],[CollateralRisk]]="Undersecured",Loans[[#This Row],[RiskCategory]]="High Risk"),"High",
TRUE,"Normal"
)</f>
        <v>High</v>
      </c>
    </row>
    <row r="1335" spans="1:20" x14ac:dyDescent="0.35">
      <c r="A1335" t="s">
        <v>2115</v>
      </c>
      <c r="B1335" t="s">
        <v>967</v>
      </c>
      <c r="C1335" t="s">
        <v>270</v>
      </c>
      <c r="D1335" t="s">
        <v>156</v>
      </c>
      <c r="E1335" s="34">
        <v>25000000</v>
      </c>
      <c r="F1335" s="29">
        <v>0.2147</v>
      </c>
      <c r="G1335" s="30">
        <v>44088</v>
      </c>
      <c r="H1335">
        <v>72</v>
      </c>
      <c r="I1335">
        <v>5</v>
      </c>
      <c r="J1335" s="34">
        <v>17250000</v>
      </c>
      <c r="K1335" t="s">
        <v>171</v>
      </c>
      <c r="L1335" s="34">
        <f>PMT(Loans[[#This Row],[InterestRate]]/12,Loans[[#This Row],[LoanTenureMonths]],-Loans[[#This Row],[LoanAmount]])</f>
        <v>620312.44173353841</v>
      </c>
      <c r="M1335" s="30">
        <f>EDATE(Loans[[#This Row],[LoanStartDate]],Loans[[#This Row],[LoanTenureMonths]])</f>
        <v>46279</v>
      </c>
      <c r="N1335" s="33">
        <f>IF(Loans[[#This Row],[LoanAmount]]=0,0,Loans[[#This Row],[CollateralValue]]/Loans[[#This Row],[LoanAmount]])</f>
        <v>0.69</v>
      </c>
      <c r="O1335" t="str">
        <f>IF(Loans[[#This Row],[CollateralCoverageRatio]]&lt;1,"Undersecured","Secured")</f>
        <v>Undersecured</v>
      </c>
      <c r="P1335" t="str">
        <f>_xlfn.XLOOKUP(Loans[[#This Row],[BranchCode]],BranchesTbl[BranchCode],BranchesTbl[BranchName])</f>
        <v>Nakuru</v>
      </c>
      <c r="Q1335">
        <f>_xlfn.XLOOKUP(Loans[[#This Row],[CustomerID]],CustomerTbl[CustomerID],CustomerTbl[RiskScore])</f>
        <v>751</v>
      </c>
      <c r="R1335" t="str">
        <f>IFERROR(INDEX(RiskTbl[Risk_Category],MATCH(Loans[[#This Row],[RiskScore]],RiskTbl[Score_Min],1)),"Unknown")</f>
        <v>Very Low Risk</v>
      </c>
      <c r="S1335" t="str">
        <f>IF(OR(Loans[[#This Row],[LoanStatus]]="Default",Loans[[#This Row],[LoanStatus]]="Watchlist",Loans[[#This Row],[CollateralRisk]]="Undersecured",Loans[[#This Row],[RiskCategory]]="High Risk"),"High Risk Exposure","Normal")</f>
        <v>High Risk Exposure</v>
      </c>
      <c r="T1335" t="str" cm="1">
        <f t="array" ref="T1335">_xlfn.IFS(
Loans[[#This Row],[LoanStatus]]="Default","Critical",
OR(Loans[[#This Row],[LoanStatus]]="Watchlist",Loans[[#This Row],[CollateralRisk]]="Undersecured",Loans[[#This Row],[RiskCategory]]="High Risk"),"High",
TRUE,"Normal"
)</f>
        <v>High</v>
      </c>
    </row>
    <row r="1336" spans="1:20" x14ac:dyDescent="0.35">
      <c r="A1336" t="s">
        <v>2116</v>
      </c>
      <c r="B1336" t="s">
        <v>743</v>
      </c>
      <c r="C1336" t="s">
        <v>270</v>
      </c>
      <c r="D1336" t="s">
        <v>156</v>
      </c>
      <c r="E1336" s="34">
        <v>1000000</v>
      </c>
      <c r="F1336" s="29">
        <v>0.2092</v>
      </c>
      <c r="G1336" s="30">
        <v>45976</v>
      </c>
      <c r="H1336">
        <v>60</v>
      </c>
      <c r="I1336">
        <v>120</v>
      </c>
      <c r="J1336" s="34">
        <v>1050000</v>
      </c>
      <c r="K1336" t="s">
        <v>178</v>
      </c>
      <c r="L1336" s="34">
        <f>PMT(Loans[[#This Row],[InterestRate]]/12,Loans[[#This Row],[LoanTenureMonths]],-Loans[[#This Row],[LoanAmount]])</f>
        <v>27008.37721132343</v>
      </c>
      <c r="M1336" s="30">
        <f>EDATE(Loans[[#This Row],[LoanStartDate]],Loans[[#This Row],[LoanTenureMonths]])</f>
        <v>47802</v>
      </c>
      <c r="N1336" s="33">
        <f>IF(Loans[[#This Row],[LoanAmount]]=0,0,Loans[[#This Row],[CollateralValue]]/Loans[[#This Row],[LoanAmount]])</f>
        <v>1.05</v>
      </c>
      <c r="O1336" t="str">
        <f>IF(Loans[[#This Row],[CollateralCoverageRatio]]&lt;1,"Undersecured","Secured")</f>
        <v>Secured</v>
      </c>
      <c r="P1336" t="str">
        <f>_xlfn.XLOOKUP(Loans[[#This Row],[BranchCode]],BranchesTbl[BranchCode],BranchesTbl[BranchName])</f>
        <v>Nakuru</v>
      </c>
      <c r="Q1336">
        <f>_xlfn.XLOOKUP(Loans[[#This Row],[CustomerID]],CustomerTbl[CustomerID],CustomerTbl[RiskScore])</f>
        <v>436</v>
      </c>
      <c r="R1336" t="str">
        <f>IFERROR(INDEX(RiskTbl[Risk_Category],MATCH(Loans[[#This Row],[RiskScore]],RiskTbl[Score_Min],1)),"Unknown")</f>
        <v>High Risk</v>
      </c>
      <c r="S1336" t="str">
        <f>IF(OR(Loans[[#This Row],[LoanStatus]]="Default",Loans[[#This Row],[LoanStatus]]="Watchlist",Loans[[#This Row],[CollateralRisk]]="Undersecured",Loans[[#This Row],[RiskCategory]]="High Risk"),"High Risk Exposure","Normal")</f>
        <v>High Risk Exposure</v>
      </c>
      <c r="T1336" t="str" cm="1">
        <f t="array" ref="T1336">_xlfn.IFS(
Loans[[#This Row],[LoanStatus]]="Default","Critical",
OR(Loans[[#This Row],[LoanStatus]]="Watchlist",Loans[[#This Row],[CollateralRisk]]="Undersecured",Loans[[#This Row],[RiskCategory]]="High Risk"),"High",
TRUE,"Normal"
)</f>
        <v>Critical</v>
      </c>
    </row>
    <row r="1337" spans="1:20" x14ac:dyDescent="0.35">
      <c r="A1337" t="s">
        <v>2117</v>
      </c>
      <c r="B1337" t="s">
        <v>1019</v>
      </c>
      <c r="C1337" t="s">
        <v>193</v>
      </c>
      <c r="D1337" t="s">
        <v>155</v>
      </c>
      <c r="E1337" s="34">
        <v>500000</v>
      </c>
      <c r="F1337" s="29">
        <v>0.22040000000000001</v>
      </c>
      <c r="G1337" s="30">
        <v>45060</v>
      </c>
      <c r="H1337">
        <v>12</v>
      </c>
      <c r="I1337">
        <v>0</v>
      </c>
      <c r="J1337" s="34">
        <v>0</v>
      </c>
      <c r="K1337" t="s">
        <v>171</v>
      </c>
      <c r="L1337" s="34">
        <f>PMT(Loans[[#This Row],[InterestRate]]/12,Loans[[#This Row],[LoanTenureMonths]],-Loans[[#This Row],[LoanAmount]])</f>
        <v>46806.815838454881</v>
      </c>
      <c r="M1337" s="30">
        <f>EDATE(Loans[[#This Row],[LoanStartDate]],Loans[[#This Row],[LoanTenureMonths]])</f>
        <v>45426</v>
      </c>
      <c r="N1337" s="33">
        <f>IF(Loans[[#This Row],[LoanAmount]]=0,0,Loans[[#This Row],[CollateralValue]]/Loans[[#This Row],[LoanAmount]])</f>
        <v>0</v>
      </c>
      <c r="O1337" t="str">
        <f>IF(Loans[[#This Row],[CollateralCoverageRatio]]&lt;1,"Undersecured","Secured")</f>
        <v>Undersecured</v>
      </c>
      <c r="P1337" t="str">
        <f>_xlfn.XLOOKUP(Loans[[#This Row],[BranchCode]],BranchesTbl[BranchCode],BranchesTbl[BranchName])</f>
        <v>Mombasa</v>
      </c>
      <c r="Q1337">
        <f>_xlfn.XLOOKUP(Loans[[#This Row],[CustomerID]],CustomerTbl[CustomerID],CustomerTbl[RiskScore])</f>
        <v>550</v>
      </c>
      <c r="R1337" t="str">
        <f>IFERROR(INDEX(RiskTbl[Risk_Category],MATCH(Loans[[#This Row],[RiskScore]],RiskTbl[Score_Min],1)),"Unknown")</f>
        <v>High Risk</v>
      </c>
      <c r="S1337" t="str">
        <f>IF(OR(Loans[[#This Row],[LoanStatus]]="Default",Loans[[#This Row],[LoanStatus]]="Watchlist",Loans[[#This Row],[CollateralRisk]]="Undersecured",Loans[[#This Row],[RiskCategory]]="High Risk"),"High Risk Exposure","Normal")</f>
        <v>High Risk Exposure</v>
      </c>
      <c r="T1337" t="str" cm="1">
        <f t="array" ref="T1337">_xlfn.IFS(
Loans[[#This Row],[LoanStatus]]="Default","Critical",
OR(Loans[[#This Row],[LoanStatus]]="Watchlist",Loans[[#This Row],[CollateralRisk]]="Undersecured",Loans[[#This Row],[RiskCategory]]="High Risk"),"High",
TRUE,"Normal"
)</f>
        <v>High</v>
      </c>
    </row>
    <row r="1338" spans="1:20" x14ac:dyDescent="0.35">
      <c r="A1338" t="s">
        <v>2118</v>
      </c>
      <c r="B1338" t="s">
        <v>2119</v>
      </c>
      <c r="C1338" t="s">
        <v>187</v>
      </c>
      <c r="D1338" t="s">
        <v>156</v>
      </c>
      <c r="E1338" s="34">
        <v>1000000</v>
      </c>
      <c r="F1338" s="29">
        <v>0.18029999999999999</v>
      </c>
      <c r="G1338" s="30">
        <v>45343</v>
      </c>
      <c r="H1338">
        <v>12</v>
      </c>
      <c r="I1338">
        <v>0</v>
      </c>
      <c r="J1338" s="34">
        <v>1270000</v>
      </c>
      <c r="K1338" t="s">
        <v>171</v>
      </c>
      <c r="L1338" s="34">
        <f>PMT(Loans[[#This Row],[InterestRate]]/12,Loans[[#This Row],[LoanTenureMonths]],-Loans[[#This Row],[LoanAmount]])</f>
        <v>91694.27091408438</v>
      </c>
      <c r="M1338" s="30">
        <f>EDATE(Loans[[#This Row],[LoanStartDate]],Loans[[#This Row],[LoanTenureMonths]])</f>
        <v>45709</v>
      </c>
      <c r="N1338" s="33">
        <f>IF(Loans[[#This Row],[LoanAmount]]=0,0,Loans[[#This Row],[CollateralValue]]/Loans[[#This Row],[LoanAmount]])</f>
        <v>1.27</v>
      </c>
      <c r="O1338" t="str">
        <f>IF(Loans[[#This Row],[CollateralCoverageRatio]]&lt;1,"Undersecured","Secured")</f>
        <v>Secured</v>
      </c>
      <c r="P1338" t="str">
        <f>_xlfn.XLOOKUP(Loans[[#This Row],[BranchCode]],BranchesTbl[BranchCode],BranchesTbl[BranchName])</f>
        <v>Eldoret</v>
      </c>
      <c r="Q1338">
        <f>_xlfn.XLOOKUP(Loans[[#This Row],[CustomerID]],CustomerTbl[CustomerID],CustomerTbl[RiskScore])</f>
        <v>737</v>
      </c>
      <c r="R1338" t="str">
        <f>IFERROR(INDEX(RiskTbl[Risk_Category],MATCH(Loans[[#This Row],[RiskScore]],RiskTbl[Score_Min],1)),"Unknown")</f>
        <v>Low Risk</v>
      </c>
      <c r="S1338" t="str">
        <f>IF(OR(Loans[[#This Row],[LoanStatus]]="Default",Loans[[#This Row],[LoanStatus]]="Watchlist",Loans[[#This Row],[CollateralRisk]]="Undersecured",Loans[[#This Row],[RiskCategory]]="High Risk"),"High Risk Exposure","Normal")</f>
        <v>Normal</v>
      </c>
      <c r="T1338" t="str" cm="1">
        <f t="array" ref="T1338">_xlfn.IFS(
Loans[[#This Row],[LoanStatus]]="Default","Critical",
OR(Loans[[#This Row],[LoanStatus]]="Watchlist",Loans[[#This Row],[CollateralRisk]]="Undersecured",Loans[[#This Row],[RiskCategory]]="High Risk"),"High",
TRUE,"Normal"
)</f>
        <v>Normal</v>
      </c>
    </row>
    <row r="1339" spans="1:20" x14ac:dyDescent="0.35">
      <c r="A1339" t="s">
        <v>2120</v>
      </c>
      <c r="B1339" t="s">
        <v>2121</v>
      </c>
      <c r="C1339" t="s">
        <v>187</v>
      </c>
      <c r="D1339" t="s">
        <v>155</v>
      </c>
      <c r="E1339" s="34">
        <v>250000</v>
      </c>
      <c r="F1339" s="29">
        <v>0.20599999999999999</v>
      </c>
      <c r="G1339" s="30">
        <v>44453</v>
      </c>
      <c r="H1339">
        <v>60</v>
      </c>
      <c r="I1339">
        <v>0</v>
      </c>
      <c r="J1339" s="34">
        <v>0</v>
      </c>
      <c r="K1339" t="s">
        <v>171</v>
      </c>
      <c r="L1339" s="34">
        <f>PMT(Loans[[#This Row],[InterestRate]]/12,Loans[[#This Row],[LoanTenureMonths]],-Loans[[#This Row],[LoanAmount]])</f>
        <v>6707.2091037636146</v>
      </c>
      <c r="M1339" s="30">
        <f>EDATE(Loans[[#This Row],[LoanStartDate]],Loans[[#This Row],[LoanTenureMonths]])</f>
        <v>46279</v>
      </c>
      <c r="N1339" s="33">
        <f>IF(Loans[[#This Row],[LoanAmount]]=0,0,Loans[[#This Row],[CollateralValue]]/Loans[[#This Row],[LoanAmount]])</f>
        <v>0</v>
      </c>
      <c r="O1339" t="str">
        <f>IF(Loans[[#This Row],[CollateralCoverageRatio]]&lt;1,"Undersecured","Secured")</f>
        <v>Undersecured</v>
      </c>
      <c r="P1339" t="str">
        <f>_xlfn.XLOOKUP(Loans[[#This Row],[BranchCode]],BranchesTbl[BranchCode],BranchesTbl[BranchName])</f>
        <v>Eldoret</v>
      </c>
      <c r="Q1339">
        <f>_xlfn.XLOOKUP(Loans[[#This Row],[CustomerID]],CustomerTbl[CustomerID],CustomerTbl[RiskScore])</f>
        <v>456</v>
      </c>
      <c r="R1339" t="str">
        <f>IFERROR(INDEX(RiskTbl[Risk_Category],MATCH(Loans[[#This Row],[RiskScore]],RiskTbl[Score_Min],1)),"Unknown")</f>
        <v>High Risk</v>
      </c>
      <c r="S1339" t="str">
        <f>IF(OR(Loans[[#This Row],[LoanStatus]]="Default",Loans[[#This Row],[LoanStatus]]="Watchlist",Loans[[#This Row],[CollateralRisk]]="Undersecured",Loans[[#This Row],[RiskCategory]]="High Risk"),"High Risk Exposure","Normal")</f>
        <v>High Risk Exposure</v>
      </c>
      <c r="T1339" t="str" cm="1">
        <f t="array" ref="T1339">_xlfn.IFS(
Loans[[#This Row],[LoanStatus]]="Default","Critical",
OR(Loans[[#This Row],[LoanStatus]]="Watchlist",Loans[[#This Row],[CollateralRisk]]="Undersecured",Loans[[#This Row],[RiskCategory]]="High Risk"),"High",
TRUE,"Normal"
)</f>
        <v>High</v>
      </c>
    </row>
    <row r="1340" spans="1:20" x14ac:dyDescent="0.35">
      <c r="A1340" t="s">
        <v>2122</v>
      </c>
      <c r="B1340" t="s">
        <v>995</v>
      </c>
      <c r="C1340" t="s">
        <v>219</v>
      </c>
      <c r="D1340" t="s">
        <v>157</v>
      </c>
      <c r="E1340" s="34">
        <v>6000000</v>
      </c>
      <c r="F1340" s="29">
        <v>0.1012</v>
      </c>
      <c r="G1340" s="30">
        <v>44847</v>
      </c>
      <c r="H1340">
        <v>72</v>
      </c>
      <c r="I1340">
        <v>120</v>
      </c>
      <c r="J1340" s="34">
        <v>8580000</v>
      </c>
      <c r="K1340" t="s">
        <v>178</v>
      </c>
      <c r="L1340" s="34">
        <f>PMT(Loans[[#This Row],[InterestRate]]/12,Loans[[#This Row],[LoanTenureMonths]],-Loans[[#This Row],[LoanAmount]])</f>
        <v>111518.45256291701</v>
      </c>
      <c r="M1340" s="30">
        <f>EDATE(Loans[[#This Row],[LoanStartDate]],Loans[[#This Row],[LoanTenureMonths]])</f>
        <v>47039</v>
      </c>
      <c r="N1340" s="33">
        <f>IF(Loans[[#This Row],[LoanAmount]]=0,0,Loans[[#This Row],[CollateralValue]]/Loans[[#This Row],[LoanAmount]])</f>
        <v>1.43</v>
      </c>
      <c r="O1340" t="str">
        <f>IF(Loans[[#This Row],[CollateralCoverageRatio]]&lt;1,"Undersecured","Secured")</f>
        <v>Secured</v>
      </c>
      <c r="P1340" t="str">
        <f>_xlfn.XLOOKUP(Loans[[#This Row],[BranchCode]],BranchesTbl[BranchCode],BranchesTbl[BranchName])</f>
        <v>Meru</v>
      </c>
      <c r="Q1340">
        <f>_xlfn.XLOOKUP(Loans[[#This Row],[CustomerID]],CustomerTbl[CustomerID],CustomerTbl[RiskScore])</f>
        <v>500</v>
      </c>
      <c r="R1340" t="str">
        <f>IFERROR(INDEX(RiskTbl[Risk_Category],MATCH(Loans[[#This Row],[RiskScore]],RiskTbl[Score_Min],1)),"Unknown")</f>
        <v>High Risk</v>
      </c>
      <c r="S1340" t="str">
        <f>IF(OR(Loans[[#This Row],[LoanStatus]]="Default",Loans[[#This Row],[LoanStatus]]="Watchlist",Loans[[#This Row],[CollateralRisk]]="Undersecured",Loans[[#This Row],[RiskCategory]]="High Risk"),"High Risk Exposure","Normal")</f>
        <v>High Risk Exposure</v>
      </c>
      <c r="T1340" t="str" cm="1">
        <f t="array" ref="T1340">_xlfn.IFS(
Loans[[#This Row],[LoanStatus]]="Default","Critical",
OR(Loans[[#This Row],[LoanStatus]]="Watchlist",Loans[[#This Row],[CollateralRisk]]="Undersecured",Loans[[#This Row],[RiskCategory]]="High Risk"),"High",
TRUE,"Normal"
)</f>
        <v>Critical</v>
      </c>
    </row>
    <row r="1341" spans="1:20" x14ac:dyDescent="0.35">
      <c r="A1341" t="s">
        <v>2123</v>
      </c>
      <c r="B1341" t="s">
        <v>872</v>
      </c>
      <c r="C1341" t="s">
        <v>206</v>
      </c>
      <c r="D1341" t="s">
        <v>156</v>
      </c>
      <c r="E1341" s="34">
        <v>1000000</v>
      </c>
      <c r="F1341" s="29">
        <v>0.16389999999999999</v>
      </c>
      <c r="G1341" s="30">
        <v>44777</v>
      </c>
      <c r="H1341">
        <v>48</v>
      </c>
      <c r="I1341">
        <v>5</v>
      </c>
      <c r="J1341" s="34">
        <v>970000</v>
      </c>
      <c r="K1341" t="s">
        <v>171</v>
      </c>
      <c r="L1341" s="34">
        <f>PMT(Loans[[#This Row],[InterestRate]]/12,Loans[[#This Row],[LoanTenureMonths]],-Loans[[#This Row],[LoanAmount]])</f>
        <v>28540.417603547376</v>
      </c>
      <c r="M1341" s="30">
        <f>EDATE(Loans[[#This Row],[LoanStartDate]],Loans[[#This Row],[LoanTenureMonths]])</f>
        <v>46238</v>
      </c>
      <c r="N1341" s="33">
        <f>IF(Loans[[#This Row],[LoanAmount]]=0,0,Loans[[#This Row],[CollateralValue]]/Loans[[#This Row],[LoanAmount]])</f>
        <v>0.97</v>
      </c>
      <c r="O1341" t="str">
        <f>IF(Loans[[#This Row],[CollateralCoverageRatio]]&lt;1,"Undersecured","Secured")</f>
        <v>Undersecured</v>
      </c>
      <c r="P1341" t="str">
        <f>_xlfn.XLOOKUP(Loans[[#This Row],[BranchCode]],BranchesTbl[BranchCode],BranchesTbl[BranchName])</f>
        <v>Nyahururu</v>
      </c>
      <c r="Q1341">
        <f>_xlfn.XLOOKUP(Loans[[#This Row],[CustomerID]],CustomerTbl[CustomerID],CustomerTbl[RiskScore])</f>
        <v>741</v>
      </c>
      <c r="R1341" t="str">
        <f>IFERROR(INDEX(RiskTbl[Risk_Category],MATCH(Loans[[#This Row],[RiskScore]],RiskTbl[Score_Min],1)),"Unknown")</f>
        <v>Very Low Risk</v>
      </c>
      <c r="S1341" t="str">
        <f>IF(OR(Loans[[#This Row],[LoanStatus]]="Default",Loans[[#This Row],[LoanStatus]]="Watchlist",Loans[[#This Row],[CollateralRisk]]="Undersecured",Loans[[#This Row],[RiskCategory]]="High Risk"),"High Risk Exposure","Normal")</f>
        <v>High Risk Exposure</v>
      </c>
      <c r="T1341" t="str" cm="1">
        <f t="array" ref="T1341">_xlfn.IFS(
Loans[[#This Row],[LoanStatus]]="Default","Critical",
OR(Loans[[#This Row],[LoanStatus]]="Watchlist",Loans[[#This Row],[CollateralRisk]]="Undersecured",Loans[[#This Row],[RiskCategory]]="High Risk"),"High",
TRUE,"Normal"
)</f>
        <v>High</v>
      </c>
    </row>
    <row r="1342" spans="1:20" x14ac:dyDescent="0.35">
      <c r="A1342" t="s">
        <v>2124</v>
      </c>
      <c r="B1342" t="s">
        <v>850</v>
      </c>
      <c r="C1342" t="s">
        <v>174</v>
      </c>
      <c r="D1342" t="s">
        <v>156</v>
      </c>
      <c r="E1342" s="34">
        <v>1000000</v>
      </c>
      <c r="F1342" s="29">
        <v>0.21299999999999999</v>
      </c>
      <c r="G1342" s="30">
        <v>44146</v>
      </c>
      <c r="H1342">
        <v>72</v>
      </c>
      <c r="I1342">
        <v>10</v>
      </c>
      <c r="J1342" s="34">
        <v>930000</v>
      </c>
      <c r="K1342" t="s">
        <v>171</v>
      </c>
      <c r="L1342" s="34">
        <f>PMT(Loans[[#This Row],[InterestRate]]/12,Loans[[#This Row],[LoanTenureMonths]],-Loans[[#This Row],[LoanAmount]])</f>
        <v>24712.309799828359</v>
      </c>
      <c r="M1342" s="30">
        <f>EDATE(Loans[[#This Row],[LoanStartDate]],Loans[[#This Row],[LoanTenureMonths]])</f>
        <v>46337</v>
      </c>
      <c r="N1342" s="33">
        <f>IF(Loans[[#This Row],[LoanAmount]]=0,0,Loans[[#This Row],[CollateralValue]]/Loans[[#This Row],[LoanAmount]])</f>
        <v>0.93</v>
      </c>
      <c r="O1342" t="str">
        <f>IF(Loans[[#This Row],[CollateralCoverageRatio]]&lt;1,"Undersecured","Secured")</f>
        <v>Undersecured</v>
      </c>
      <c r="P1342" t="str">
        <f>_xlfn.XLOOKUP(Loans[[#This Row],[BranchCode]],BranchesTbl[BranchCode],BranchesTbl[BranchName])</f>
        <v>Westlands</v>
      </c>
      <c r="Q1342">
        <f>_xlfn.XLOOKUP(Loans[[#This Row],[CustomerID]],CustomerTbl[CustomerID],CustomerTbl[RiskScore])</f>
        <v>317</v>
      </c>
      <c r="R1342" t="str">
        <f>IFERROR(INDEX(RiskTbl[Risk_Category],MATCH(Loans[[#This Row],[RiskScore]],RiskTbl[Score_Min],1)),"Unknown")</f>
        <v>High Risk</v>
      </c>
      <c r="S1342" t="str">
        <f>IF(OR(Loans[[#This Row],[LoanStatus]]="Default",Loans[[#This Row],[LoanStatus]]="Watchlist",Loans[[#This Row],[CollateralRisk]]="Undersecured",Loans[[#This Row],[RiskCategory]]="High Risk"),"High Risk Exposure","Normal")</f>
        <v>High Risk Exposure</v>
      </c>
      <c r="T1342" t="str" cm="1">
        <f t="array" ref="T1342">_xlfn.IFS(
Loans[[#This Row],[LoanStatus]]="Default","Critical",
OR(Loans[[#This Row],[LoanStatus]]="Watchlist",Loans[[#This Row],[CollateralRisk]]="Undersecured",Loans[[#This Row],[RiskCategory]]="High Risk"),"High",
TRUE,"Normal"
)</f>
        <v>High</v>
      </c>
    </row>
    <row r="1343" spans="1:20" x14ac:dyDescent="0.35">
      <c r="A1343" t="s">
        <v>2125</v>
      </c>
      <c r="B1343" t="s">
        <v>865</v>
      </c>
      <c r="C1343" t="s">
        <v>187</v>
      </c>
      <c r="D1343" t="s">
        <v>157</v>
      </c>
      <c r="E1343" s="34">
        <v>25000000</v>
      </c>
      <c r="F1343" s="29">
        <v>0.12540000000000001</v>
      </c>
      <c r="G1343" s="30">
        <v>45922</v>
      </c>
      <c r="H1343">
        <v>36</v>
      </c>
      <c r="I1343">
        <v>20</v>
      </c>
      <c r="J1343" s="34">
        <v>29000000</v>
      </c>
      <c r="K1343" t="s">
        <v>171</v>
      </c>
      <c r="L1343" s="34">
        <f>PMT(Loans[[#This Row],[InterestRate]]/12,Loans[[#This Row],[LoanTenureMonths]],-Loans[[#This Row],[LoanAmount]])</f>
        <v>836820.36303839798</v>
      </c>
      <c r="M1343" s="30">
        <f>EDATE(Loans[[#This Row],[LoanStartDate]],Loans[[#This Row],[LoanTenureMonths]])</f>
        <v>47018</v>
      </c>
      <c r="N1343" s="33">
        <f>IF(Loans[[#This Row],[LoanAmount]]=0,0,Loans[[#This Row],[CollateralValue]]/Loans[[#This Row],[LoanAmount]])</f>
        <v>1.1599999999999999</v>
      </c>
      <c r="O1343" t="str">
        <f>IF(Loans[[#This Row],[CollateralCoverageRatio]]&lt;1,"Undersecured","Secured")</f>
        <v>Secured</v>
      </c>
      <c r="P1343" t="str">
        <f>_xlfn.XLOOKUP(Loans[[#This Row],[BranchCode]],BranchesTbl[BranchCode],BranchesTbl[BranchName])</f>
        <v>Eldoret</v>
      </c>
      <c r="Q1343">
        <f>_xlfn.XLOOKUP(Loans[[#This Row],[CustomerID]],CustomerTbl[CustomerID],CustomerTbl[RiskScore])</f>
        <v>821</v>
      </c>
      <c r="R1343" t="str">
        <f>IFERROR(INDEX(RiskTbl[Risk_Category],MATCH(Loans[[#This Row],[RiskScore]],RiskTbl[Score_Min],1)),"Unknown")</f>
        <v>Prime</v>
      </c>
      <c r="S1343" t="str">
        <f>IF(OR(Loans[[#This Row],[LoanStatus]]="Default",Loans[[#This Row],[LoanStatus]]="Watchlist",Loans[[#This Row],[CollateralRisk]]="Undersecured",Loans[[#This Row],[RiskCategory]]="High Risk"),"High Risk Exposure","Normal")</f>
        <v>Normal</v>
      </c>
      <c r="T1343" t="str" cm="1">
        <f t="array" ref="T1343">_xlfn.IFS(
Loans[[#This Row],[LoanStatus]]="Default","Critical",
OR(Loans[[#This Row],[LoanStatus]]="Watchlist",Loans[[#This Row],[CollateralRisk]]="Undersecured",Loans[[#This Row],[RiskCategory]]="High Risk"),"High",
TRUE,"Normal"
)</f>
        <v>Normal</v>
      </c>
    </row>
    <row r="1344" spans="1:20" x14ac:dyDescent="0.35">
      <c r="A1344" t="s">
        <v>2126</v>
      </c>
      <c r="B1344" t="s">
        <v>614</v>
      </c>
      <c r="C1344" t="s">
        <v>170</v>
      </c>
      <c r="D1344" t="s">
        <v>158</v>
      </c>
      <c r="E1344" s="34">
        <v>1000000</v>
      </c>
      <c r="F1344" s="29">
        <v>0.14729999999999999</v>
      </c>
      <c r="G1344" s="30">
        <v>44914</v>
      </c>
      <c r="H1344">
        <v>12</v>
      </c>
      <c r="I1344">
        <v>10</v>
      </c>
      <c r="J1344" s="34">
        <v>980000</v>
      </c>
      <c r="K1344" t="s">
        <v>171</v>
      </c>
      <c r="L1344" s="34">
        <f>PMT(Loans[[#This Row],[InterestRate]]/12,Loans[[#This Row],[LoanTenureMonths]],-Loans[[#This Row],[LoanAmount]])</f>
        <v>90130.956561576662</v>
      </c>
      <c r="M1344" s="30">
        <f>EDATE(Loans[[#This Row],[LoanStartDate]],Loans[[#This Row],[LoanTenureMonths]])</f>
        <v>45279</v>
      </c>
      <c r="N1344" s="33">
        <f>IF(Loans[[#This Row],[LoanAmount]]=0,0,Loans[[#This Row],[CollateralValue]]/Loans[[#This Row],[LoanAmount]])</f>
        <v>0.98</v>
      </c>
      <c r="O1344" t="str">
        <f>IF(Loans[[#This Row],[CollateralCoverageRatio]]&lt;1,"Undersecured","Secured")</f>
        <v>Undersecured</v>
      </c>
      <c r="P1344" t="str">
        <f>_xlfn.XLOOKUP(Loans[[#This Row],[BranchCode]],BranchesTbl[BranchCode],BranchesTbl[BranchName])</f>
        <v>Thika</v>
      </c>
      <c r="Q1344">
        <f>_xlfn.XLOOKUP(Loans[[#This Row],[CustomerID]],CustomerTbl[CustomerID],CustomerTbl[RiskScore])</f>
        <v>834</v>
      </c>
      <c r="R1344" t="str">
        <f>IFERROR(INDEX(RiskTbl[Risk_Category],MATCH(Loans[[#This Row],[RiskScore]],RiskTbl[Score_Min],1)),"Unknown")</f>
        <v>Prime</v>
      </c>
      <c r="S1344" t="str">
        <f>IF(OR(Loans[[#This Row],[LoanStatus]]="Default",Loans[[#This Row],[LoanStatus]]="Watchlist",Loans[[#This Row],[CollateralRisk]]="Undersecured",Loans[[#This Row],[RiskCategory]]="High Risk"),"High Risk Exposure","Normal")</f>
        <v>High Risk Exposure</v>
      </c>
      <c r="T1344" t="str" cm="1">
        <f t="array" ref="T1344">_xlfn.IFS(
Loans[[#This Row],[LoanStatus]]="Default","Critical",
OR(Loans[[#This Row],[LoanStatus]]="Watchlist",Loans[[#This Row],[CollateralRisk]]="Undersecured",Loans[[#This Row],[RiskCategory]]="High Risk"),"High",
TRUE,"Normal"
)</f>
        <v>High</v>
      </c>
    </row>
    <row r="1345" spans="1:20" x14ac:dyDescent="0.35">
      <c r="A1345" t="s">
        <v>2127</v>
      </c>
      <c r="B1345" t="s">
        <v>627</v>
      </c>
      <c r="C1345" t="s">
        <v>170</v>
      </c>
      <c r="D1345" t="s">
        <v>157</v>
      </c>
      <c r="E1345" s="34">
        <v>25000000</v>
      </c>
      <c r="F1345" s="29">
        <v>0.1232</v>
      </c>
      <c r="G1345" s="30">
        <v>43962</v>
      </c>
      <c r="H1345">
        <v>24</v>
      </c>
      <c r="I1345">
        <v>0</v>
      </c>
      <c r="J1345" s="34">
        <v>26000000</v>
      </c>
      <c r="K1345" t="s">
        <v>171</v>
      </c>
      <c r="L1345" s="34">
        <f>PMT(Loans[[#This Row],[InterestRate]]/12,Loans[[#This Row],[LoanTenureMonths]],-Loans[[#This Row],[LoanAmount]])</f>
        <v>1180576.2271744283</v>
      </c>
      <c r="M1345" s="30">
        <f>EDATE(Loans[[#This Row],[LoanStartDate]],Loans[[#This Row],[LoanTenureMonths]])</f>
        <v>44692</v>
      </c>
      <c r="N1345" s="33">
        <f>IF(Loans[[#This Row],[LoanAmount]]=0,0,Loans[[#This Row],[CollateralValue]]/Loans[[#This Row],[LoanAmount]])</f>
        <v>1.04</v>
      </c>
      <c r="O1345" t="str">
        <f>IF(Loans[[#This Row],[CollateralCoverageRatio]]&lt;1,"Undersecured","Secured")</f>
        <v>Secured</v>
      </c>
      <c r="P1345" t="str">
        <f>_xlfn.XLOOKUP(Loans[[#This Row],[BranchCode]],BranchesTbl[BranchCode],BranchesTbl[BranchName])</f>
        <v>Thika</v>
      </c>
      <c r="Q1345">
        <f>_xlfn.XLOOKUP(Loans[[#This Row],[CustomerID]],CustomerTbl[CustomerID],CustomerTbl[RiskScore])</f>
        <v>659</v>
      </c>
      <c r="R1345" t="str">
        <f>IFERROR(INDEX(RiskTbl[Risk_Category],MATCH(Loans[[#This Row],[RiskScore]],RiskTbl[Score_Min],1)),"Unknown")</f>
        <v>Medium Risk</v>
      </c>
      <c r="S1345" t="str">
        <f>IF(OR(Loans[[#This Row],[LoanStatus]]="Default",Loans[[#This Row],[LoanStatus]]="Watchlist",Loans[[#This Row],[CollateralRisk]]="Undersecured",Loans[[#This Row],[RiskCategory]]="High Risk"),"High Risk Exposure","Normal")</f>
        <v>Normal</v>
      </c>
      <c r="T1345" t="str" cm="1">
        <f t="array" ref="T1345">_xlfn.IFS(
Loans[[#This Row],[LoanStatus]]="Default","Critical",
OR(Loans[[#This Row],[LoanStatus]]="Watchlist",Loans[[#This Row],[CollateralRisk]]="Undersecured",Loans[[#This Row],[RiskCategory]]="High Risk"),"High",
TRUE,"Normal"
)</f>
        <v>Normal</v>
      </c>
    </row>
    <row r="1346" spans="1:20" x14ac:dyDescent="0.35">
      <c r="A1346" t="s">
        <v>2128</v>
      </c>
      <c r="B1346" t="s">
        <v>2049</v>
      </c>
      <c r="C1346" t="s">
        <v>187</v>
      </c>
      <c r="D1346" t="s">
        <v>158</v>
      </c>
      <c r="E1346" s="34">
        <v>3000000</v>
      </c>
      <c r="F1346" s="29">
        <v>0.1492</v>
      </c>
      <c r="G1346" s="30">
        <v>44017</v>
      </c>
      <c r="H1346">
        <v>48</v>
      </c>
      <c r="I1346">
        <v>10</v>
      </c>
      <c r="J1346" s="34">
        <v>2100000</v>
      </c>
      <c r="K1346" t="s">
        <v>171</v>
      </c>
      <c r="L1346" s="34">
        <f>PMT(Loans[[#This Row],[InterestRate]]/12,Loans[[#This Row],[LoanTenureMonths]],-Loans[[#This Row],[LoanAmount]])</f>
        <v>83370.637550299667</v>
      </c>
      <c r="M1346" s="30">
        <f>EDATE(Loans[[#This Row],[LoanStartDate]],Loans[[#This Row],[LoanTenureMonths]])</f>
        <v>45478</v>
      </c>
      <c r="N1346" s="33">
        <f>IF(Loans[[#This Row],[LoanAmount]]=0,0,Loans[[#This Row],[CollateralValue]]/Loans[[#This Row],[LoanAmount]])</f>
        <v>0.7</v>
      </c>
      <c r="O1346" t="str">
        <f>IF(Loans[[#This Row],[CollateralCoverageRatio]]&lt;1,"Undersecured","Secured")</f>
        <v>Undersecured</v>
      </c>
      <c r="P1346" t="str">
        <f>_xlfn.XLOOKUP(Loans[[#This Row],[BranchCode]],BranchesTbl[BranchCode],BranchesTbl[BranchName])</f>
        <v>Eldoret</v>
      </c>
      <c r="Q1346">
        <f>_xlfn.XLOOKUP(Loans[[#This Row],[CustomerID]],CustomerTbl[CustomerID],CustomerTbl[RiskScore])</f>
        <v>415</v>
      </c>
      <c r="R1346" t="str">
        <f>IFERROR(INDEX(RiskTbl[Risk_Category],MATCH(Loans[[#This Row],[RiskScore]],RiskTbl[Score_Min],1)),"Unknown")</f>
        <v>High Risk</v>
      </c>
      <c r="S1346" t="str">
        <f>IF(OR(Loans[[#This Row],[LoanStatus]]="Default",Loans[[#This Row],[LoanStatus]]="Watchlist",Loans[[#This Row],[CollateralRisk]]="Undersecured",Loans[[#This Row],[RiskCategory]]="High Risk"),"High Risk Exposure","Normal")</f>
        <v>High Risk Exposure</v>
      </c>
      <c r="T1346" t="str" cm="1">
        <f t="array" ref="T1346">_xlfn.IFS(
Loans[[#This Row],[LoanStatus]]="Default","Critical",
OR(Loans[[#This Row],[LoanStatus]]="Watchlist",Loans[[#This Row],[CollateralRisk]]="Undersecured",Loans[[#This Row],[RiskCategory]]="High Risk"),"High",
TRUE,"Normal"
)</f>
        <v>High</v>
      </c>
    </row>
    <row r="1347" spans="1:20" x14ac:dyDescent="0.35">
      <c r="A1347" t="s">
        <v>2129</v>
      </c>
      <c r="B1347" t="s">
        <v>1218</v>
      </c>
      <c r="C1347" t="s">
        <v>239</v>
      </c>
      <c r="D1347" t="s">
        <v>158</v>
      </c>
      <c r="E1347" s="34">
        <v>500000</v>
      </c>
      <c r="F1347" s="29">
        <v>0.13980000000000001</v>
      </c>
      <c r="G1347" s="30">
        <v>44866</v>
      </c>
      <c r="H1347">
        <v>36</v>
      </c>
      <c r="I1347">
        <v>0</v>
      </c>
      <c r="J1347" s="34">
        <v>280000</v>
      </c>
      <c r="K1347" t="s">
        <v>171</v>
      </c>
      <c r="L1347" s="34">
        <f>PMT(Loans[[#This Row],[InterestRate]]/12,Loans[[#This Row],[LoanTenureMonths]],-Loans[[#This Row],[LoanAmount]])</f>
        <v>17083.958373804006</v>
      </c>
      <c r="M1347" s="30">
        <f>EDATE(Loans[[#This Row],[LoanStartDate]],Loans[[#This Row],[LoanTenureMonths]])</f>
        <v>45962</v>
      </c>
      <c r="N1347" s="33">
        <f>IF(Loans[[#This Row],[LoanAmount]]=0,0,Loans[[#This Row],[CollateralValue]]/Loans[[#This Row],[LoanAmount]])</f>
        <v>0.56000000000000005</v>
      </c>
      <c r="O1347" t="str">
        <f>IF(Loans[[#This Row],[CollateralCoverageRatio]]&lt;1,"Undersecured","Secured")</f>
        <v>Undersecured</v>
      </c>
      <c r="P1347" t="str">
        <f>_xlfn.XLOOKUP(Loans[[#This Row],[BranchCode]],BranchesTbl[BranchCode],BranchesTbl[BranchName])</f>
        <v>Machakos</v>
      </c>
      <c r="Q1347">
        <f>_xlfn.XLOOKUP(Loans[[#This Row],[CustomerID]],CustomerTbl[CustomerID],CustomerTbl[RiskScore])</f>
        <v>776</v>
      </c>
      <c r="R1347" t="str">
        <f>IFERROR(INDEX(RiskTbl[Risk_Category],MATCH(Loans[[#This Row],[RiskScore]],RiskTbl[Score_Min],1)),"Unknown")</f>
        <v>Very Low Risk</v>
      </c>
      <c r="S1347" t="str">
        <f>IF(OR(Loans[[#This Row],[LoanStatus]]="Default",Loans[[#This Row],[LoanStatus]]="Watchlist",Loans[[#This Row],[CollateralRisk]]="Undersecured",Loans[[#This Row],[RiskCategory]]="High Risk"),"High Risk Exposure","Normal")</f>
        <v>High Risk Exposure</v>
      </c>
      <c r="T1347" t="str" cm="1">
        <f t="array" ref="T1347">_xlfn.IFS(
Loans[[#This Row],[LoanStatus]]="Default","Critical",
OR(Loans[[#This Row],[LoanStatus]]="Watchlist",Loans[[#This Row],[CollateralRisk]]="Undersecured",Loans[[#This Row],[RiskCategory]]="High Risk"),"High",
TRUE,"Normal"
)</f>
        <v>High</v>
      </c>
    </row>
    <row r="1348" spans="1:20" x14ac:dyDescent="0.35">
      <c r="A1348" t="s">
        <v>2130</v>
      </c>
      <c r="B1348" t="s">
        <v>2131</v>
      </c>
      <c r="C1348" t="s">
        <v>193</v>
      </c>
      <c r="D1348" t="s">
        <v>155</v>
      </c>
      <c r="E1348" s="34">
        <v>100000</v>
      </c>
      <c r="F1348" s="29">
        <v>0.25519999999999998</v>
      </c>
      <c r="G1348" s="30">
        <v>45189</v>
      </c>
      <c r="H1348">
        <v>48</v>
      </c>
      <c r="I1348">
        <v>120</v>
      </c>
      <c r="J1348" s="34">
        <v>0</v>
      </c>
      <c r="K1348" t="s">
        <v>178</v>
      </c>
      <c r="L1348" s="34">
        <f>PMT(Loans[[#This Row],[InterestRate]]/12,Loans[[#This Row],[LoanTenureMonths]],-Loans[[#This Row],[LoanAmount]])</f>
        <v>3344.781408856938</v>
      </c>
      <c r="M1348" s="30">
        <f>EDATE(Loans[[#This Row],[LoanStartDate]],Loans[[#This Row],[LoanTenureMonths]])</f>
        <v>46650</v>
      </c>
      <c r="N1348" s="33">
        <f>IF(Loans[[#This Row],[LoanAmount]]=0,0,Loans[[#This Row],[CollateralValue]]/Loans[[#This Row],[LoanAmount]])</f>
        <v>0</v>
      </c>
      <c r="O1348" t="str">
        <f>IF(Loans[[#This Row],[CollateralCoverageRatio]]&lt;1,"Undersecured","Secured")</f>
        <v>Undersecured</v>
      </c>
      <c r="P1348" t="str">
        <f>_xlfn.XLOOKUP(Loans[[#This Row],[BranchCode]],BranchesTbl[BranchCode],BranchesTbl[BranchName])</f>
        <v>Mombasa</v>
      </c>
      <c r="Q1348">
        <f>_xlfn.XLOOKUP(Loans[[#This Row],[CustomerID]],CustomerTbl[CustomerID],CustomerTbl[RiskScore])</f>
        <v>463</v>
      </c>
      <c r="R1348" t="str">
        <f>IFERROR(INDEX(RiskTbl[Risk_Category],MATCH(Loans[[#This Row],[RiskScore]],RiskTbl[Score_Min],1)),"Unknown")</f>
        <v>High Risk</v>
      </c>
      <c r="S1348" t="str">
        <f>IF(OR(Loans[[#This Row],[LoanStatus]]="Default",Loans[[#This Row],[LoanStatus]]="Watchlist",Loans[[#This Row],[CollateralRisk]]="Undersecured",Loans[[#This Row],[RiskCategory]]="High Risk"),"High Risk Exposure","Normal")</f>
        <v>High Risk Exposure</v>
      </c>
      <c r="T1348" t="str" cm="1">
        <f t="array" ref="T1348">_xlfn.IFS(
Loans[[#This Row],[LoanStatus]]="Default","Critical",
OR(Loans[[#This Row],[LoanStatus]]="Watchlist",Loans[[#This Row],[CollateralRisk]]="Undersecured",Loans[[#This Row],[RiskCategory]]="High Risk"),"High",
TRUE,"Normal"
)</f>
        <v>Critical</v>
      </c>
    </row>
    <row r="1349" spans="1:20" x14ac:dyDescent="0.35">
      <c r="A1349" t="s">
        <v>2132</v>
      </c>
      <c r="B1349" t="s">
        <v>551</v>
      </c>
      <c r="C1349" t="s">
        <v>177</v>
      </c>
      <c r="D1349" t="s">
        <v>157</v>
      </c>
      <c r="E1349" s="34">
        <v>80000000</v>
      </c>
      <c r="F1349" s="29">
        <v>0.1226</v>
      </c>
      <c r="G1349" s="30">
        <v>45919</v>
      </c>
      <c r="H1349">
        <v>12</v>
      </c>
      <c r="I1349">
        <v>90</v>
      </c>
      <c r="J1349" s="34">
        <v>64000000</v>
      </c>
      <c r="K1349" t="s">
        <v>199</v>
      </c>
      <c r="L1349" s="34">
        <f>PMT(Loans[[#This Row],[InterestRate]]/12,Loans[[#This Row],[LoanTenureMonths]],-Loans[[#This Row],[LoanAmount]])</f>
        <v>7117637.1885069162</v>
      </c>
      <c r="M1349" s="30">
        <f>EDATE(Loans[[#This Row],[LoanStartDate]],Loans[[#This Row],[LoanTenureMonths]])</f>
        <v>46284</v>
      </c>
      <c r="N1349" s="33">
        <f>IF(Loans[[#This Row],[LoanAmount]]=0,0,Loans[[#This Row],[CollateralValue]]/Loans[[#This Row],[LoanAmount]])</f>
        <v>0.8</v>
      </c>
      <c r="O1349" t="str">
        <f>IF(Loans[[#This Row],[CollateralCoverageRatio]]&lt;1,"Undersecured","Secured")</f>
        <v>Undersecured</v>
      </c>
      <c r="P1349" t="str">
        <f>_xlfn.XLOOKUP(Loans[[#This Row],[BranchCode]],BranchesTbl[BranchCode],BranchesTbl[BranchName])</f>
        <v>Naivasha</v>
      </c>
      <c r="Q1349">
        <f>_xlfn.XLOOKUP(Loans[[#This Row],[CustomerID]],CustomerTbl[CustomerID],CustomerTbl[RiskScore])</f>
        <v>724</v>
      </c>
      <c r="R1349" t="str">
        <f>IFERROR(INDEX(RiskTbl[Risk_Category],MATCH(Loans[[#This Row],[RiskScore]],RiskTbl[Score_Min],1)),"Unknown")</f>
        <v>Low Risk</v>
      </c>
      <c r="S1349" t="str">
        <f>IF(OR(Loans[[#This Row],[LoanStatus]]="Default",Loans[[#This Row],[LoanStatus]]="Watchlist",Loans[[#This Row],[CollateralRisk]]="Undersecured",Loans[[#This Row],[RiskCategory]]="High Risk"),"High Risk Exposure","Normal")</f>
        <v>High Risk Exposure</v>
      </c>
      <c r="T1349" t="str" cm="1">
        <f t="array" ref="T1349">_xlfn.IFS(
Loans[[#This Row],[LoanStatus]]="Default","Critical",
OR(Loans[[#This Row],[LoanStatus]]="Watchlist",Loans[[#This Row],[CollateralRisk]]="Undersecured",Loans[[#This Row],[RiskCategory]]="High Risk"),"High",
TRUE,"Normal"
)</f>
        <v>High</v>
      </c>
    </row>
    <row r="1350" spans="1:20" x14ac:dyDescent="0.35">
      <c r="A1350" t="s">
        <v>2133</v>
      </c>
      <c r="B1350" t="s">
        <v>1009</v>
      </c>
      <c r="C1350" t="s">
        <v>181</v>
      </c>
      <c r="D1350" t="s">
        <v>158</v>
      </c>
      <c r="E1350" s="34">
        <v>500000</v>
      </c>
      <c r="F1350" s="29">
        <v>0.14050000000000001</v>
      </c>
      <c r="G1350" s="30">
        <v>44970</v>
      </c>
      <c r="H1350">
        <v>60</v>
      </c>
      <c r="I1350">
        <v>90</v>
      </c>
      <c r="J1350" s="34">
        <v>640000</v>
      </c>
      <c r="K1350" t="s">
        <v>199</v>
      </c>
      <c r="L1350" s="34">
        <f>PMT(Loans[[#This Row],[InterestRate]]/12,Loans[[#This Row],[LoanTenureMonths]],-Loans[[#This Row],[LoanAmount]])</f>
        <v>11647.09041880796</v>
      </c>
      <c r="M1350" s="30">
        <f>EDATE(Loans[[#This Row],[LoanStartDate]],Loans[[#This Row],[LoanTenureMonths]])</f>
        <v>46796</v>
      </c>
      <c r="N1350" s="33">
        <f>IF(Loans[[#This Row],[LoanAmount]]=0,0,Loans[[#This Row],[CollateralValue]]/Loans[[#This Row],[LoanAmount]])</f>
        <v>1.28</v>
      </c>
      <c r="O1350" t="str">
        <f>IF(Loans[[#This Row],[CollateralCoverageRatio]]&lt;1,"Undersecured","Secured")</f>
        <v>Secured</v>
      </c>
      <c r="P1350" t="str">
        <f>_xlfn.XLOOKUP(Loans[[#This Row],[BranchCode]],BranchesTbl[BranchCode],BranchesTbl[BranchName])</f>
        <v>Kitale</v>
      </c>
      <c r="Q1350">
        <f>_xlfn.XLOOKUP(Loans[[#This Row],[CustomerID]],CustomerTbl[CustomerID],CustomerTbl[RiskScore])</f>
        <v>755</v>
      </c>
      <c r="R1350" t="str">
        <f>IFERROR(INDEX(RiskTbl[Risk_Category],MATCH(Loans[[#This Row],[RiskScore]],RiskTbl[Score_Min],1)),"Unknown")</f>
        <v>Very Low Risk</v>
      </c>
      <c r="S1350" t="str">
        <f>IF(OR(Loans[[#This Row],[LoanStatus]]="Default",Loans[[#This Row],[LoanStatus]]="Watchlist",Loans[[#This Row],[CollateralRisk]]="Undersecured",Loans[[#This Row],[RiskCategory]]="High Risk"),"High Risk Exposure","Normal")</f>
        <v>High Risk Exposure</v>
      </c>
      <c r="T1350" t="str" cm="1">
        <f t="array" ref="T1350">_xlfn.IFS(
Loans[[#This Row],[LoanStatus]]="Default","Critical",
OR(Loans[[#This Row],[LoanStatus]]="Watchlist",Loans[[#This Row],[CollateralRisk]]="Undersecured",Loans[[#This Row],[RiskCategory]]="High Risk"),"High",
TRUE,"Normal"
)</f>
        <v>High</v>
      </c>
    </row>
    <row r="1351" spans="1:20" x14ac:dyDescent="0.35">
      <c r="A1351" t="s">
        <v>2134</v>
      </c>
      <c r="B1351" t="s">
        <v>1460</v>
      </c>
      <c r="C1351" t="s">
        <v>174</v>
      </c>
      <c r="D1351" t="s">
        <v>158</v>
      </c>
      <c r="E1351" s="34">
        <v>500000</v>
      </c>
      <c r="F1351" s="29">
        <v>0.1956</v>
      </c>
      <c r="G1351" s="30">
        <v>44156</v>
      </c>
      <c r="H1351">
        <v>36</v>
      </c>
      <c r="I1351">
        <v>0</v>
      </c>
      <c r="J1351" s="34">
        <v>585000</v>
      </c>
      <c r="K1351" t="s">
        <v>171</v>
      </c>
      <c r="L1351" s="34">
        <f>PMT(Loans[[#This Row],[InterestRate]]/12,Loans[[#This Row],[LoanTenureMonths]],-Loans[[#This Row],[LoanAmount]])</f>
        <v>18469.885689491039</v>
      </c>
      <c r="M1351" s="30">
        <f>EDATE(Loans[[#This Row],[LoanStartDate]],Loans[[#This Row],[LoanTenureMonths]])</f>
        <v>45251</v>
      </c>
      <c r="N1351" s="33">
        <f>IF(Loans[[#This Row],[LoanAmount]]=0,0,Loans[[#This Row],[CollateralValue]]/Loans[[#This Row],[LoanAmount]])</f>
        <v>1.17</v>
      </c>
      <c r="O1351" t="str">
        <f>IF(Loans[[#This Row],[CollateralCoverageRatio]]&lt;1,"Undersecured","Secured")</f>
        <v>Secured</v>
      </c>
      <c r="P1351" t="str">
        <f>_xlfn.XLOOKUP(Loans[[#This Row],[BranchCode]],BranchesTbl[BranchCode],BranchesTbl[BranchName])</f>
        <v>Westlands</v>
      </c>
      <c r="Q1351">
        <f>_xlfn.XLOOKUP(Loans[[#This Row],[CustomerID]],CustomerTbl[CustomerID],CustomerTbl[RiskScore])</f>
        <v>537</v>
      </c>
      <c r="R1351" t="str">
        <f>IFERROR(INDEX(RiskTbl[Risk_Category],MATCH(Loans[[#This Row],[RiskScore]],RiskTbl[Score_Min],1)),"Unknown")</f>
        <v>High Risk</v>
      </c>
      <c r="S1351" t="str">
        <f>IF(OR(Loans[[#This Row],[LoanStatus]]="Default",Loans[[#This Row],[LoanStatus]]="Watchlist",Loans[[#This Row],[CollateralRisk]]="Undersecured",Loans[[#This Row],[RiskCategory]]="High Risk"),"High Risk Exposure","Normal")</f>
        <v>High Risk Exposure</v>
      </c>
      <c r="T1351" t="str" cm="1">
        <f t="array" ref="T1351">_xlfn.IFS(
Loans[[#This Row],[LoanStatus]]="Default","Critical",
OR(Loans[[#This Row],[LoanStatus]]="Watchlist",Loans[[#This Row],[CollateralRisk]]="Undersecured",Loans[[#This Row],[RiskCategory]]="High Risk"),"High",
TRUE,"Normal"
)</f>
        <v>High</v>
      </c>
    </row>
    <row r="1352" spans="1:20" x14ac:dyDescent="0.35">
      <c r="A1352" t="s">
        <v>2135</v>
      </c>
      <c r="B1352" t="s">
        <v>1840</v>
      </c>
      <c r="C1352" t="s">
        <v>181</v>
      </c>
      <c r="D1352" t="s">
        <v>158</v>
      </c>
      <c r="E1352" s="34">
        <v>6000000</v>
      </c>
      <c r="F1352" s="29">
        <v>0.1802</v>
      </c>
      <c r="G1352" s="30">
        <v>44394</v>
      </c>
      <c r="H1352">
        <v>12</v>
      </c>
      <c r="I1352">
        <v>20</v>
      </c>
      <c r="J1352" s="34">
        <v>7260000</v>
      </c>
      <c r="K1352" t="s">
        <v>171</v>
      </c>
      <c r="L1352" s="34">
        <f>PMT(Loans[[#This Row],[InterestRate]]/12,Loans[[#This Row],[LoanTenureMonths]],-Loans[[#This Row],[LoanAmount]])</f>
        <v>550137.06866212084</v>
      </c>
      <c r="M1352" s="30">
        <f>EDATE(Loans[[#This Row],[LoanStartDate]],Loans[[#This Row],[LoanTenureMonths]])</f>
        <v>44759</v>
      </c>
      <c r="N1352" s="33">
        <f>IF(Loans[[#This Row],[LoanAmount]]=0,0,Loans[[#This Row],[CollateralValue]]/Loans[[#This Row],[LoanAmount]])</f>
        <v>1.21</v>
      </c>
      <c r="O1352" t="str">
        <f>IF(Loans[[#This Row],[CollateralCoverageRatio]]&lt;1,"Undersecured","Secured")</f>
        <v>Secured</v>
      </c>
      <c r="P1352" t="str">
        <f>_xlfn.XLOOKUP(Loans[[#This Row],[BranchCode]],BranchesTbl[BranchCode],BranchesTbl[BranchName])</f>
        <v>Kitale</v>
      </c>
      <c r="Q1352">
        <f>_xlfn.XLOOKUP(Loans[[#This Row],[CustomerID]],CustomerTbl[CustomerID],CustomerTbl[RiskScore])</f>
        <v>724</v>
      </c>
      <c r="R1352" t="str">
        <f>IFERROR(INDEX(RiskTbl[Risk_Category],MATCH(Loans[[#This Row],[RiskScore]],RiskTbl[Score_Min],1)),"Unknown")</f>
        <v>Low Risk</v>
      </c>
      <c r="S1352" t="str">
        <f>IF(OR(Loans[[#This Row],[LoanStatus]]="Default",Loans[[#This Row],[LoanStatus]]="Watchlist",Loans[[#This Row],[CollateralRisk]]="Undersecured",Loans[[#This Row],[RiskCategory]]="High Risk"),"High Risk Exposure","Normal")</f>
        <v>Normal</v>
      </c>
      <c r="T1352" t="str" cm="1">
        <f t="array" ref="T1352">_xlfn.IFS(
Loans[[#This Row],[LoanStatus]]="Default","Critical",
OR(Loans[[#This Row],[LoanStatus]]="Watchlist",Loans[[#This Row],[CollateralRisk]]="Undersecured",Loans[[#This Row],[RiskCategory]]="High Risk"),"High",
TRUE,"Normal"
)</f>
        <v>Normal</v>
      </c>
    </row>
    <row r="1353" spans="1:20" x14ac:dyDescent="0.35">
      <c r="A1353" t="s">
        <v>2136</v>
      </c>
      <c r="B1353" t="s">
        <v>912</v>
      </c>
      <c r="C1353" t="s">
        <v>177</v>
      </c>
      <c r="D1353" t="s">
        <v>156</v>
      </c>
      <c r="E1353" s="34">
        <v>6000000</v>
      </c>
      <c r="F1353" s="29">
        <v>0.2261</v>
      </c>
      <c r="G1353" s="30">
        <v>45109</v>
      </c>
      <c r="H1353">
        <v>60</v>
      </c>
      <c r="I1353">
        <v>5</v>
      </c>
      <c r="J1353" s="34">
        <v>5880000</v>
      </c>
      <c r="K1353" t="s">
        <v>171</v>
      </c>
      <c r="L1353" s="34">
        <f>PMT(Loans[[#This Row],[InterestRate]]/12,Loans[[#This Row],[LoanTenureMonths]],-Loans[[#This Row],[LoanAmount]])</f>
        <v>167801.11829401797</v>
      </c>
      <c r="M1353" s="30">
        <f>EDATE(Loans[[#This Row],[LoanStartDate]],Loans[[#This Row],[LoanTenureMonths]])</f>
        <v>46936</v>
      </c>
      <c r="N1353" s="33">
        <f>IF(Loans[[#This Row],[LoanAmount]]=0,0,Loans[[#This Row],[CollateralValue]]/Loans[[#This Row],[LoanAmount]])</f>
        <v>0.98</v>
      </c>
      <c r="O1353" t="str">
        <f>IF(Loans[[#This Row],[CollateralCoverageRatio]]&lt;1,"Undersecured","Secured")</f>
        <v>Undersecured</v>
      </c>
      <c r="P1353" t="str">
        <f>_xlfn.XLOOKUP(Loans[[#This Row],[BranchCode]],BranchesTbl[BranchCode],BranchesTbl[BranchName])</f>
        <v>Naivasha</v>
      </c>
      <c r="Q1353">
        <f>_xlfn.XLOOKUP(Loans[[#This Row],[CustomerID]],CustomerTbl[CustomerID],CustomerTbl[RiskScore])</f>
        <v>698</v>
      </c>
      <c r="R1353" t="str">
        <f>IFERROR(INDEX(RiskTbl[Risk_Category],MATCH(Loans[[#This Row],[RiskScore]],RiskTbl[Score_Min],1)),"Unknown")</f>
        <v>Low Risk</v>
      </c>
      <c r="S1353" t="str">
        <f>IF(OR(Loans[[#This Row],[LoanStatus]]="Default",Loans[[#This Row],[LoanStatus]]="Watchlist",Loans[[#This Row],[CollateralRisk]]="Undersecured",Loans[[#This Row],[RiskCategory]]="High Risk"),"High Risk Exposure","Normal")</f>
        <v>High Risk Exposure</v>
      </c>
      <c r="T1353" t="str" cm="1">
        <f t="array" ref="T1353">_xlfn.IFS(
Loans[[#This Row],[LoanStatus]]="Default","Critical",
OR(Loans[[#This Row],[LoanStatus]]="Watchlist",Loans[[#This Row],[CollateralRisk]]="Undersecured",Loans[[#This Row],[RiskCategory]]="High Risk"),"High",
TRUE,"Normal"
)</f>
        <v>High</v>
      </c>
    </row>
    <row r="1354" spans="1:20" x14ac:dyDescent="0.35">
      <c r="A1354" t="s">
        <v>2137</v>
      </c>
      <c r="B1354" t="s">
        <v>1127</v>
      </c>
      <c r="C1354" t="s">
        <v>184</v>
      </c>
      <c r="D1354" t="s">
        <v>155</v>
      </c>
      <c r="E1354" s="34">
        <v>250000</v>
      </c>
      <c r="F1354" s="29">
        <v>0.25559999999999999</v>
      </c>
      <c r="G1354" s="30">
        <v>45773</v>
      </c>
      <c r="H1354">
        <v>12</v>
      </c>
      <c r="I1354">
        <v>0</v>
      </c>
      <c r="J1354" s="34">
        <v>0</v>
      </c>
      <c r="K1354" t="s">
        <v>171</v>
      </c>
      <c r="L1354" s="34">
        <f>PMT(Loans[[#This Row],[InterestRate]]/12,Loans[[#This Row],[LoanTenureMonths]],-Loans[[#This Row],[LoanAmount]])</f>
        <v>23829.040919130221</v>
      </c>
      <c r="M1354" s="30">
        <f>EDATE(Loans[[#This Row],[LoanStartDate]],Loans[[#This Row],[LoanTenureMonths]])</f>
        <v>46138</v>
      </c>
      <c r="N1354" s="33">
        <f>IF(Loans[[#This Row],[LoanAmount]]=0,0,Loans[[#This Row],[CollateralValue]]/Loans[[#This Row],[LoanAmount]])</f>
        <v>0</v>
      </c>
      <c r="O1354" t="str">
        <f>IF(Loans[[#This Row],[CollateralCoverageRatio]]&lt;1,"Undersecured","Secured")</f>
        <v>Undersecured</v>
      </c>
      <c r="P1354" t="str">
        <f>_xlfn.XLOOKUP(Loans[[#This Row],[BranchCode]],BranchesTbl[BranchCode],BranchesTbl[BranchName])</f>
        <v>Kisumu</v>
      </c>
      <c r="Q1354">
        <f>_xlfn.XLOOKUP(Loans[[#This Row],[CustomerID]],CustomerTbl[CustomerID],CustomerTbl[RiskScore])</f>
        <v>466</v>
      </c>
      <c r="R1354" t="str">
        <f>IFERROR(INDEX(RiskTbl[Risk_Category],MATCH(Loans[[#This Row],[RiskScore]],RiskTbl[Score_Min],1)),"Unknown")</f>
        <v>High Risk</v>
      </c>
      <c r="S1354" t="str">
        <f>IF(OR(Loans[[#This Row],[LoanStatus]]="Default",Loans[[#This Row],[LoanStatus]]="Watchlist",Loans[[#This Row],[CollateralRisk]]="Undersecured",Loans[[#This Row],[RiskCategory]]="High Risk"),"High Risk Exposure","Normal")</f>
        <v>High Risk Exposure</v>
      </c>
      <c r="T1354" t="str" cm="1">
        <f t="array" ref="T1354">_xlfn.IFS(
Loans[[#This Row],[LoanStatus]]="Default","Critical",
OR(Loans[[#This Row],[LoanStatus]]="Watchlist",Loans[[#This Row],[CollateralRisk]]="Undersecured",Loans[[#This Row],[RiskCategory]]="High Risk"),"High",
TRUE,"Normal"
)</f>
        <v>High</v>
      </c>
    </row>
    <row r="1355" spans="1:20" x14ac:dyDescent="0.35">
      <c r="A1355" t="s">
        <v>2138</v>
      </c>
      <c r="B1355" t="s">
        <v>1392</v>
      </c>
      <c r="C1355" t="s">
        <v>181</v>
      </c>
      <c r="D1355" t="s">
        <v>157</v>
      </c>
      <c r="E1355" s="34">
        <v>25000000</v>
      </c>
      <c r="F1355" s="29">
        <v>0.12770000000000001</v>
      </c>
      <c r="G1355" s="30">
        <v>45598</v>
      </c>
      <c r="H1355">
        <v>48</v>
      </c>
      <c r="I1355">
        <v>0</v>
      </c>
      <c r="J1355" s="34">
        <v>34750000</v>
      </c>
      <c r="K1355" t="s">
        <v>171</v>
      </c>
      <c r="L1355" s="34">
        <f>PMT(Loans[[#This Row],[InterestRate]]/12,Loans[[#This Row],[LoanTenureMonths]],-Loans[[#This Row],[LoanAmount]])</f>
        <v>667837.04667288368</v>
      </c>
      <c r="M1355" s="30">
        <f>EDATE(Loans[[#This Row],[LoanStartDate]],Loans[[#This Row],[LoanTenureMonths]])</f>
        <v>47059</v>
      </c>
      <c r="N1355" s="33">
        <f>IF(Loans[[#This Row],[LoanAmount]]=0,0,Loans[[#This Row],[CollateralValue]]/Loans[[#This Row],[LoanAmount]])</f>
        <v>1.39</v>
      </c>
      <c r="O1355" t="str">
        <f>IF(Loans[[#This Row],[CollateralCoverageRatio]]&lt;1,"Undersecured","Secured")</f>
        <v>Secured</v>
      </c>
      <c r="P1355" t="str">
        <f>_xlfn.XLOOKUP(Loans[[#This Row],[BranchCode]],BranchesTbl[BranchCode],BranchesTbl[BranchName])</f>
        <v>Kitale</v>
      </c>
      <c r="Q1355">
        <f>_xlfn.XLOOKUP(Loans[[#This Row],[CustomerID]],CustomerTbl[CustomerID],CustomerTbl[RiskScore])</f>
        <v>625</v>
      </c>
      <c r="R1355" t="str">
        <f>IFERROR(INDEX(RiskTbl[Risk_Category],MATCH(Loans[[#This Row],[RiskScore]],RiskTbl[Score_Min],1)),"Unknown")</f>
        <v>Medium Risk</v>
      </c>
      <c r="S1355" t="str">
        <f>IF(OR(Loans[[#This Row],[LoanStatus]]="Default",Loans[[#This Row],[LoanStatus]]="Watchlist",Loans[[#This Row],[CollateralRisk]]="Undersecured",Loans[[#This Row],[RiskCategory]]="High Risk"),"High Risk Exposure","Normal")</f>
        <v>Normal</v>
      </c>
      <c r="T1355" t="str" cm="1">
        <f t="array" ref="T1355">_xlfn.IFS(
Loans[[#This Row],[LoanStatus]]="Default","Critical",
OR(Loans[[#This Row],[LoanStatus]]="Watchlist",Loans[[#This Row],[CollateralRisk]]="Undersecured",Loans[[#This Row],[RiskCategory]]="High Risk"),"High",
TRUE,"Normal"
)</f>
        <v>Normal</v>
      </c>
    </row>
    <row r="1356" spans="1:20" x14ac:dyDescent="0.35">
      <c r="A1356" t="s">
        <v>2139</v>
      </c>
      <c r="B1356" t="s">
        <v>2140</v>
      </c>
      <c r="C1356" t="s">
        <v>190</v>
      </c>
      <c r="D1356" t="s">
        <v>156</v>
      </c>
      <c r="E1356" s="34">
        <v>6000000</v>
      </c>
      <c r="F1356" s="29">
        <v>0.23649999999999999</v>
      </c>
      <c r="G1356" s="30">
        <v>44409</v>
      </c>
      <c r="H1356">
        <v>72</v>
      </c>
      <c r="I1356">
        <v>20</v>
      </c>
      <c r="J1356" s="34">
        <v>7200000</v>
      </c>
      <c r="K1356" t="s">
        <v>171</v>
      </c>
      <c r="L1356" s="34">
        <f>PMT(Loans[[#This Row],[InterestRate]]/12,Loans[[#This Row],[LoanTenureMonths]],-Loans[[#This Row],[LoanAmount]])</f>
        <v>156688.61259603407</v>
      </c>
      <c r="M1356" s="30">
        <f>EDATE(Loans[[#This Row],[LoanStartDate]],Loans[[#This Row],[LoanTenureMonths]])</f>
        <v>46600</v>
      </c>
      <c r="N1356" s="33">
        <f>IF(Loans[[#This Row],[LoanAmount]]=0,0,Loans[[#This Row],[CollateralValue]]/Loans[[#This Row],[LoanAmount]])</f>
        <v>1.2</v>
      </c>
      <c r="O1356" t="str">
        <f>IF(Loans[[#This Row],[CollateralCoverageRatio]]&lt;1,"Undersecured","Secured")</f>
        <v>Secured</v>
      </c>
      <c r="P1356" t="str">
        <f>_xlfn.XLOOKUP(Loans[[#This Row],[BranchCode]],BranchesTbl[BranchCode],BranchesTbl[BranchName])</f>
        <v>Nyeri</v>
      </c>
      <c r="Q1356">
        <f>_xlfn.XLOOKUP(Loans[[#This Row],[CustomerID]],CustomerTbl[CustomerID],CustomerTbl[RiskScore])</f>
        <v>755</v>
      </c>
      <c r="R1356" t="str">
        <f>IFERROR(INDEX(RiskTbl[Risk_Category],MATCH(Loans[[#This Row],[RiskScore]],RiskTbl[Score_Min],1)),"Unknown")</f>
        <v>Very Low Risk</v>
      </c>
      <c r="S1356" t="str">
        <f>IF(OR(Loans[[#This Row],[LoanStatus]]="Default",Loans[[#This Row],[LoanStatus]]="Watchlist",Loans[[#This Row],[CollateralRisk]]="Undersecured",Loans[[#This Row],[RiskCategory]]="High Risk"),"High Risk Exposure","Normal")</f>
        <v>Normal</v>
      </c>
      <c r="T1356" t="str" cm="1">
        <f t="array" ref="T1356">_xlfn.IFS(
Loans[[#This Row],[LoanStatus]]="Default","Critical",
OR(Loans[[#This Row],[LoanStatus]]="Watchlist",Loans[[#This Row],[CollateralRisk]]="Undersecured",Loans[[#This Row],[RiskCategory]]="High Risk"),"High",
TRUE,"Normal"
)</f>
        <v>Normal</v>
      </c>
    </row>
    <row r="1357" spans="1:20" x14ac:dyDescent="0.35">
      <c r="A1357" t="s">
        <v>2141</v>
      </c>
      <c r="B1357" t="s">
        <v>451</v>
      </c>
      <c r="C1357" t="s">
        <v>174</v>
      </c>
      <c r="D1357" t="s">
        <v>157</v>
      </c>
      <c r="E1357" s="34">
        <v>25000000</v>
      </c>
      <c r="F1357" s="29">
        <v>0.1091</v>
      </c>
      <c r="G1357" s="30">
        <v>44729</v>
      </c>
      <c r="H1357">
        <v>36</v>
      </c>
      <c r="I1357">
        <v>0</v>
      </c>
      <c r="J1357" s="34">
        <v>17000000</v>
      </c>
      <c r="K1357" t="s">
        <v>171</v>
      </c>
      <c r="L1357" s="34">
        <f>PMT(Loans[[#This Row],[InterestRate]]/12,Loans[[#This Row],[LoanTenureMonths]],-Loans[[#This Row],[LoanAmount]])</f>
        <v>817402.82152332913</v>
      </c>
      <c r="M1357" s="30">
        <f>EDATE(Loans[[#This Row],[LoanStartDate]],Loans[[#This Row],[LoanTenureMonths]])</f>
        <v>45825</v>
      </c>
      <c r="N1357" s="33">
        <f>IF(Loans[[#This Row],[LoanAmount]]=0,0,Loans[[#This Row],[CollateralValue]]/Loans[[#This Row],[LoanAmount]])</f>
        <v>0.68</v>
      </c>
      <c r="O1357" t="str">
        <f>IF(Loans[[#This Row],[CollateralCoverageRatio]]&lt;1,"Undersecured","Secured")</f>
        <v>Undersecured</v>
      </c>
      <c r="P1357" t="str">
        <f>_xlfn.XLOOKUP(Loans[[#This Row],[BranchCode]],BranchesTbl[BranchCode],BranchesTbl[BranchName])</f>
        <v>Westlands</v>
      </c>
      <c r="Q1357">
        <f>_xlfn.XLOOKUP(Loans[[#This Row],[CustomerID]],CustomerTbl[CustomerID],CustomerTbl[RiskScore])</f>
        <v>603</v>
      </c>
      <c r="R1357" t="str">
        <f>IFERROR(INDEX(RiskTbl[Risk_Category],MATCH(Loans[[#This Row],[RiskScore]],RiskTbl[Score_Min],1)),"Unknown")</f>
        <v>Medium Risk</v>
      </c>
      <c r="S1357" t="str">
        <f>IF(OR(Loans[[#This Row],[LoanStatus]]="Default",Loans[[#This Row],[LoanStatus]]="Watchlist",Loans[[#This Row],[CollateralRisk]]="Undersecured",Loans[[#This Row],[RiskCategory]]="High Risk"),"High Risk Exposure","Normal")</f>
        <v>High Risk Exposure</v>
      </c>
      <c r="T1357" t="str" cm="1">
        <f t="array" ref="T1357">_xlfn.IFS(
Loans[[#This Row],[LoanStatus]]="Default","Critical",
OR(Loans[[#This Row],[LoanStatus]]="Watchlist",Loans[[#This Row],[CollateralRisk]]="Undersecured",Loans[[#This Row],[RiskCategory]]="High Risk"),"High",
TRUE,"Normal"
)</f>
        <v>High</v>
      </c>
    </row>
    <row r="1358" spans="1:20" x14ac:dyDescent="0.35">
      <c r="A1358" t="s">
        <v>2142</v>
      </c>
      <c r="B1358" t="s">
        <v>676</v>
      </c>
      <c r="C1358" t="s">
        <v>232</v>
      </c>
      <c r="D1358" t="s">
        <v>156</v>
      </c>
      <c r="E1358" s="34">
        <v>25000000</v>
      </c>
      <c r="F1358" s="29">
        <v>0.19009999999999999</v>
      </c>
      <c r="G1358" s="30">
        <v>44124</v>
      </c>
      <c r="H1358">
        <v>24</v>
      </c>
      <c r="I1358">
        <v>5</v>
      </c>
      <c r="J1358" s="34">
        <v>12750000</v>
      </c>
      <c r="K1358" t="s">
        <v>171</v>
      </c>
      <c r="L1358" s="34">
        <f>PMT(Loans[[#This Row],[InterestRate]]/12,Loans[[#This Row],[LoanTenureMonths]],-Loans[[#This Row],[LoanAmount]])</f>
        <v>1260336.8963349035</v>
      </c>
      <c r="M1358" s="30">
        <f>EDATE(Loans[[#This Row],[LoanStartDate]],Loans[[#This Row],[LoanTenureMonths]])</f>
        <v>44854</v>
      </c>
      <c r="N1358" s="33">
        <f>IF(Loans[[#This Row],[LoanAmount]]=0,0,Loans[[#This Row],[CollateralValue]]/Loans[[#This Row],[LoanAmount]])</f>
        <v>0.51</v>
      </c>
      <c r="O1358" t="str">
        <f>IF(Loans[[#This Row],[CollateralCoverageRatio]]&lt;1,"Undersecured","Secured")</f>
        <v>Undersecured</v>
      </c>
      <c r="P1358" t="str">
        <f>_xlfn.XLOOKUP(Loans[[#This Row],[BranchCode]],BranchesTbl[BranchCode],BranchesTbl[BranchName])</f>
        <v>Upper Hill</v>
      </c>
      <c r="Q1358">
        <f>_xlfn.XLOOKUP(Loans[[#This Row],[CustomerID]],CustomerTbl[CustomerID],CustomerTbl[RiskScore])</f>
        <v>830</v>
      </c>
      <c r="R1358" t="str">
        <f>IFERROR(INDEX(RiskTbl[Risk_Category],MATCH(Loans[[#This Row],[RiskScore]],RiskTbl[Score_Min],1)),"Unknown")</f>
        <v>Prime</v>
      </c>
      <c r="S1358" t="str">
        <f>IF(OR(Loans[[#This Row],[LoanStatus]]="Default",Loans[[#This Row],[LoanStatus]]="Watchlist",Loans[[#This Row],[CollateralRisk]]="Undersecured",Loans[[#This Row],[RiskCategory]]="High Risk"),"High Risk Exposure","Normal")</f>
        <v>High Risk Exposure</v>
      </c>
      <c r="T1358" t="str" cm="1">
        <f t="array" ref="T1358">_xlfn.IFS(
Loans[[#This Row],[LoanStatus]]="Default","Critical",
OR(Loans[[#This Row],[LoanStatus]]="Watchlist",Loans[[#This Row],[CollateralRisk]]="Undersecured",Loans[[#This Row],[RiskCategory]]="High Risk"),"High",
TRUE,"Normal"
)</f>
        <v>High</v>
      </c>
    </row>
    <row r="1359" spans="1:20" x14ac:dyDescent="0.35">
      <c r="A1359" t="s">
        <v>2143</v>
      </c>
      <c r="B1359" t="s">
        <v>288</v>
      </c>
      <c r="C1359" t="s">
        <v>267</v>
      </c>
      <c r="D1359" t="s">
        <v>155</v>
      </c>
      <c r="E1359" s="34">
        <v>250000</v>
      </c>
      <c r="F1359" s="29">
        <v>0.21740000000000001</v>
      </c>
      <c r="G1359" s="30">
        <v>45691</v>
      </c>
      <c r="H1359">
        <v>12</v>
      </c>
      <c r="I1359">
        <v>0</v>
      </c>
      <c r="J1359" s="34">
        <v>0</v>
      </c>
      <c r="K1359" t="s">
        <v>171</v>
      </c>
      <c r="L1359" s="34">
        <f>PMT(Loans[[#This Row],[InterestRate]]/12,Loans[[#This Row],[LoanTenureMonths]],-Loans[[#This Row],[LoanAmount]])</f>
        <v>23367.323379714697</v>
      </c>
      <c r="M1359" s="30">
        <f>EDATE(Loans[[#This Row],[LoanStartDate]],Loans[[#This Row],[LoanTenureMonths]])</f>
        <v>46056</v>
      </c>
      <c r="N1359" s="33">
        <f>IF(Loans[[#This Row],[LoanAmount]]=0,0,Loans[[#This Row],[CollateralValue]]/Loans[[#This Row],[LoanAmount]])</f>
        <v>0</v>
      </c>
      <c r="O1359" t="str">
        <f>IF(Loans[[#This Row],[CollateralCoverageRatio]]&lt;1,"Undersecured","Secured")</f>
        <v>Undersecured</v>
      </c>
      <c r="P1359" t="str">
        <f>_xlfn.XLOOKUP(Loans[[#This Row],[BranchCode]],BranchesTbl[BranchCode],BranchesTbl[BranchName])</f>
        <v>Malindi</v>
      </c>
      <c r="Q1359">
        <f>_xlfn.XLOOKUP(Loans[[#This Row],[CustomerID]],CustomerTbl[CustomerID],CustomerTbl[RiskScore])</f>
        <v>666</v>
      </c>
      <c r="R1359" t="str">
        <f>IFERROR(INDEX(RiskTbl[Risk_Category],MATCH(Loans[[#This Row],[RiskScore]],RiskTbl[Score_Min],1)),"Unknown")</f>
        <v>Medium Risk</v>
      </c>
      <c r="S1359" t="str">
        <f>IF(OR(Loans[[#This Row],[LoanStatus]]="Default",Loans[[#This Row],[LoanStatus]]="Watchlist",Loans[[#This Row],[CollateralRisk]]="Undersecured",Loans[[#This Row],[RiskCategory]]="High Risk"),"High Risk Exposure","Normal")</f>
        <v>High Risk Exposure</v>
      </c>
      <c r="T1359" t="str" cm="1">
        <f t="array" ref="T1359">_xlfn.IFS(
Loans[[#This Row],[LoanStatus]]="Default","Critical",
OR(Loans[[#This Row],[LoanStatus]]="Watchlist",Loans[[#This Row],[CollateralRisk]]="Undersecured",Loans[[#This Row],[RiskCategory]]="High Risk"),"High",
TRUE,"Normal"
)</f>
        <v>High</v>
      </c>
    </row>
    <row r="1360" spans="1:20" x14ac:dyDescent="0.35">
      <c r="A1360" t="s">
        <v>2144</v>
      </c>
      <c r="B1360" t="s">
        <v>637</v>
      </c>
      <c r="C1360" t="s">
        <v>206</v>
      </c>
      <c r="D1360" t="s">
        <v>155</v>
      </c>
      <c r="E1360" s="34">
        <v>100000</v>
      </c>
      <c r="F1360" s="29">
        <v>0.18490000000000001</v>
      </c>
      <c r="G1360" s="30">
        <v>45294</v>
      </c>
      <c r="H1360">
        <v>60</v>
      </c>
      <c r="I1360">
        <v>10</v>
      </c>
      <c r="J1360" s="34">
        <v>0</v>
      </c>
      <c r="K1360" t="s">
        <v>171</v>
      </c>
      <c r="L1360" s="34">
        <f>PMT(Loans[[#This Row],[InterestRate]]/12,Loans[[#This Row],[LoanTenureMonths]],-Loans[[#This Row],[LoanAmount]])</f>
        <v>2566.0738224778397</v>
      </c>
      <c r="M1360" s="30">
        <f>EDATE(Loans[[#This Row],[LoanStartDate]],Loans[[#This Row],[LoanTenureMonths]])</f>
        <v>47121</v>
      </c>
      <c r="N1360" s="33">
        <f>IF(Loans[[#This Row],[LoanAmount]]=0,0,Loans[[#This Row],[CollateralValue]]/Loans[[#This Row],[LoanAmount]])</f>
        <v>0</v>
      </c>
      <c r="O1360" t="str">
        <f>IF(Loans[[#This Row],[CollateralCoverageRatio]]&lt;1,"Undersecured","Secured")</f>
        <v>Undersecured</v>
      </c>
      <c r="P1360" t="str">
        <f>_xlfn.XLOOKUP(Loans[[#This Row],[BranchCode]],BranchesTbl[BranchCode],BranchesTbl[BranchName])</f>
        <v>Nyahururu</v>
      </c>
      <c r="Q1360">
        <f>_xlfn.XLOOKUP(Loans[[#This Row],[CustomerID]],CustomerTbl[CustomerID],CustomerTbl[RiskScore])</f>
        <v>380</v>
      </c>
      <c r="R1360" t="str">
        <f>IFERROR(INDEX(RiskTbl[Risk_Category],MATCH(Loans[[#This Row],[RiskScore]],RiskTbl[Score_Min],1)),"Unknown")</f>
        <v>High Risk</v>
      </c>
      <c r="S1360" t="str">
        <f>IF(OR(Loans[[#This Row],[LoanStatus]]="Default",Loans[[#This Row],[LoanStatus]]="Watchlist",Loans[[#This Row],[CollateralRisk]]="Undersecured",Loans[[#This Row],[RiskCategory]]="High Risk"),"High Risk Exposure","Normal")</f>
        <v>High Risk Exposure</v>
      </c>
      <c r="T1360" t="str" cm="1">
        <f t="array" ref="T1360">_xlfn.IFS(
Loans[[#This Row],[LoanStatus]]="Default","Critical",
OR(Loans[[#This Row],[LoanStatus]]="Watchlist",Loans[[#This Row],[CollateralRisk]]="Undersecured",Loans[[#This Row],[RiskCategory]]="High Risk"),"High",
TRUE,"Normal"
)</f>
        <v>High</v>
      </c>
    </row>
    <row r="1361" spans="1:20" x14ac:dyDescent="0.35">
      <c r="A1361" t="s">
        <v>2145</v>
      </c>
      <c r="B1361" t="s">
        <v>2146</v>
      </c>
      <c r="C1361" t="s">
        <v>170</v>
      </c>
      <c r="D1361" t="s">
        <v>155</v>
      </c>
      <c r="E1361" s="34">
        <v>250000</v>
      </c>
      <c r="F1361" s="29">
        <v>0.16850000000000001</v>
      </c>
      <c r="G1361" s="30">
        <v>45936</v>
      </c>
      <c r="H1361">
        <v>12</v>
      </c>
      <c r="I1361">
        <v>0</v>
      </c>
      <c r="J1361" s="34">
        <v>0</v>
      </c>
      <c r="K1361" t="s">
        <v>171</v>
      </c>
      <c r="L1361" s="34">
        <f>PMT(Loans[[#This Row],[InterestRate]]/12,Loans[[#This Row],[LoanTenureMonths]],-Loans[[#This Row],[LoanAmount]])</f>
        <v>22783.395511931802</v>
      </c>
      <c r="M1361" s="30">
        <f>EDATE(Loans[[#This Row],[LoanStartDate]],Loans[[#This Row],[LoanTenureMonths]])</f>
        <v>46301</v>
      </c>
      <c r="N1361" s="33">
        <f>IF(Loans[[#This Row],[LoanAmount]]=0,0,Loans[[#This Row],[CollateralValue]]/Loans[[#This Row],[LoanAmount]])</f>
        <v>0</v>
      </c>
      <c r="O1361" t="str">
        <f>IF(Loans[[#This Row],[CollateralCoverageRatio]]&lt;1,"Undersecured","Secured")</f>
        <v>Undersecured</v>
      </c>
      <c r="P1361" t="str">
        <f>_xlfn.XLOOKUP(Loans[[#This Row],[BranchCode]],BranchesTbl[BranchCode],BranchesTbl[BranchName])</f>
        <v>Thika</v>
      </c>
      <c r="Q1361">
        <f>_xlfn.XLOOKUP(Loans[[#This Row],[CustomerID]],CustomerTbl[CustomerID],CustomerTbl[RiskScore])</f>
        <v>361</v>
      </c>
      <c r="R1361" t="str">
        <f>IFERROR(INDEX(RiskTbl[Risk_Category],MATCH(Loans[[#This Row],[RiskScore]],RiskTbl[Score_Min],1)),"Unknown")</f>
        <v>High Risk</v>
      </c>
      <c r="S1361" t="str">
        <f>IF(OR(Loans[[#This Row],[LoanStatus]]="Default",Loans[[#This Row],[LoanStatus]]="Watchlist",Loans[[#This Row],[CollateralRisk]]="Undersecured",Loans[[#This Row],[RiskCategory]]="High Risk"),"High Risk Exposure","Normal")</f>
        <v>High Risk Exposure</v>
      </c>
      <c r="T1361" t="str" cm="1">
        <f t="array" ref="T1361">_xlfn.IFS(
Loans[[#This Row],[LoanStatus]]="Default","Critical",
OR(Loans[[#This Row],[LoanStatus]]="Watchlist",Loans[[#This Row],[CollateralRisk]]="Undersecured",Loans[[#This Row],[RiskCategory]]="High Risk"),"High",
TRUE,"Normal"
)</f>
        <v>High</v>
      </c>
    </row>
    <row r="1362" spans="1:20" x14ac:dyDescent="0.35">
      <c r="A1362" t="s">
        <v>2147</v>
      </c>
      <c r="B1362" t="s">
        <v>379</v>
      </c>
      <c r="C1362" t="s">
        <v>170</v>
      </c>
      <c r="D1362" t="s">
        <v>156</v>
      </c>
      <c r="E1362" s="34">
        <v>25000000</v>
      </c>
      <c r="F1362" s="29">
        <v>0.21759999999999999</v>
      </c>
      <c r="G1362" s="30">
        <v>45275</v>
      </c>
      <c r="H1362">
        <v>48</v>
      </c>
      <c r="I1362">
        <v>45</v>
      </c>
      <c r="J1362" s="34">
        <v>22750000</v>
      </c>
      <c r="K1362" t="s">
        <v>199</v>
      </c>
      <c r="L1362" s="34">
        <f>PMT(Loans[[#This Row],[InterestRate]]/12,Loans[[#This Row],[LoanTenureMonths]],-Loans[[#This Row],[LoanAmount]])</f>
        <v>784398.18635093456</v>
      </c>
      <c r="M1362" s="30">
        <f>EDATE(Loans[[#This Row],[LoanStartDate]],Loans[[#This Row],[LoanTenureMonths]])</f>
        <v>46736</v>
      </c>
      <c r="N1362" s="33">
        <f>IF(Loans[[#This Row],[LoanAmount]]=0,0,Loans[[#This Row],[CollateralValue]]/Loans[[#This Row],[LoanAmount]])</f>
        <v>0.91</v>
      </c>
      <c r="O1362" t="str">
        <f>IF(Loans[[#This Row],[CollateralCoverageRatio]]&lt;1,"Undersecured","Secured")</f>
        <v>Undersecured</v>
      </c>
      <c r="P1362" t="str">
        <f>_xlfn.XLOOKUP(Loans[[#This Row],[BranchCode]],BranchesTbl[BranchCode],BranchesTbl[BranchName])</f>
        <v>Thika</v>
      </c>
      <c r="Q1362">
        <f>_xlfn.XLOOKUP(Loans[[#This Row],[CustomerID]],CustomerTbl[CustomerID],CustomerTbl[RiskScore])</f>
        <v>696</v>
      </c>
      <c r="R1362" t="str">
        <f>IFERROR(INDEX(RiskTbl[Risk_Category],MATCH(Loans[[#This Row],[RiskScore]],RiskTbl[Score_Min],1)),"Unknown")</f>
        <v>Low Risk</v>
      </c>
      <c r="S1362" t="str">
        <f>IF(OR(Loans[[#This Row],[LoanStatus]]="Default",Loans[[#This Row],[LoanStatus]]="Watchlist",Loans[[#This Row],[CollateralRisk]]="Undersecured",Loans[[#This Row],[RiskCategory]]="High Risk"),"High Risk Exposure","Normal")</f>
        <v>High Risk Exposure</v>
      </c>
      <c r="T1362" t="str" cm="1">
        <f t="array" ref="T1362">_xlfn.IFS(
Loans[[#This Row],[LoanStatus]]="Default","Critical",
OR(Loans[[#This Row],[LoanStatus]]="Watchlist",Loans[[#This Row],[CollateralRisk]]="Undersecured",Loans[[#This Row],[RiskCategory]]="High Risk"),"High",
TRUE,"Normal"
)</f>
        <v>High</v>
      </c>
    </row>
    <row r="1363" spans="1:20" x14ac:dyDescent="0.35">
      <c r="A1363" t="s">
        <v>2148</v>
      </c>
      <c r="B1363" t="s">
        <v>1819</v>
      </c>
      <c r="C1363" t="s">
        <v>181</v>
      </c>
      <c r="D1363" t="s">
        <v>158</v>
      </c>
      <c r="E1363" s="34">
        <v>6000000</v>
      </c>
      <c r="F1363" s="29">
        <v>0.1736</v>
      </c>
      <c r="G1363" s="30">
        <v>45475</v>
      </c>
      <c r="H1363">
        <v>72</v>
      </c>
      <c r="I1363">
        <v>120</v>
      </c>
      <c r="J1363" s="34">
        <v>3960000</v>
      </c>
      <c r="K1363" t="s">
        <v>178</v>
      </c>
      <c r="L1363" s="34">
        <f>PMT(Loans[[#This Row],[InterestRate]]/12,Loans[[#This Row],[LoanTenureMonths]],-Loans[[#This Row],[LoanAmount]])</f>
        <v>134684.90871983662</v>
      </c>
      <c r="M1363" s="30">
        <f>EDATE(Loans[[#This Row],[LoanStartDate]],Loans[[#This Row],[LoanTenureMonths]])</f>
        <v>47666</v>
      </c>
      <c r="N1363" s="33">
        <f>IF(Loans[[#This Row],[LoanAmount]]=0,0,Loans[[#This Row],[CollateralValue]]/Loans[[#This Row],[LoanAmount]])</f>
        <v>0.66</v>
      </c>
      <c r="O1363" t="str">
        <f>IF(Loans[[#This Row],[CollateralCoverageRatio]]&lt;1,"Undersecured","Secured")</f>
        <v>Undersecured</v>
      </c>
      <c r="P1363" t="str">
        <f>_xlfn.XLOOKUP(Loans[[#This Row],[BranchCode]],BranchesTbl[BranchCode],BranchesTbl[BranchName])</f>
        <v>Kitale</v>
      </c>
      <c r="Q1363">
        <f>_xlfn.XLOOKUP(Loans[[#This Row],[CustomerID]],CustomerTbl[CustomerID],CustomerTbl[RiskScore])</f>
        <v>447</v>
      </c>
      <c r="R1363" t="str">
        <f>IFERROR(INDEX(RiskTbl[Risk_Category],MATCH(Loans[[#This Row],[RiskScore]],RiskTbl[Score_Min],1)),"Unknown")</f>
        <v>High Risk</v>
      </c>
      <c r="S1363" t="str">
        <f>IF(OR(Loans[[#This Row],[LoanStatus]]="Default",Loans[[#This Row],[LoanStatus]]="Watchlist",Loans[[#This Row],[CollateralRisk]]="Undersecured",Loans[[#This Row],[RiskCategory]]="High Risk"),"High Risk Exposure","Normal")</f>
        <v>High Risk Exposure</v>
      </c>
      <c r="T1363" t="str" cm="1">
        <f t="array" ref="T1363">_xlfn.IFS(
Loans[[#This Row],[LoanStatus]]="Default","Critical",
OR(Loans[[#This Row],[LoanStatus]]="Watchlist",Loans[[#This Row],[CollateralRisk]]="Undersecured",Loans[[#This Row],[RiskCategory]]="High Risk"),"High",
TRUE,"Normal"
)</f>
        <v>Critical</v>
      </c>
    </row>
    <row r="1364" spans="1:20" x14ac:dyDescent="0.35">
      <c r="A1364" t="s">
        <v>2149</v>
      </c>
      <c r="B1364" t="s">
        <v>1368</v>
      </c>
      <c r="C1364" t="s">
        <v>174</v>
      </c>
      <c r="D1364" t="s">
        <v>155</v>
      </c>
      <c r="E1364" s="34">
        <v>1000000</v>
      </c>
      <c r="F1364" s="29">
        <v>0.16020000000000001</v>
      </c>
      <c r="G1364" s="30">
        <v>44064</v>
      </c>
      <c r="H1364">
        <v>36</v>
      </c>
      <c r="I1364">
        <v>0</v>
      </c>
      <c r="J1364" s="34">
        <v>0</v>
      </c>
      <c r="K1364" t="s">
        <v>171</v>
      </c>
      <c r="L1364" s="34">
        <f>PMT(Loans[[#This Row],[InterestRate]]/12,Loans[[#This Row],[LoanTenureMonths]],-Loans[[#This Row],[LoanAmount]])</f>
        <v>35166.907878341757</v>
      </c>
      <c r="M1364" s="30">
        <f>EDATE(Loans[[#This Row],[LoanStartDate]],Loans[[#This Row],[LoanTenureMonths]])</f>
        <v>45159</v>
      </c>
      <c r="N1364" s="33">
        <f>IF(Loans[[#This Row],[LoanAmount]]=0,0,Loans[[#This Row],[CollateralValue]]/Loans[[#This Row],[LoanAmount]])</f>
        <v>0</v>
      </c>
      <c r="O1364" t="str">
        <f>IF(Loans[[#This Row],[CollateralCoverageRatio]]&lt;1,"Undersecured","Secured")</f>
        <v>Undersecured</v>
      </c>
      <c r="P1364" t="str">
        <f>_xlfn.XLOOKUP(Loans[[#This Row],[BranchCode]],BranchesTbl[BranchCode],BranchesTbl[BranchName])</f>
        <v>Westlands</v>
      </c>
      <c r="Q1364">
        <f>_xlfn.XLOOKUP(Loans[[#This Row],[CustomerID]],CustomerTbl[CustomerID],CustomerTbl[RiskScore])</f>
        <v>735</v>
      </c>
      <c r="R1364" t="str">
        <f>IFERROR(INDEX(RiskTbl[Risk_Category],MATCH(Loans[[#This Row],[RiskScore]],RiskTbl[Score_Min],1)),"Unknown")</f>
        <v>Low Risk</v>
      </c>
      <c r="S1364" t="str">
        <f>IF(OR(Loans[[#This Row],[LoanStatus]]="Default",Loans[[#This Row],[LoanStatus]]="Watchlist",Loans[[#This Row],[CollateralRisk]]="Undersecured",Loans[[#This Row],[RiskCategory]]="High Risk"),"High Risk Exposure","Normal")</f>
        <v>High Risk Exposure</v>
      </c>
      <c r="T1364" t="str" cm="1">
        <f t="array" ref="T1364">_xlfn.IFS(
Loans[[#This Row],[LoanStatus]]="Default","Critical",
OR(Loans[[#This Row],[LoanStatus]]="Watchlist",Loans[[#This Row],[CollateralRisk]]="Undersecured",Loans[[#This Row],[RiskCategory]]="High Risk"),"High",
TRUE,"Normal"
)</f>
        <v>High</v>
      </c>
    </row>
    <row r="1365" spans="1:20" x14ac:dyDescent="0.35">
      <c r="A1365" t="s">
        <v>2150</v>
      </c>
      <c r="B1365" t="s">
        <v>2151</v>
      </c>
      <c r="C1365" t="s">
        <v>184</v>
      </c>
      <c r="D1365" t="s">
        <v>158</v>
      </c>
      <c r="E1365" s="34">
        <v>500000</v>
      </c>
      <c r="F1365" s="29">
        <v>0.13619999999999999</v>
      </c>
      <c r="G1365" s="30">
        <v>45212</v>
      </c>
      <c r="H1365">
        <v>60</v>
      </c>
      <c r="I1365">
        <v>0</v>
      </c>
      <c r="J1365" s="34">
        <v>635000</v>
      </c>
      <c r="K1365" t="s">
        <v>171</v>
      </c>
      <c r="L1365" s="34">
        <f>PMT(Loans[[#This Row],[InterestRate]]/12,Loans[[#This Row],[LoanTenureMonths]],-Loans[[#This Row],[LoanAmount]])</f>
        <v>11535.857295935961</v>
      </c>
      <c r="M1365" s="30">
        <f>EDATE(Loans[[#This Row],[LoanStartDate]],Loans[[#This Row],[LoanTenureMonths]])</f>
        <v>47039</v>
      </c>
      <c r="N1365" s="33">
        <f>IF(Loans[[#This Row],[LoanAmount]]=0,0,Loans[[#This Row],[CollateralValue]]/Loans[[#This Row],[LoanAmount]])</f>
        <v>1.27</v>
      </c>
      <c r="O1365" t="str">
        <f>IF(Loans[[#This Row],[CollateralCoverageRatio]]&lt;1,"Undersecured","Secured")</f>
        <v>Secured</v>
      </c>
      <c r="P1365" t="str">
        <f>_xlfn.XLOOKUP(Loans[[#This Row],[BranchCode]],BranchesTbl[BranchCode],BranchesTbl[BranchName])</f>
        <v>Kisumu</v>
      </c>
      <c r="Q1365">
        <f>_xlfn.XLOOKUP(Loans[[#This Row],[CustomerID]],CustomerTbl[CustomerID],CustomerTbl[RiskScore])</f>
        <v>357</v>
      </c>
      <c r="R1365" t="str">
        <f>IFERROR(INDEX(RiskTbl[Risk_Category],MATCH(Loans[[#This Row],[RiskScore]],RiskTbl[Score_Min],1)),"Unknown")</f>
        <v>High Risk</v>
      </c>
      <c r="S1365" t="str">
        <f>IF(OR(Loans[[#This Row],[LoanStatus]]="Default",Loans[[#This Row],[LoanStatus]]="Watchlist",Loans[[#This Row],[CollateralRisk]]="Undersecured",Loans[[#This Row],[RiskCategory]]="High Risk"),"High Risk Exposure","Normal")</f>
        <v>High Risk Exposure</v>
      </c>
      <c r="T1365" t="str" cm="1">
        <f t="array" ref="T1365">_xlfn.IFS(
Loans[[#This Row],[LoanStatus]]="Default","Critical",
OR(Loans[[#This Row],[LoanStatus]]="Watchlist",Loans[[#This Row],[CollateralRisk]]="Undersecured",Loans[[#This Row],[RiskCategory]]="High Risk"),"High",
TRUE,"Normal"
)</f>
        <v>High</v>
      </c>
    </row>
    <row r="1366" spans="1:20" x14ac:dyDescent="0.35">
      <c r="A1366" t="s">
        <v>2152</v>
      </c>
      <c r="B1366" t="s">
        <v>1030</v>
      </c>
      <c r="C1366" t="s">
        <v>267</v>
      </c>
      <c r="D1366" t="s">
        <v>156</v>
      </c>
      <c r="E1366" s="34">
        <v>25000000</v>
      </c>
      <c r="F1366" s="29">
        <v>0.23280000000000001</v>
      </c>
      <c r="G1366" s="30">
        <v>44184</v>
      </c>
      <c r="H1366">
        <v>12</v>
      </c>
      <c r="I1366">
        <v>90</v>
      </c>
      <c r="J1366" s="34">
        <v>25500000</v>
      </c>
      <c r="K1366" t="s">
        <v>199</v>
      </c>
      <c r="L1366" s="34">
        <f>PMT(Loans[[#This Row],[InterestRate]]/12,Loans[[#This Row],[LoanTenureMonths]],-Loans[[#This Row],[LoanAmount]])</f>
        <v>2355287.6021446874</v>
      </c>
      <c r="M1366" s="30">
        <f>EDATE(Loans[[#This Row],[LoanStartDate]],Loans[[#This Row],[LoanTenureMonths]])</f>
        <v>44549</v>
      </c>
      <c r="N1366" s="33">
        <f>IF(Loans[[#This Row],[LoanAmount]]=0,0,Loans[[#This Row],[CollateralValue]]/Loans[[#This Row],[LoanAmount]])</f>
        <v>1.02</v>
      </c>
      <c r="O1366" t="str">
        <f>IF(Loans[[#This Row],[CollateralCoverageRatio]]&lt;1,"Undersecured","Secured")</f>
        <v>Secured</v>
      </c>
      <c r="P1366" t="str">
        <f>_xlfn.XLOOKUP(Loans[[#This Row],[BranchCode]],BranchesTbl[BranchCode],BranchesTbl[BranchName])</f>
        <v>Malindi</v>
      </c>
      <c r="Q1366">
        <f>_xlfn.XLOOKUP(Loans[[#This Row],[CustomerID]],CustomerTbl[CustomerID],CustomerTbl[RiskScore])</f>
        <v>343</v>
      </c>
      <c r="R1366" t="str">
        <f>IFERROR(INDEX(RiskTbl[Risk_Category],MATCH(Loans[[#This Row],[RiskScore]],RiskTbl[Score_Min],1)),"Unknown")</f>
        <v>High Risk</v>
      </c>
      <c r="S1366" t="str">
        <f>IF(OR(Loans[[#This Row],[LoanStatus]]="Default",Loans[[#This Row],[LoanStatus]]="Watchlist",Loans[[#This Row],[CollateralRisk]]="Undersecured",Loans[[#This Row],[RiskCategory]]="High Risk"),"High Risk Exposure","Normal")</f>
        <v>High Risk Exposure</v>
      </c>
      <c r="T1366" t="str" cm="1">
        <f t="array" ref="T1366">_xlfn.IFS(
Loans[[#This Row],[LoanStatus]]="Default","Critical",
OR(Loans[[#This Row],[LoanStatus]]="Watchlist",Loans[[#This Row],[CollateralRisk]]="Undersecured",Loans[[#This Row],[RiskCategory]]="High Risk"),"High",
TRUE,"Normal"
)</f>
        <v>High</v>
      </c>
    </row>
    <row r="1367" spans="1:20" x14ac:dyDescent="0.35">
      <c r="A1367" t="s">
        <v>2153</v>
      </c>
      <c r="B1367" t="s">
        <v>1327</v>
      </c>
      <c r="C1367" t="s">
        <v>193</v>
      </c>
      <c r="D1367" t="s">
        <v>155</v>
      </c>
      <c r="E1367" s="34">
        <v>100000</v>
      </c>
      <c r="F1367" s="29">
        <v>0.23050000000000001</v>
      </c>
      <c r="G1367" s="30">
        <v>44030</v>
      </c>
      <c r="H1367">
        <v>12</v>
      </c>
      <c r="I1367">
        <v>90</v>
      </c>
      <c r="J1367" s="34">
        <v>0</v>
      </c>
      <c r="K1367" t="s">
        <v>199</v>
      </c>
      <c r="L1367" s="34">
        <f>PMT(Loans[[#This Row],[InterestRate]]/12,Loans[[#This Row],[LoanTenureMonths]],-Loans[[#This Row],[LoanAmount]])</f>
        <v>9410.0453445665462</v>
      </c>
      <c r="M1367" s="30">
        <f>EDATE(Loans[[#This Row],[LoanStartDate]],Loans[[#This Row],[LoanTenureMonths]])</f>
        <v>44395</v>
      </c>
      <c r="N1367" s="33">
        <f>IF(Loans[[#This Row],[LoanAmount]]=0,0,Loans[[#This Row],[CollateralValue]]/Loans[[#This Row],[LoanAmount]])</f>
        <v>0</v>
      </c>
      <c r="O1367" t="str">
        <f>IF(Loans[[#This Row],[CollateralCoverageRatio]]&lt;1,"Undersecured","Secured")</f>
        <v>Undersecured</v>
      </c>
      <c r="P1367" t="str">
        <f>_xlfn.XLOOKUP(Loans[[#This Row],[BranchCode]],BranchesTbl[BranchCode],BranchesTbl[BranchName])</f>
        <v>Mombasa</v>
      </c>
      <c r="Q1367">
        <f>_xlfn.XLOOKUP(Loans[[#This Row],[CustomerID]],CustomerTbl[CustomerID],CustomerTbl[RiskScore])</f>
        <v>342</v>
      </c>
      <c r="R1367" t="str">
        <f>IFERROR(INDEX(RiskTbl[Risk_Category],MATCH(Loans[[#This Row],[RiskScore]],RiskTbl[Score_Min],1)),"Unknown")</f>
        <v>High Risk</v>
      </c>
      <c r="S1367" t="str">
        <f>IF(OR(Loans[[#This Row],[LoanStatus]]="Default",Loans[[#This Row],[LoanStatus]]="Watchlist",Loans[[#This Row],[CollateralRisk]]="Undersecured",Loans[[#This Row],[RiskCategory]]="High Risk"),"High Risk Exposure","Normal")</f>
        <v>High Risk Exposure</v>
      </c>
      <c r="T1367" t="str" cm="1">
        <f t="array" ref="T1367">_xlfn.IFS(
Loans[[#This Row],[LoanStatus]]="Default","Critical",
OR(Loans[[#This Row],[LoanStatus]]="Watchlist",Loans[[#This Row],[CollateralRisk]]="Undersecured",Loans[[#This Row],[RiskCategory]]="High Risk"),"High",
TRUE,"Normal"
)</f>
        <v>High</v>
      </c>
    </row>
    <row r="1368" spans="1:20" x14ac:dyDescent="0.35">
      <c r="A1368" t="s">
        <v>2154</v>
      </c>
      <c r="B1368" t="s">
        <v>1053</v>
      </c>
      <c r="C1368" t="s">
        <v>232</v>
      </c>
      <c r="D1368" t="s">
        <v>155</v>
      </c>
      <c r="E1368" s="34">
        <v>250000</v>
      </c>
      <c r="F1368" s="29">
        <v>0.16520000000000001</v>
      </c>
      <c r="G1368" s="30">
        <v>45490</v>
      </c>
      <c r="H1368">
        <v>24</v>
      </c>
      <c r="I1368">
        <v>90</v>
      </c>
      <c r="J1368" s="34">
        <v>0</v>
      </c>
      <c r="K1368" t="s">
        <v>199</v>
      </c>
      <c r="L1368" s="34">
        <f>PMT(Loans[[#This Row],[InterestRate]]/12,Loans[[#This Row],[LoanTenureMonths]],-Loans[[#This Row],[LoanAmount]])</f>
        <v>12302.983737106932</v>
      </c>
      <c r="M1368" s="30">
        <f>EDATE(Loans[[#This Row],[LoanStartDate]],Loans[[#This Row],[LoanTenureMonths]])</f>
        <v>46220</v>
      </c>
      <c r="N1368" s="33">
        <f>IF(Loans[[#This Row],[LoanAmount]]=0,0,Loans[[#This Row],[CollateralValue]]/Loans[[#This Row],[LoanAmount]])</f>
        <v>0</v>
      </c>
      <c r="O1368" t="str">
        <f>IF(Loans[[#This Row],[CollateralCoverageRatio]]&lt;1,"Undersecured","Secured")</f>
        <v>Undersecured</v>
      </c>
      <c r="P1368" t="str">
        <f>_xlfn.XLOOKUP(Loans[[#This Row],[BranchCode]],BranchesTbl[BranchCode],BranchesTbl[BranchName])</f>
        <v>Upper Hill</v>
      </c>
      <c r="Q1368">
        <f>_xlfn.XLOOKUP(Loans[[#This Row],[CustomerID]],CustomerTbl[CustomerID],CustomerTbl[RiskScore])</f>
        <v>694</v>
      </c>
      <c r="R1368" t="str">
        <f>IFERROR(INDEX(RiskTbl[Risk_Category],MATCH(Loans[[#This Row],[RiskScore]],RiskTbl[Score_Min],1)),"Unknown")</f>
        <v>Low Risk</v>
      </c>
      <c r="S1368" t="str">
        <f>IF(OR(Loans[[#This Row],[LoanStatus]]="Default",Loans[[#This Row],[LoanStatus]]="Watchlist",Loans[[#This Row],[CollateralRisk]]="Undersecured",Loans[[#This Row],[RiskCategory]]="High Risk"),"High Risk Exposure","Normal")</f>
        <v>High Risk Exposure</v>
      </c>
      <c r="T1368" t="str" cm="1">
        <f t="array" ref="T1368">_xlfn.IFS(
Loans[[#This Row],[LoanStatus]]="Default","Critical",
OR(Loans[[#This Row],[LoanStatus]]="Watchlist",Loans[[#This Row],[CollateralRisk]]="Undersecured",Loans[[#This Row],[RiskCategory]]="High Risk"),"High",
TRUE,"Normal"
)</f>
        <v>High</v>
      </c>
    </row>
    <row r="1369" spans="1:20" x14ac:dyDescent="0.35">
      <c r="A1369" t="s">
        <v>2155</v>
      </c>
      <c r="B1369" t="s">
        <v>1015</v>
      </c>
      <c r="C1369" t="s">
        <v>193</v>
      </c>
      <c r="D1369" t="s">
        <v>155</v>
      </c>
      <c r="E1369" s="34">
        <v>1000000</v>
      </c>
      <c r="F1369" s="29">
        <v>0.22600000000000001</v>
      </c>
      <c r="G1369" s="30">
        <v>45799</v>
      </c>
      <c r="H1369">
        <v>48</v>
      </c>
      <c r="I1369">
        <v>45</v>
      </c>
      <c r="J1369" s="34">
        <v>0</v>
      </c>
      <c r="K1369" t="s">
        <v>199</v>
      </c>
      <c r="L1369" s="34">
        <f>PMT(Loans[[#This Row],[InterestRate]]/12,Loans[[#This Row],[LoanTenureMonths]],-Loans[[#This Row],[LoanAmount]])</f>
        <v>31832.715330212261</v>
      </c>
      <c r="M1369" s="30">
        <f>EDATE(Loans[[#This Row],[LoanStartDate]],Loans[[#This Row],[LoanTenureMonths]])</f>
        <v>47260</v>
      </c>
      <c r="N1369" s="33">
        <f>IF(Loans[[#This Row],[LoanAmount]]=0,0,Loans[[#This Row],[CollateralValue]]/Loans[[#This Row],[LoanAmount]])</f>
        <v>0</v>
      </c>
      <c r="O1369" t="str">
        <f>IF(Loans[[#This Row],[CollateralCoverageRatio]]&lt;1,"Undersecured","Secured")</f>
        <v>Undersecured</v>
      </c>
      <c r="P1369" t="str">
        <f>_xlfn.XLOOKUP(Loans[[#This Row],[BranchCode]],BranchesTbl[BranchCode],BranchesTbl[BranchName])</f>
        <v>Mombasa</v>
      </c>
      <c r="Q1369">
        <f>_xlfn.XLOOKUP(Loans[[#This Row],[CustomerID]],CustomerTbl[CustomerID],CustomerTbl[RiskScore])</f>
        <v>325</v>
      </c>
      <c r="R1369" t="str">
        <f>IFERROR(INDEX(RiskTbl[Risk_Category],MATCH(Loans[[#This Row],[RiskScore]],RiskTbl[Score_Min],1)),"Unknown")</f>
        <v>High Risk</v>
      </c>
      <c r="S1369" t="str">
        <f>IF(OR(Loans[[#This Row],[LoanStatus]]="Default",Loans[[#This Row],[LoanStatus]]="Watchlist",Loans[[#This Row],[CollateralRisk]]="Undersecured",Loans[[#This Row],[RiskCategory]]="High Risk"),"High Risk Exposure","Normal")</f>
        <v>High Risk Exposure</v>
      </c>
      <c r="T1369" t="str" cm="1">
        <f t="array" ref="T1369">_xlfn.IFS(
Loans[[#This Row],[LoanStatus]]="Default","Critical",
OR(Loans[[#This Row],[LoanStatus]]="Watchlist",Loans[[#This Row],[CollateralRisk]]="Undersecured",Loans[[#This Row],[RiskCategory]]="High Risk"),"High",
TRUE,"Normal"
)</f>
        <v>High</v>
      </c>
    </row>
    <row r="1370" spans="1:20" x14ac:dyDescent="0.35">
      <c r="A1370" t="s">
        <v>2156</v>
      </c>
      <c r="B1370" t="s">
        <v>1952</v>
      </c>
      <c r="C1370" t="s">
        <v>181</v>
      </c>
      <c r="D1370" t="s">
        <v>155</v>
      </c>
      <c r="E1370" s="34">
        <v>100000</v>
      </c>
      <c r="F1370" s="29">
        <v>0.23300000000000001</v>
      </c>
      <c r="G1370" s="30">
        <v>44754</v>
      </c>
      <c r="H1370">
        <v>48</v>
      </c>
      <c r="I1370">
        <v>120</v>
      </c>
      <c r="J1370" s="34">
        <v>0</v>
      </c>
      <c r="K1370" t="s">
        <v>178</v>
      </c>
      <c r="L1370" s="34">
        <f>PMT(Loans[[#This Row],[InterestRate]]/12,Loans[[#This Row],[LoanTenureMonths]],-Loans[[#This Row],[LoanAmount]])</f>
        <v>3221.6060737372691</v>
      </c>
      <c r="M1370" s="30">
        <f>EDATE(Loans[[#This Row],[LoanStartDate]],Loans[[#This Row],[LoanTenureMonths]])</f>
        <v>46215</v>
      </c>
      <c r="N1370" s="33">
        <f>IF(Loans[[#This Row],[LoanAmount]]=0,0,Loans[[#This Row],[CollateralValue]]/Loans[[#This Row],[LoanAmount]])</f>
        <v>0</v>
      </c>
      <c r="O1370" t="str">
        <f>IF(Loans[[#This Row],[CollateralCoverageRatio]]&lt;1,"Undersecured","Secured")</f>
        <v>Undersecured</v>
      </c>
      <c r="P1370" t="str">
        <f>_xlfn.XLOOKUP(Loans[[#This Row],[BranchCode]],BranchesTbl[BranchCode],BranchesTbl[BranchName])</f>
        <v>Kitale</v>
      </c>
      <c r="Q1370">
        <f>_xlfn.XLOOKUP(Loans[[#This Row],[CustomerID]],CustomerTbl[CustomerID],CustomerTbl[RiskScore])</f>
        <v>310</v>
      </c>
      <c r="R1370" t="str">
        <f>IFERROR(INDEX(RiskTbl[Risk_Category],MATCH(Loans[[#This Row],[RiskScore]],RiskTbl[Score_Min],1)),"Unknown")</f>
        <v>High Risk</v>
      </c>
      <c r="S1370" t="str">
        <f>IF(OR(Loans[[#This Row],[LoanStatus]]="Default",Loans[[#This Row],[LoanStatus]]="Watchlist",Loans[[#This Row],[CollateralRisk]]="Undersecured",Loans[[#This Row],[RiskCategory]]="High Risk"),"High Risk Exposure","Normal")</f>
        <v>High Risk Exposure</v>
      </c>
      <c r="T1370" t="str" cm="1">
        <f t="array" ref="T1370">_xlfn.IFS(
Loans[[#This Row],[LoanStatus]]="Default","Critical",
OR(Loans[[#This Row],[LoanStatus]]="Watchlist",Loans[[#This Row],[CollateralRisk]]="Undersecured",Loans[[#This Row],[RiskCategory]]="High Risk"),"High",
TRUE,"Normal"
)</f>
        <v>Critical</v>
      </c>
    </row>
    <row r="1371" spans="1:20" x14ac:dyDescent="0.35">
      <c r="A1371" t="s">
        <v>2157</v>
      </c>
      <c r="B1371" t="s">
        <v>565</v>
      </c>
      <c r="C1371" t="s">
        <v>193</v>
      </c>
      <c r="D1371" t="s">
        <v>155</v>
      </c>
      <c r="E1371" s="34">
        <v>100000</v>
      </c>
      <c r="F1371" s="29">
        <v>0.21929999999999999</v>
      </c>
      <c r="G1371" s="30">
        <v>45158</v>
      </c>
      <c r="H1371">
        <v>60</v>
      </c>
      <c r="I1371">
        <v>45</v>
      </c>
      <c r="J1371" s="34">
        <v>0</v>
      </c>
      <c r="K1371" t="s">
        <v>199</v>
      </c>
      <c r="L1371" s="34">
        <f>PMT(Loans[[#This Row],[InterestRate]]/12,Loans[[#This Row],[LoanTenureMonths]],-Loans[[#This Row],[LoanAmount]])</f>
        <v>2757.912704193941</v>
      </c>
      <c r="M1371" s="30">
        <f>EDATE(Loans[[#This Row],[LoanStartDate]],Loans[[#This Row],[LoanTenureMonths]])</f>
        <v>46985</v>
      </c>
      <c r="N1371" s="33">
        <f>IF(Loans[[#This Row],[LoanAmount]]=0,0,Loans[[#This Row],[CollateralValue]]/Loans[[#This Row],[LoanAmount]])</f>
        <v>0</v>
      </c>
      <c r="O1371" t="str">
        <f>IF(Loans[[#This Row],[CollateralCoverageRatio]]&lt;1,"Undersecured","Secured")</f>
        <v>Undersecured</v>
      </c>
      <c r="P1371" t="str">
        <f>_xlfn.XLOOKUP(Loans[[#This Row],[BranchCode]],BranchesTbl[BranchCode],BranchesTbl[BranchName])</f>
        <v>Mombasa</v>
      </c>
      <c r="Q1371">
        <f>_xlfn.XLOOKUP(Loans[[#This Row],[CustomerID]],CustomerTbl[CustomerID],CustomerTbl[RiskScore])</f>
        <v>641</v>
      </c>
      <c r="R1371" t="str">
        <f>IFERROR(INDEX(RiskTbl[Risk_Category],MATCH(Loans[[#This Row],[RiskScore]],RiskTbl[Score_Min],1)),"Unknown")</f>
        <v>Medium Risk</v>
      </c>
      <c r="S1371" t="str">
        <f>IF(OR(Loans[[#This Row],[LoanStatus]]="Default",Loans[[#This Row],[LoanStatus]]="Watchlist",Loans[[#This Row],[CollateralRisk]]="Undersecured",Loans[[#This Row],[RiskCategory]]="High Risk"),"High Risk Exposure","Normal")</f>
        <v>High Risk Exposure</v>
      </c>
      <c r="T1371" t="str" cm="1">
        <f t="array" ref="T1371">_xlfn.IFS(
Loans[[#This Row],[LoanStatus]]="Default","Critical",
OR(Loans[[#This Row],[LoanStatus]]="Watchlist",Loans[[#This Row],[CollateralRisk]]="Undersecured",Loans[[#This Row],[RiskCategory]]="High Risk"),"High",
TRUE,"Normal"
)</f>
        <v>High</v>
      </c>
    </row>
    <row r="1372" spans="1:20" x14ac:dyDescent="0.35">
      <c r="A1372" t="s">
        <v>2158</v>
      </c>
      <c r="B1372" t="s">
        <v>761</v>
      </c>
      <c r="C1372" t="s">
        <v>232</v>
      </c>
      <c r="D1372" t="s">
        <v>157</v>
      </c>
      <c r="E1372" s="34">
        <v>25000000</v>
      </c>
      <c r="F1372" s="29">
        <v>0.1113</v>
      </c>
      <c r="G1372" s="30">
        <v>44455</v>
      </c>
      <c r="H1372">
        <v>60</v>
      </c>
      <c r="I1372">
        <v>0</v>
      </c>
      <c r="J1372" s="34">
        <v>23750000</v>
      </c>
      <c r="K1372" t="s">
        <v>171</v>
      </c>
      <c r="L1372" s="34">
        <f>PMT(Loans[[#This Row],[InterestRate]]/12,Loans[[#This Row],[LoanTenureMonths]],-Loans[[#This Row],[LoanAmount]])</f>
        <v>545182.78419192706</v>
      </c>
      <c r="M1372" s="30">
        <f>EDATE(Loans[[#This Row],[LoanStartDate]],Loans[[#This Row],[LoanTenureMonths]])</f>
        <v>46281</v>
      </c>
      <c r="N1372" s="33">
        <f>IF(Loans[[#This Row],[LoanAmount]]=0,0,Loans[[#This Row],[CollateralValue]]/Loans[[#This Row],[LoanAmount]])</f>
        <v>0.95</v>
      </c>
      <c r="O1372" t="str">
        <f>IF(Loans[[#This Row],[CollateralCoverageRatio]]&lt;1,"Undersecured","Secured")</f>
        <v>Undersecured</v>
      </c>
      <c r="P1372" t="str">
        <f>_xlfn.XLOOKUP(Loans[[#This Row],[BranchCode]],BranchesTbl[BranchCode],BranchesTbl[BranchName])</f>
        <v>Upper Hill</v>
      </c>
      <c r="Q1372">
        <f>_xlfn.XLOOKUP(Loans[[#This Row],[CustomerID]],CustomerTbl[CustomerID],CustomerTbl[RiskScore])</f>
        <v>461</v>
      </c>
      <c r="R1372" t="str">
        <f>IFERROR(INDEX(RiskTbl[Risk_Category],MATCH(Loans[[#This Row],[RiskScore]],RiskTbl[Score_Min],1)),"Unknown")</f>
        <v>High Risk</v>
      </c>
      <c r="S1372" t="str">
        <f>IF(OR(Loans[[#This Row],[LoanStatus]]="Default",Loans[[#This Row],[LoanStatus]]="Watchlist",Loans[[#This Row],[CollateralRisk]]="Undersecured",Loans[[#This Row],[RiskCategory]]="High Risk"),"High Risk Exposure","Normal")</f>
        <v>High Risk Exposure</v>
      </c>
      <c r="T1372" t="str" cm="1">
        <f t="array" ref="T1372">_xlfn.IFS(
Loans[[#This Row],[LoanStatus]]="Default","Critical",
OR(Loans[[#This Row],[LoanStatus]]="Watchlist",Loans[[#This Row],[CollateralRisk]]="Undersecured",Loans[[#This Row],[RiskCategory]]="High Risk"),"High",
TRUE,"Normal"
)</f>
        <v>High</v>
      </c>
    </row>
    <row r="1373" spans="1:20" x14ac:dyDescent="0.35">
      <c r="A1373" t="s">
        <v>2159</v>
      </c>
      <c r="B1373" t="s">
        <v>1423</v>
      </c>
      <c r="C1373" t="s">
        <v>232</v>
      </c>
      <c r="D1373" t="s">
        <v>156</v>
      </c>
      <c r="E1373" s="34">
        <v>25000000</v>
      </c>
      <c r="F1373" s="29">
        <v>0.2374</v>
      </c>
      <c r="G1373" s="30">
        <v>45590</v>
      </c>
      <c r="H1373">
        <v>48</v>
      </c>
      <c r="I1373">
        <v>20</v>
      </c>
      <c r="J1373" s="34">
        <v>26000000</v>
      </c>
      <c r="K1373" t="s">
        <v>171</v>
      </c>
      <c r="L1373" s="34">
        <f>PMT(Loans[[#This Row],[InterestRate]]/12,Loans[[#This Row],[LoanTenureMonths]],-Loans[[#This Row],[LoanAmount]])</f>
        <v>811456.62669987022</v>
      </c>
      <c r="M1373" s="30">
        <f>EDATE(Loans[[#This Row],[LoanStartDate]],Loans[[#This Row],[LoanTenureMonths]])</f>
        <v>47051</v>
      </c>
      <c r="N1373" s="33">
        <f>IF(Loans[[#This Row],[LoanAmount]]=0,0,Loans[[#This Row],[CollateralValue]]/Loans[[#This Row],[LoanAmount]])</f>
        <v>1.04</v>
      </c>
      <c r="O1373" t="str">
        <f>IF(Loans[[#This Row],[CollateralCoverageRatio]]&lt;1,"Undersecured","Secured")</f>
        <v>Secured</v>
      </c>
      <c r="P1373" t="str">
        <f>_xlfn.XLOOKUP(Loans[[#This Row],[BranchCode]],BranchesTbl[BranchCode],BranchesTbl[BranchName])</f>
        <v>Upper Hill</v>
      </c>
      <c r="Q1373">
        <f>_xlfn.XLOOKUP(Loans[[#This Row],[CustomerID]],CustomerTbl[CustomerID],CustomerTbl[RiskScore])</f>
        <v>823</v>
      </c>
      <c r="R1373" t="str">
        <f>IFERROR(INDEX(RiskTbl[Risk_Category],MATCH(Loans[[#This Row],[RiskScore]],RiskTbl[Score_Min],1)),"Unknown")</f>
        <v>Prime</v>
      </c>
      <c r="S1373" t="str">
        <f>IF(OR(Loans[[#This Row],[LoanStatus]]="Default",Loans[[#This Row],[LoanStatus]]="Watchlist",Loans[[#This Row],[CollateralRisk]]="Undersecured",Loans[[#This Row],[RiskCategory]]="High Risk"),"High Risk Exposure","Normal")</f>
        <v>Normal</v>
      </c>
      <c r="T1373" t="str" cm="1">
        <f t="array" ref="T1373">_xlfn.IFS(
Loans[[#This Row],[LoanStatus]]="Default","Critical",
OR(Loans[[#This Row],[LoanStatus]]="Watchlist",Loans[[#This Row],[CollateralRisk]]="Undersecured",Loans[[#This Row],[RiskCategory]]="High Risk"),"High",
TRUE,"Normal"
)</f>
        <v>Normal</v>
      </c>
    </row>
    <row r="1374" spans="1:20" x14ac:dyDescent="0.35">
      <c r="A1374" t="s">
        <v>2160</v>
      </c>
      <c r="B1374" t="s">
        <v>663</v>
      </c>
      <c r="C1374" t="s">
        <v>196</v>
      </c>
      <c r="D1374" t="s">
        <v>157</v>
      </c>
      <c r="E1374" s="34">
        <v>80000000</v>
      </c>
      <c r="F1374" s="29">
        <v>0.13039999999999999</v>
      </c>
      <c r="G1374" s="30">
        <v>45225</v>
      </c>
      <c r="H1374">
        <v>48</v>
      </c>
      <c r="I1374">
        <v>5</v>
      </c>
      <c r="J1374" s="34">
        <v>48000000</v>
      </c>
      <c r="K1374" t="s">
        <v>171</v>
      </c>
      <c r="L1374" s="34">
        <f>PMT(Loans[[#This Row],[InterestRate]]/12,Loans[[#This Row],[LoanTenureMonths]],-Loans[[#This Row],[LoanAmount]])</f>
        <v>2147788.2527373079</v>
      </c>
      <c r="M1374" s="30">
        <f>EDATE(Loans[[#This Row],[LoanStartDate]],Loans[[#This Row],[LoanTenureMonths]])</f>
        <v>46686</v>
      </c>
      <c r="N1374" s="33">
        <f>IF(Loans[[#This Row],[LoanAmount]]=0,0,Loans[[#This Row],[CollateralValue]]/Loans[[#This Row],[LoanAmount]])</f>
        <v>0.6</v>
      </c>
      <c r="O1374" t="str">
        <f>IF(Loans[[#This Row],[CollateralCoverageRatio]]&lt;1,"Undersecured","Secured")</f>
        <v>Undersecured</v>
      </c>
      <c r="P1374" t="str">
        <f>_xlfn.XLOOKUP(Loans[[#This Row],[BranchCode]],BranchesTbl[BranchCode],BranchesTbl[BranchName])</f>
        <v>Karen</v>
      </c>
      <c r="Q1374">
        <f>_xlfn.XLOOKUP(Loans[[#This Row],[CustomerID]],CustomerTbl[CustomerID],CustomerTbl[RiskScore])</f>
        <v>823</v>
      </c>
      <c r="R1374" t="str">
        <f>IFERROR(INDEX(RiskTbl[Risk_Category],MATCH(Loans[[#This Row],[RiskScore]],RiskTbl[Score_Min],1)),"Unknown")</f>
        <v>Prime</v>
      </c>
      <c r="S1374" t="str">
        <f>IF(OR(Loans[[#This Row],[LoanStatus]]="Default",Loans[[#This Row],[LoanStatus]]="Watchlist",Loans[[#This Row],[CollateralRisk]]="Undersecured",Loans[[#This Row],[RiskCategory]]="High Risk"),"High Risk Exposure","Normal")</f>
        <v>High Risk Exposure</v>
      </c>
      <c r="T1374" t="str" cm="1">
        <f t="array" ref="T1374">_xlfn.IFS(
Loans[[#This Row],[LoanStatus]]="Default","Critical",
OR(Loans[[#This Row],[LoanStatus]]="Watchlist",Loans[[#This Row],[CollateralRisk]]="Undersecured",Loans[[#This Row],[RiskCategory]]="High Risk"),"High",
TRUE,"Normal"
)</f>
        <v>High</v>
      </c>
    </row>
    <row r="1375" spans="1:20" x14ac:dyDescent="0.35">
      <c r="A1375" t="s">
        <v>2161</v>
      </c>
      <c r="B1375" t="s">
        <v>1716</v>
      </c>
      <c r="C1375" t="s">
        <v>206</v>
      </c>
      <c r="D1375" t="s">
        <v>156</v>
      </c>
      <c r="E1375" s="34">
        <v>1000000</v>
      </c>
      <c r="F1375" s="29">
        <v>0.15590000000000001</v>
      </c>
      <c r="G1375" s="30">
        <v>45621</v>
      </c>
      <c r="H1375">
        <v>72</v>
      </c>
      <c r="I1375">
        <v>0</v>
      </c>
      <c r="J1375" s="34">
        <v>780000</v>
      </c>
      <c r="K1375" t="s">
        <v>171</v>
      </c>
      <c r="L1375" s="34">
        <f>PMT(Loans[[#This Row],[InterestRate]]/12,Loans[[#This Row],[LoanTenureMonths]],-Loans[[#This Row],[LoanAmount]])</f>
        <v>21466.733527455355</v>
      </c>
      <c r="M1375" s="30">
        <f>EDATE(Loans[[#This Row],[LoanStartDate]],Loans[[#This Row],[LoanTenureMonths]])</f>
        <v>47812</v>
      </c>
      <c r="N1375" s="33">
        <f>IF(Loans[[#This Row],[LoanAmount]]=0,0,Loans[[#This Row],[CollateralValue]]/Loans[[#This Row],[LoanAmount]])</f>
        <v>0.78</v>
      </c>
      <c r="O1375" t="str">
        <f>IF(Loans[[#This Row],[CollateralCoverageRatio]]&lt;1,"Undersecured","Secured")</f>
        <v>Undersecured</v>
      </c>
      <c r="P1375" t="str">
        <f>_xlfn.XLOOKUP(Loans[[#This Row],[BranchCode]],BranchesTbl[BranchCode],BranchesTbl[BranchName])</f>
        <v>Nyahururu</v>
      </c>
      <c r="Q1375">
        <f>_xlfn.XLOOKUP(Loans[[#This Row],[CustomerID]],CustomerTbl[CustomerID],CustomerTbl[RiskScore])</f>
        <v>780</v>
      </c>
      <c r="R1375" t="str">
        <f>IFERROR(INDEX(RiskTbl[Risk_Category],MATCH(Loans[[#This Row],[RiskScore]],RiskTbl[Score_Min],1)),"Unknown")</f>
        <v>Very Low Risk</v>
      </c>
      <c r="S1375" t="str">
        <f>IF(OR(Loans[[#This Row],[LoanStatus]]="Default",Loans[[#This Row],[LoanStatus]]="Watchlist",Loans[[#This Row],[CollateralRisk]]="Undersecured",Loans[[#This Row],[RiskCategory]]="High Risk"),"High Risk Exposure","Normal")</f>
        <v>High Risk Exposure</v>
      </c>
      <c r="T1375" t="str" cm="1">
        <f t="array" ref="T1375">_xlfn.IFS(
Loans[[#This Row],[LoanStatus]]="Default","Critical",
OR(Loans[[#This Row],[LoanStatus]]="Watchlist",Loans[[#This Row],[CollateralRisk]]="Undersecured",Loans[[#This Row],[RiskCategory]]="High Risk"),"High",
TRUE,"Normal"
)</f>
        <v>High</v>
      </c>
    </row>
    <row r="1376" spans="1:20" x14ac:dyDescent="0.35">
      <c r="A1376" t="s">
        <v>2162</v>
      </c>
      <c r="B1376" t="s">
        <v>1251</v>
      </c>
      <c r="C1376" t="s">
        <v>232</v>
      </c>
      <c r="D1376" t="s">
        <v>157</v>
      </c>
      <c r="E1376" s="34">
        <v>80000000</v>
      </c>
      <c r="F1376" s="29">
        <v>0.1368</v>
      </c>
      <c r="G1376" s="30">
        <v>45378</v>
      </c>
      <c r="H1376">
        <v>72</v>
      </c>
      <c r="I1376">
        <v>45</v>
      </c>
      <c r="J1376" s="34">
        <v>105600000</v>
      </c>
      <c r="K1376" t="s">
        <v>199</v>
      </c>
      <c r="L1376" s="34">
        <f>PMT(Loans[[#This Row],[InterestRate]]/12,Loans[[#This Row],[LoanTenureMonths]],-Loans[[#This Row],[LoanAmount]])</f>
        <v>1634782.5053701899</v>
      </c>
      <c r="M1376" s="30">
        <f>EDATE(Loans[[#This Row],[LoanStartDate]],Loans[[#This Row],[LoanTenureMonths]])</f>
        <v>47569</v>
      </c>
      <c r="N1376" s="33">
        <f>IF(Loans[[#This Row],[LoanAmount]]=0,0,Loans[[#This Row],[CollateralValue]]/Loans[[#This Row],[LoanAmount]])</f>
        <v>1.32</v>
      </c>
      <c r="O1376" t="str">
        <f>IF(Loans[[#This Row],[CollateralCoverageRatio]]&lt;1,"Undersecured","Secured")</f>
        <v>Secured</v>
      </c>
      <c r="P1376" t="str">
        <f>_xlfn.XLOOKUP(Loans[[#This Row],[BranchCode]],BranchesTbl[BranchCode],BranchesTbl[BranchName])</f>
        <v>Upper Hill</v>
      </c>
      <c r="Q1376">
        <f>_xlfn.XLOOKUP(Loans[[#This Row],[CustomerID]],CustomerTbl[CustomerID],CustomerTbl[RiskScore])</f>
        <v>367</v>
      </c>
      <c r="R1376" t="str">
        <f>IFERROR(INDEX(RiskTbl[Risk_Category],MATCH(Loans[[#This Row],[RiskScore]],RiskTbl[Score_Min],1)),"Unknown")</f>
        <v>High Risk</v>
      </c>
      <c r="S1376" t="str">
        <f>IF(OR(Loans[[#This Row],[LoanStatus]]="Default",Loans[[#This Row],[LoanStatus]]="Watchlist",Loans[[#This Row],[CollateralRisk]]="Undersecured",Loans[[#This Row],[RiskCategory]]="High Risk"),"High Risk Exposure","Normal")</f>
        <v>High Risk Exposure</v>
      </c>
      <c r="T1376" t="str" cm="1">
        <f t="array" ref="T1376">_xlfn.IFS(
Loans[[#This Row],[LoanStatus]]="Default","Critical",
OR(Loans[[#This Row],[LoanStatus]]="Watchlist",Loans[[#This Row],[CollateralRisk]]="Undersecured",Loans[[#This Row],[RiskCategory]]="High Risk"),"High",
TRUE,"Normal"
)</f>
        <v>High</v>
      </c>
    </row>
    <row r="1377" spans="1:20" x14ac:dyDescent="0.35">
      <c r="A1377" t="s">
        <v>2163</v>
      </c>
      <c r="B1377" t="s">
        <v>1196</v>
      </c>
      <c r="C1377" t="s">
        <v>270</v>
      </c>
      <c r="D1377" t="s">
        <v>155</v>
      </c>
      <c r="E1377" s="34">
        <v>1000000</v>
      </c>
      <c r="F1377" s="29">
        <v>0.2596</v>
      </c>
      <c r="G1377" s="30">
        <v>45895</v>
      </c>
      <c r="H1377">
        <v>12</v>
      </c>
      <c r="I1377">
        <v>90</v>
      </c>
      <c r="J1377" s="34">
        <v>0</v>
      </c>
      <c r="K1377" t="s">
        <v>199</v>
      </c>
      <c r="L1377" s="34">
        <f>PMT(Loans[[#This Row],[InterestRate]]/12,Loans[[#This Row],[LoanTenureMonths]],-Loans[[#This Row],[LoanAmount]])</f>
        <v>95510.676079013661</v>
      </c>
      <c r="M1377" s="30">
        <f>EDATE(Loans[[#This Row],[LoanStartDate]],Loans[[#This Row],[LoanTenureMonths]])</f>
        <v>46260</v>
      </c>
      <c r="N1377" s="33">
        <f>IF(Loans[[#This Row],[LoanAmount]]=0,0,Loans[[#This Row],[CollateralValue]]/Loans[[#This Row],[LoanAmount]])</f>
        <v>0</v>
      </c>
      <c r="O1377" t="str">
        <f>IF(Loans[[#This Row],[CollateralCoverageRatio]]&lt;1,"Undersecured","Secured")</f>
        <v>Undersecured</v>
      </c>
      <c r="P1377" t="str">
        <f>_xlfn.XLOOKUP(Loans[[#This Row],[BranchCode]],BranchesTbl[BranchCode],BranchesTbl[BranchName])</f>
        <v>Nakuru</v>
      </c>
      <c r="Q1377">
        <f>_xlfn.XLOOKUP(Loans[[#This Row],[CustomerID]],CustomerTbl[CustomerID],CustomerTbl[RiskScore])</f>
        <v>657</v>
      </c>
      <c r="R1377" t="str">
        <f>IFERROR(INDEX(RiskTbl[Risk_Category],MATCH(Loans[[#This Row],[RiskScore]],RiskTbl[Score_Min],1)),"Unknown")</f>
        <v>Medium Risk</v>
      </c>
      <c r="S1377" t="str">
        <f>IF(OR(Loans[[#This Row],[LoanStatus]]="Default",Loans[[#This Row],[LoanStatus]]="Watchlist",Loans[[#This Row],[CollateralRisk]]="Undersecured",Loans[[#This Row],[RiskCategory]]="High Risk"),"High Risk Exposure","Normal")</f>
        <v>High Risk Exposure</v>
      </c>
      <c r="T1377" t="str" cm="1">
        <f t="array" ref="T1377">_xlfn.IFS(
Loans[[#This Row],[LoanStatus]]="Default","Critical",
OR(Loans[[#This Row],[LoanStatus]]="Watchlist",Loans[[#This Row],[CollateralRisk]]="Undersecured",Loans[[#This Row],[RiskCategory]]="High Risk"),"High",
TRUE,"Normal"
)</f>
        <v>High</v>
      </c>
    </row>
    <row r="1378" spans="1:20" x14ac:dyDescent="0.35">
      <c r="A1378" t="s">
        <v>2164</v>
      </c>
      <c r="B1378" t="s">
        <v>355</v>
      </c>
      <c r="C1378" t="s">
        <v>190</v>
      </c>
      <c r="D1378" t="s">
        <v>157</v>
      </c>
      <c r="E1378" s="34">
        <v>25000000</v>
      </c>
      <c r="F1378" s="29">
        <v>0.12609999999999999</v>
      </c>
      <c r="G1378" s="30">
        <v>44800</v>
      </c>
      <c r="H1378">
        <v>24</v>
      </c>
      <c r="I1378">
        <v>45</v>
      </c>
      <c r="J1378" s="34">
        <v>18000000</v>
      </c>
      <c r="K1378" t="s">
        <v>199</v>
      </c>
      <c r="L1378" s="34">
        <f>PMT(Loans[[#This Row],[InterestRate]]/12,Loans[[#This Row],[LoanTenureMonths]],-Loans[[#This Row],[LoanAmount]])</f>
        <v>1183971.0804452966</v>
      </c>
      <c r="M1378" s="30">
        <f>EDATE(Loans[[#This Row],[LoanStartDate]],Loans[[#This Row],[LoanTenureMonths]])</f>
        <v>45531</v>
      </c>
      <c r="N1378" s="33">
        <f>IF(Loans[[#This Row],[LoanAmount]]=0,0,Loans[[#This Row],[CollateralValue]]/Loans[[#This Row],[LoanAmount]])</f>
        <v>0.72</v>
      </c>
      <c r="O1378" t="str">
        <f>IF(Loans[[#This Row],[CollateralCoverageRatio]]&lt;1,"Undersecured","Secured")</f>
        <v>Undersecured</v>
      </c>
      <c r="P1378" t="str">
        <f>_xlfn.XLOOKUP(Loans[[#This Row],[BranchCode]],BranchesTbl[BranchCode],BranchesTbl[BranchName])</f>
        <v>Nyeri</v>
      </c>
      <c r="Q1378">
        <f>_xlfn.XLOOKUP(Loans[[#This Row],[CustomerID]],CustomerTbl[CustomerID],CustomerTbl[RiskScore])</f>
        <v>712</v>
      </c>
      <c r="R1378" t="str">
        <f>IFERROR(INDEX(RiskTbl[Risk_Category],MATCH(Loans[[#This Row],[RiskScore]],RiskTbl[Score_Min],1)),"Unknown")</f>
        <v>Low Risk</v>
      </c>
      <c r="S1378" t="str">
        <f>IF(OR(Loans[[#This Row],[LoanStatus]]="Default",Loans[[#This Row],[LoanStatus]]="Watchlist",Loans[[#This Row],[CollateralRisk]]="Undersecured",Loans[[#This Row],[RiskCategory]]="High Risk"),"High Risk Exposure","Normal")</f>
        <v>High Risk Exposure</v>
      </c>
      <c r="T1378" t="str" cm="1">
        <f t="array" ref="T1378">_xlfn.IFS(
Loans[[#This Row],[LoanStatus]]="Default","Critical",
OR(Loans[[#This Row],[LoanStatus]]="Watchlist",Loans[[#This Row],[CollateralRisk]]="Undersecured",Loans[[#This Row],[RiskCategory]]="High Risk"),"High",
TRUE,"Normal"
)</f>
        <v>High</v>
      </c>
    </row>
    <row r="1379" spans="1:20" x14ac:dyDescent="0.35">
      <c r="A1379" t="s">
        <v>2165</v>
      </c>
      <c r="B1379" t="s">
        <v>997</v>
      </c>
      <c r="C1379" t="s">
        <v>196</v>
      </c>
      <c r="D1379" t="s">
        <v>158</v>
      </c>
      <c r="E1379" s="34">
        <v>500000</v>
      </c>
      <c r="F1379" s="29">
        <v>0.16120000000000001</v>
      </c>
      <c r="G1379" s="30">
        <v>45304</v>
      </c>
      <c r="H1379">
        <v>60</v>
      </c>
      <c r="I1379">
        <v>0</v>
      </c>
      <c r="J1379" s="34">
        <v>555000</v>
      </c>
      <c r="K1379" t="s">
        <v>171</v>
      </c>
      <c r="L1379" s="34">
        <f>PMT(Loans[[#This Row],[InterestRate]]/12,Loans[[#This Row],[LoanTenureMonths]],-Loans[[#This Row],[LoanAmount]])</f>
        <v>12190.931505001203</v>
      </c>
      <c r="M1379" s="30">
        <f>EDATE(Loans[[#This Row],[LoanStartDate]],Loans[[#This Row],[LoanTenureMonths]])</f>
        <v>47131</v>
      </c>
      <c r="N1379" s="33">
        <f>IF(Loans[[#This Row],[LoanAmount]]=0,0,Loans[[#This Row],[CollateralValue]]/Loans[[#This Row],[LoanAmount]])</f>
        <v>1.1100000000000001</v>
      </c>
      <c r="O1379" t="str">
        <f>IF(Loans[[#This Row],[CollateralCoverageRatio]]&lt;1,"Undersecured","Secured")</f>
        <v>Secured</v>
      </c>
      <c r="P1379" t="str">
        <f>_xlfn.XLOOKUP(Loans[[#This Row],[BranchCode]],BranchesTbl[BranchCode],BranchesTbl[BranchName])</f>
        <v>Karen</v>
      </c>
      <c r="Q1379">
        <f>_xlfn.XLOOKUP(Loans[[#This Row],[CustomerID]],CustomerTbl[CustomerID],CustomerTbl[RiskScore])</f>
        <v>473</v>
      </c>
      <c r="R1379" t="str">
        <f>IFERROR(INDEX(RiskTbl[Risk_Category],MATCH(Loans[[#This Row],[RiskScore]],RiskTbl[Score_Min],1)),"Unknown")</f>
        <v>High Risk</v>
      </c>
      <c r="S1379" t="str">
        <f>IF(OR(Loans[[#This Row],[LoanStatus]]="Default",Loans[[#This Row],[LoanStatus]]="Watchlist",Loans[[#This Row],[CollateralRisk]]="Undersecured",Loans[[#This Row],[RiskCategory]]="High Risk"),"High Risk Exposure","Normal")</f>
        <v>High Risk Exposure</v>
      </c>
      <c r="T1379" t="str" cm="1">
        <f t="array" ref="T1379">_xlfn.IFS(
Loans[[#This Row],[LoanStatus]]="Default","Critical",
OR(Loans[[#This Row],[LoanStatus]]="Watchlist",Loans[[#This Row],[CollateralRisk]]="Undersecured",Loans[[#This Row],[RiskCategory]]="High Risk"),"High",
TRUE,"Normal"
)</f>
        <v>High</v>
      </c>
    </row>
    <row r="1380" spans="1:20" x14ac:dyDescent="0.35">
      <c r="A1380" t="s">
        <v>2166</v>
      </c>
      <c r="B1380" t="s">
        <v>1878</v>
      </c>
      <c r="C1380" t="s">
        <v>193</v>
      </c>
      <c r="D1380" t="s">
        <v>155</v>
      </c>
      <c r="E1380" s="34">
        <v>1000000</v>
      </c>
      <c r="F1380" s="29">
        <v>0.19950000000000001</v>
      </c>
      <c r="G1380" s="30">
        <v>44914</v>
      </c>
      <c r="H1380">
        <v>72</v>
      </c>
      <c r="I1380">
        <v>0</v>
      </c>
      <c r="J1380" s="34">
        <v>0</v>
      </c>
      <c r="K1380" t="s">
        <v>171</v>
      </c>
      <c r="L1380" s="34">
        <f>PMT(Loans[[#This Row],[InterestRate]]/12,Loans[[#This Row],[LoanTenureMonths]],-Loans[[#This Row],[LoanAmount]])</f>
        <v>23923.852179051726</v>
      </c>
      <c r="M1380" s="30">
        <f>EDATE(Loans[[#This Row],[LoanStartDate]],Loans[[#This Row],[LoanTenureMonths]])</f>
        <v>47106</v>
      </c>
      <c r="N1380" s="33">
        <f>IF(Loans[[#This Row],[LoanAmount]]=0,0,Loans[[#This Row],[CollateralValue]]/Loans[[#This Row],[LoanAmount]])</f>
        <v>0</v>
      </c>
      <c r="O1380" t="str">
        <f>IF(Loans[[#This Row],[CollateralCoverageRatio]]&lt;1,"Undersecured","Secured")</f>
        <v>Undersecured</v>
      </c>
      <c r="P1380" t="str">
        <f>_xlfn.XLOOKUP(Loans[[#This Row],[BranchCode]],BranchesTbl[BranchCode],BranchesTbl[BranchName])</f>
        <v>Mombasa</v>
      </c>
      <c r="Q1380">
        <f>_xlfn.XLOOKUP(Loans[[#This Row],[CustomerID]],CustomerTbl[CustomerID],CustomerTbl[RiskScore])</f>
        <v>444</v>
      </c>
      <c r="R1380" t="str">
        <f>IFERROR(INDEX(RiskTbl[Risk_Category],MATCH(Loans[[#This Row],[RiskScore]],RiskTbl[Score_Min],1)),"Unknown")</f>
        <v>High Risk</v>
      </c>
      <c r="S1380" t="str">
        <f>IF(OR(Loans[[#This Row],[LoanStatus]]="Default",Loans[[#This Row],[LoanStatus]]="Watchlist",Loans[[#This Row],[CollateralRisk]]="Undersecured",Loans[[#This Row],[RiskCategory]]="High Risk"),"High Risk Exposure","Normal")</f>
        <v>High Risk Exposure</v>
      </c>
      <c r="T1380" t="str" cm="1">
        <f t="array" ref="T1380">_xlfn.IFS(
Loans[[#This Row],[LoanStatus]]="Default","Critical",
OR(Loans[[#This Row],[LoanStatus]]="Watchlist",Loans[[#This Row],[CollateralRisk]]="Undersecured",Loans[[#This Row],[RiskCategory]]="High Risk"),"High",
TRUE,"Normal"
)</f>
        <v>High</v>
      </c>
    </row>
    <row r="1381" spans="1:20" x14ac:dyDescent="0.35">
      <c r="A1381" t="s">
        <v>2167</v>
      </c>
      <c r="B1381" t="s">
        <v>1205</v>
      </c>
      <c r="C1381" t="s">
        <v>270</v>
      </c>
      <c r="D1381" t="s">
        <v>155</v>
      </c>
      <c r="E1381" s="34">
        <v>1000000</v>
      </c>
      <c r="F1381" s="29">
        <v>0.23649999999999999</v>
      </c>
      <c r="G1381" s="30">
        <v>44258</v>
      </c>
      <c r="H1381">
        <v>72</v>
      </c>
      <c r="I1381">
        <v>0</v>
      </c>
      <c r="J1381" s="34">
        <v>0</v>
      </c>
      <c r="K1381" t="s">
        <v>171</v>
      </c>
      <c r="L1381" s="34">
        <f>PMT(Loans[[#This Row],[InterestRate]]/12,Loans[[#This Row],[LoanTenureMonths]],-Loans[[#This Row],[LoanAmount]])</f>
        <v>26114.768766005684</v>
      </c>
      <c r="M1381" s="30">
        <f>EDATE(Loans[[#This Row],[LoanStartDate]],Loans[[#This Row],[LoanTenureMonths]])</f>
        <v>46449</v>
      </c>
      <c r="N1381" s="33">
        <f>IF(Loans[[#This Row],[LoanAmount]]=0,0,Loans[[#This Row],[CollateralValue]]/Loans[[#This Row],[LoanAmount]])</f>
        <v>0</v>
      </c>
      <c r="O1381" t="str">
        <f>IF(Loans[[#This Row],[CollateralCoverageRatio]]&lt;1,"Undersecured","Secured")</f>
        <v>Undersecured</v>
      </c>
      <c r="P1381" t="str">
        <f>_xlfn.XLOOKUP(Loans[[#This Row],[BranchCode]],BranchesTbl[BranchCode],BranchesTbl[BranchName])</f>
        <v>Nakuru</v>
      </c>
      <c r="Q1381">
        <f>_xlfn.XLOOKUP(Loans[[#This Row],[CustomerID]],CustomerTbl[CustomerID],CustomerTbl[RiskScore])</f>
        <v>513</v>
      </c>
      <c r="R1381" t="str">
        <f>IFERROR(INDEX(RiskTbl[Risk_Category],MATCH(Loans[[#This Row],[RiskScore]],RiskTbl[Score_Min],1)),"Unknown")</f>
        <v>High Risk</v>
      </c>
      <c r="S1381" t="str">
        <f>IF(OR(Loans[[#This Row],[LoanStatus]]="Default",Loans[[#This Row],[LoanStatus]]="Watchlist",Loans[[#This Row],[CollateralRisk]]="Undersecured",Loans[[#This Row],[RiskCategory]]="High Risk"),"High Risk Exposure","Normal")</f>
        <v>High Risk Exposure</v>
      </c>
      <c r="T1381" t="str" cm="1">
        <f t="array" ref="T1381">_xlfn.IFS(
Loans[[#This Row],[LoanStatus]]="Default","Critical",
OR(Loans[[#This Row],[LoanStatus]]="Watchlist",Loans[[#This Row],[CollateralRisk]]="Undersecured",Loans[[#This Row],[RiskCategory]]="High Risk"),"High",
TRUE,"Normal"
)</f>
        <v>High</v>
      </c>
    </row>
    <row r="1382" spans="1:20" x14ac:dyDescent="0.35">
      <c r="A1382" t="s">
        <v>2168</v>
      </c>
      <c r="B1382" t="s">
        <v>1608</v>
      </c>
      <c r="C1382" t="s">
        <v>193</v>
      </c>
      <c r="D1382" t="s">
        <v>156</v>
      </c>
      <c r="E1382" s="34">
        <v>3000000</v>
      </c>
      <c r="F1382" s="29">
        <v>0.17630000000000001</v>
      </c>
      <c r="G1382" s="30">
        <v>44856</v>
      </c>
      <c r="H1382">
        <v>48</v>
      </c>
      <c r="I1382">
        <v>0</v>
      </c>
      <c r="J1382" s="34">
        <v>1770000</v>
      </c>
      <c r="K1382" t="s">
        <v>171</v>
      </c>
      <c r="L1382" s="34">
        <f>PMT(Loans[[#This Row],[InterestRate]]/12,Loans[[#This Row],[LoanTenureMonths]],-Loans[[#This Row],[LoanAmount]])</f>
        <v>87546.035977608874</v>
      </c>
      <c r="M1382" s="30">
        <f>EDATE(Loans[[#This Row],[LoanStartDate]],Loans[[#This Row],[LoanTenureMonths]])</f>
        <v>46317</v>
      </c>
      <c r="N1382" s="33">
        <f>IF(Loans[[#This Row],[LoanAmount]]=0,0,Loans[[#This Row],[CollateralValue]]/Loans[[#This Row],[LoanAmount]])</f>
        <v>0.59</v>
      </c>
      <c r="O1382" t="str">
        <f>IF(Loans[[#This Row],[CollateralCoverageRatio]]&lt;1,"Undersecured","Secured")</f>
        <v>Undersecured</v>
      </c>
      <c r="P1382" t="str">
        <f>_xlfn.XLOOKUP(Loans[[#This Row],[BranchCode]],BranchesTbl[BranchCode],BranchesTbl[BranchName])</f>
        <v>Mombasa</v>
      </c>
      <c r="Q1382">
        <f>_xlfn.XLOOKUP(Loans[[#This Row],[CustomerID]],CustomerTbl[CustomerID],CustomerTbl[RiskScore])</f>
        <v>415</v>
      </c>
      <c r="R1382" t="str">
        <f>IFERROR(INDEX(RiskTbl[Risk_Category],MATCH(Loans[[#This Row],[RiskScore]],RiskTbl[Score_Min],1)),"Unknown")</f>
        <v>High Risk</v>
      </c>
      <c r="S1382" t="str">
        <f>IF(OR(Loans[[#This Row],[LoanStatus]]="Default",Loans[[#This Row],[LoanStatus]]="Watchlist",Loans[[#This Row],[CollateralRisk]]="Undersecured",Loans[[#This Row],[RiskCategory]]="High Risk"),"High Risk Exposure","Normal")</f>
        <v>High Risk Exposure</v>
      </c>
      <c r="T1382" t="str" cm="1">
        <f t="array" ref="T1382">_xlfn.IFS(
Loans[[#This Row],[LoanStatus]]="Default","Critical",
OR(Loans[[#This Row],[LoanStatus]]="Watchlist",Loans[[#This Row],[CollateralRisk]]="Undersecured",Loans[[#This Row],[RiskCategory]]="High Risk"),"High",
TRUE,"Normal"
)</f>
        <v>High</v>
      </c>
    </row>
    <row r="1383" spans="1:20" x14ac:dyDescent="0.35">
      <c r="A1383" t="s">
        <v>2169</v>
      </c>
      <c r="B1383" t="s">
        <v>983</v>
      </c>
      <c r="C1383" t="s">
        <v>177</v>
      </c>
      <c r="D1383" t="s">
        <v>155</v>
      </c>
      <c r="E1383" s="34">
        <v>250000</v>
      </c>
      <c r="F1383" s="29">
        <v>0.25009999999999999</v>
      </c>
      <c r="G1383" s="30">
        <v>45889</v>
      </c>
      <c r="H1383">
        <v>60</v>
      </c>
      <c r="I1383">
        <v>45</v>
      </c>
      <c r="J1383" s="34">
        <v>0</v>
      </c>
      <c r="K1383" t="s">
        <v>199</v>
      </c>
      <c r="L1383" s="34">
        <f>PMT(Loans[[#This Row],[InterestRate]]/12,Loans[[#This Row],[LoanTenureMonths]],-Loans[[#This Row],[LoanAmount]])</f>
        <v>7339.2965771236604</v>
      </c>
      <c r="M1383" s="30">
        <f>EDATE(Loans[[#This Row],[LoanStartDate]],Loans[[#This Row],[LoanTenureMonths]])</f>
        <v>47715</v>
      </c>
      <c r="N1383" s="33">
        <f>IF(Loans[[#This Row],[LoanAmount]]=0,0,Loans[[#This Row],[CollateralValue]]/Loans[[#This Row],[LoanAmount]])</f>
        <v>0</v>
      </c>
      <c r="O1383" t="str">
        <f>IF(Loans[[#This Row],[CollateralCoverageRatio]]&lt;1,"Undersecured","Secured")</f>
        <v>Undersecured</v>
      </c>
      <c r="P1383" t="str">
        <f>_xlfn.XLOOKUP(Loans[[#This Row],[BranchCode]],BranchesTbl[BranchCode],BranchesTbl[BranchName])</f>
        <v>Naivasha</v>
      </c>
      <c r="Q1383">
        <f>_xlfn.XLOOKUP(Loans[[#This Row],[CustomerID]],CustomerTbl[CustomerID],CustomerTbl[RiskScore])</f>
        <v>368</v>
      </c>
      <c r="R1383" t="str">
        <f>IFERROR(INDEX(RiskTbl[Risk_Category],MATCH(Loans[[#This Row],[RiskScore]],RiskTbl[Score_Min],1)),"Unknown")</f>
        <v>High Risk</v>
      </c>
      <c r="S1383" t="str">
        <f>IF(OR(Loans[[#This Row],[LoanStatus]]="Default",Loans[[#This Row],[LoanStatus]]="Watchlist",Loans[[#This Row],[CollateralRisk]]="Undersecured",Loans[[#This Row],[RiskCategory]]="High Risk"),"High Risk Exposure","Normal")</f>
        <v>High Risk Exposure</v>
      </c>
      <c r="T1383" t="str" cm="1">
        <f t="array" ref="T1383">_xlfn.IFS(
Loans[[#This Row],[LoanStatus]]="Default","Critical",
OR(Loans[[#This Row],[LoanStatus]]="Watchlist",Loans[[#This Row],[CollateralRisk]]="Undersecured",Loans[[#This Row],[RiskCategory]]="High Risk"),"High",
TRUE,"Normal"
)</f>
        <v>High</v>
      </c>
    </row>
    <row r="1384" spans="1:20" x14ac:dyDescent="0.35">
      <c r="A1384" t="s">
        <v>2170</v>
      </c>
      <c r="B1384" t="s">
        <v>997</v>
      </c>
      <c r="C1384" t="s">
        <v>239</v>
      </c>
      <c r="D1384" t="s">
        <v>156</v>
      </c>
      <c r="E1384" s="34">
        <v>25000000</v>
      </c>
      <c r="F1384" s="29">
        <v>0.19209999999999999</v>
      </c>
      <c r="G1384" s="30">
        <v>45932</v>
      </c>
      <c r="H1384">
        <v>72</v>
      </c>
      <c r="I1384">
        <v>120</v>
      </c>
      <c r="J1384" s="34">
        <v>19750000</v>
      </c>
      <c r="K1384" t="s">
        <v>178</v>
      </c>
      <c r="L1384" s="34">
        <f>PMT(Loans[[#This Row],[InterestRate]]/12,Loans[[#This Row],[LoanTenureMonths]],-Loans[[#This Row],[LoanAmount]])</f>
        <v>587427.83011719096</v>
      </c>
      <c r="M1384" s="30">
        <f>EDATE(Loans[[#This Row],[LoanStartDate]],Loans[[#This Row],[LoanTenureMonths]])</f>
        <v>48123</v>
      </c>
      <c r="N1384" s="33">
        <f>IF(Loans[[#This Row],[LoanAmount]]=0,0,Loans[[#This Row],[CollateralValue]]/Loans[[#This Row],[LoanAmount]])</f>
        <v>0.79</v>
      </c>
      <c r="O1384" t="str">
        <f>IF(Loans[[#This Row],[CollateralCoverageRatio]]&lt;1,"Undersecured","Secured")</f>
        <v>Undersecured</v>
      </c>
      <c r="P1384" t="str">
        <f>_xlfn.XLOOKUP(Loans[[#This Row],[BranchCode]],BranchesTbl[BranchCode],BranchesTbl[BranchName])</f>
        <v>Machakos</v>
      </c>
      <c r="Q1384">
        <f>_xlfn.XLOOKUP(Loans[[#This Row],[CustomerID]],CustomerTbl[CustomerID],CustomerTbl[RiskScore])</f>
        <v>473</v>
      </c>
      <c r="R1384" t="str">
        <f>IFERROR(INDEX(RiskTbl[Risk_Category],MATCH(Loans[[#This Row],[RiskScore]],RiskTbl[Score_Min],1)),"Unknown")</f>
        <v>High Risk</v>
      </c>
      <c r="S1384" t="str">
        <f>IF(OR(Loans[[#This Row],[LoanStatus]]="Default",Loans[[#This Row],[LoanStatus]]="Watchlist",Loans[[#This Row],[CollateralRisk]]="Undersecured",Loans[[#This Row],[RiskCategory]]="High Risk"),"High Risk Exposure","Normal")</f>
        <v>High Risk Exposure</v>
      </c>
      <c r="T1384" t="str" cm="1">
        <f t="array" ref="T1384">_xlfn.IFS(
Loans[[#This Row],[LoanStatus]]="Default","Critical",
OR(Loans[[#This Row],[LoanStatus]]="Watchlist",Loans[[#This Row],[CollateralRisk]]="Undersecured",Loans[[#This Row],[RiskCategory]]="High Risk"),"High",
TRUE,"Normal"
)</f>
        <v>Critical</v>
      </c>
    </row>
    <row r="1385" spans="1:20" x14ac:dyDescent="0.35">
      <c r="A1385" t="s">
        <v>2171</v>
      </c>
      <c r="B1385" t="s">
        <v>743</v>
      </c>
      <c r="C1385" t="s">
        <v>193</v>
      </c>
      <c r="D1385" t="s">
        <v>156</v>
      </c>
      <c r="E1385" s="34">
        <v>3000000</v>
      </c>
      <c r="F1385" s="29">
        <v>0.14630000000000001</v>
      </c>
      <c r="G1385" s="30">
        <v>43939</v>
      </c>
      <c r="H1385">
        <v>72</v>
      </c>
      <c r="I1385">
        <v>90</v>
      </c>
      <c r="J1385" s="34">
        <v>4380000</v>
      </c>
      <c r="K1385" t="s">
        <v>199</v>
      </c>
      <c r="L1385" s="34">
        <f>PMT(Loans[[#This Row],[InterestRate]]/12,Loans[[#This Row],[LoanTenureMonths]],-Loans[[#This Row],[LoanAmount]])</f>
        <v>62833.790956036384</v>
      </c>
      <c r="M1385" s="30">
        <f>EDATE(Loans[[#This Row],[LoanStartDate]],Loans[[#This Row],[LoanTenureMonths]])</f>
        <v>46130</v>
      </c>
      <c r="N1385" s="33">
        <f>IF(Loans[[#This Row],[LoanAmount]]=0,0,Loans[[#This Row],[CollateralValue]]/Loans[[#This Row],[LoanAmount]])</f>
        <v>1.46</v>
      </c>
      <c r="O1385" t="str">
        <f>IF(Loans[[#This Row],[CollateralCoverageRatio]]&lt;1,"Undersecured","Secured")</f>
        <v>Secured</v>
      </c>
      <c r="P1385" t="str">
        <f>_xlfn.XLOOKUP(Loans[[#This Row],[BranchCode]],BranchesTbl[BranchCode],BranchesTbl[BranchName])</f>
        <v>Mombasa</v>
      </c>
      <c r="Q1385">
        <f>_xlfn.XLOOKUP(Loans[[#This Row],[CustomerID]],CustomerTbl[CustomerID],CustomerTbl[RiskScore])</f>
        <v>436</v>
      </c>
      <c r="R1385" t="str">
        <f>IFERROR(INDEX(RiskTbl[Risk_Category],MATCH(Loans[[#This Row],[RiskScore]],RiskTbl[Score_Min],1)),"Unknown")</f>
        <v>High Risk</v>
      </c>
      <c r="S1385" t="str">
        <f>IF(OR(Loans[[#This Row],[LoanStatus]]="Default",Loans[[#This Row],[LoanStatus]]="Watchlist",Loans[[#This Row],[CollateralRisk]]="Undersecured",Loans[[#This Row],[RiskCategory]]="High Risk"),"High Risk Exposure","Normal")</f>
        <v>High Risk Exposure</v>
      </c>
      <c r="T1385" t="str" cm="1">
        <f t="array" ref="T1385">_xlfn.IFS(
Loans[[#This Row],[LoanStatus]]="Default","Critical",
OR(Loans[[#This Row],[LoanStatus]]="Watchlist",Loans[[#This Row],[CollateralRisk]]="Undersecured",Loans[[#This Row],[RiskCategory]]="High Risk"),"High",
TRUE,"Normal"
)</f>
        <v>High</v>
      </c>
    </row>
    <row r="1386" spans="1:20" x14ac:dyDescent="0.35">
      <c r="A1386" t="s">
        <v>2172</v>
      </c>
      <c r="B1386" t="s">
        <v>590</v>
      </c>
      <c r="C1386" t="s">
        <v>187</v>
      </c>
      <c r="D1386" t="s">
        <v>156</v>
      </c>
      <c r="E1386" s="34">
        <v>25000000</v>
      </c>
      <c r="F1386" s="29">
        <v>0.14810000000000001</v>
      </c>
      <c r="G1386" s="30">
        <v>44731</v>
      </c>
      <c r="H1386">
        <v>72</v>
      </c>
      <c r="I1386">
        <v>0</v>
      </c>
      <c r="J1386" s="34">
        <v>23000000</v>
      </c>
      <c r="K1386" t="s">
        <v>171</v>
      </c>
      <c r="L1386" s="34">
        <f>PMT(Loans[[#This Row],[InterestRate]]/12,Loans[[#This Row],[LoanTenureMonths]],-Loans[[#This Row],[LoanAmount]])</f>
        <v>526049.18455429713</v>
      </c>
      <c r="M1386" s="30">
        <f>EDATE(Loans[[#This Row],[LoanStartDate]],Loans[[#This Row],[LoanTenureMonths]])</f>
        <v>46923</v>
      </c>
      <c r="N1386" s="33">
        <f>IF(Loans[[#This Row],[LoanAmount]]=0,0,Loans[[#This Row],[CollateralValue]]/Loans[[#This Row],[LoanAmount]])</f>
        <v>0.92</v>
      </c>
      <c r="O1386" t="str">
        <f>IF(Loans[[#This Row],[CollateralCoverageRatio]]&lt;1,"Undersecured","Secured")</f>
        <v>Undersecured</v>
      </c>
      <c r="P1386" t="str">
        <f>_xlfn.XLOOKUP(Loans[[#This Row],[BranchCode]],BranchesTbl[BranchCode],BranchesTbl[BranchName])</f>
        <v>Eldoret</v>
      </c>
      <c r="Q1386">
        <f>_xlfn.XLOOKUP(Loans[[#This Row],[CustomerID]],CustomerTbl[CustomerID],CustomerTbl[RiskScore])</f>
        <v>434</v>
      </c>
      <c r="R1386" t="str">
        <f>IFERROR(INDEX(RiskTbl[Risk_Category],MATCH(Loans[[#This Row],[RiskScore]],RiskTbl[Score_Min],1)),"Unknown")</f>
        <v>High Risk</v>
      </c>
      <c r="S1386" t="str">
        <f>IF(OR(Loans[[#This Row],[LoanStatus]]="Default",Loans[[#This Row],[LoanStatus]]="Watchlist",Loans[[#This Row],[CollateralRisk]]="Undersecured",Loans[[#This Row],[RiskCategory]]="High Risk"),"High Risk Exposure","Normal")</f>
        <v>High Risk Exposure</v>
      </c>
      <c r="T1386" t="str" cm="1">
        <f t="array" ref="T1386">_xlfn.IFS(
Loans[[#This Row],[LoanStatus]]="Default","Critical",
OR(Loans[[#This Row],[LoanStatus]]="Watchlist",Loans[[#This Row],[CollateralRisk]]="Undersecured",Loans[[#This Row],[RiskCategory]]="High Risk"),"High",
TRUE,"Normal"
)</f>
        <v>High</v>
      </c>
    </row>
    <row r="1387" spans="1:20" x14ac:dyDescent="0.35">
      <c r="A1387" t="s">
        <v>2173</v>
      </c>
      <c r="B1387" t="s">
        <v>1988</v>
      </c>
      <c r="C1387" t="s">
        <v>174</v>
      </c>
      <c r="D1387" t="s">
        <v>156</v>
      </c>
      <c r="E1387" s="34">
        <v>25000000</v>
      </c>
      <c r="F1387" s="29">
        <v>0.1898</v>
      </c>
      <c r="G1387" s="30">
        <v>45177</v>
      </c>
      <c r="H1387">
        <v>72</v>
      </c>
      <c r="I1387">
        <v>0</v>
      </c>
      <c r="J1387" s="34">
        <v>16500000</v>
      </c>
      <c r="K1387" t="s">
        <v>171</v>
      </c>
      <c r="L1387" s="34">
        <f>PMT(Loans[[#This Row],[InterestRate]]/12,Loans[[#This Row],[LoanTenureMonths]],-Loans[[#This Row],[LoanAmount]])</f>
        <v>584131.84303125436</v>
      </c>
      <c r="M1387" s="30">
        <f>EDATE(Loans[[#This Row],[LoanStartDate]],Loans[[#This Row],[LoanTenureMonths]])</f>
        <v>47369</v>
      </c>
      <c r="N1387" s="33">
        <f>IF(Loans[[#This Row],[LoanAmount]]=0,0,Loans[[#This Row],[CollateralValue]]/Loans[[#This Row],[LoanAmount]])</f>
        <v>0.66</v>
      </c>
      <c r="O1387" t="str">
        <f>IF(Loans[[#This Row],[CollateralCoverageRatio]]&lt;1,"Undersecured","Secured")</f>
        <v>Undersecured</v>
      </c>
      <c r="P1387" t="str">
        <f>_xlfn.XLOOKUP(Loans[[#This Row],[BranchCode]],BranchesTbl[BranchCode],BranchesTbl[BranchName])</f>
        <v>Westlands</v>
      </c>
      <c r="Q1387">
        <f>_xlfn.XLOOKUP(Loans[[#This Row],[CustomerID]],CustomerTbl[CustomerID],CustomerTbl[RiskScore])</f>
        <v>833</v>
      </c>
      <c r="R1387" t="str">
        <f>IFERROR(INDEX(RiskTbl[Risk_Category],MATCH(Loans[[#This Row],[RiskScore]],RiskTbl[Score_Min],1)),"Unknown")</f>
        <v>Prime</v>
      </c>
      <c r="S1387" t="str">
        <f>IF(OR(Loans[[#This Row],[LoanStatus]]="Default",Loans[[#This Row],[LoanStatus]]="Watchlist",Loans[[#This Row],[CollateralRisk]]="Undersecured",Loans[[#This Row],[RiskCategory]]="High Risk"),"High Risk Exposure","Normal")</f>
        <v>High Risk Exposure</v>
      </c>
      <c r="T1387" t="str" cm="1">
        <f t="array" ref="T1387">_xlfn.IFS(
Loans[[#This Row],[LoanStatus]]="Default","Critical",
OR(Loans[[#This Row],[LoanStatus]]="Watchlist",Loans[[#This Row],[CollateralRisk]]="Undersecured",Loans[[#This Row],[RiskCategory]]="High Risk"),"High",
TRUE,"Normal"
)</f>
        <v>High</v>
      </c>
    </row>
    <row r="1388" spans="1:20" x14ac:dyDescent="0.35">
      <c r="A1388" t="s">
        <v>2174</v>
      </c>
      <c r="B1388" t="s">
        <v>1000</v>
      </c>
      <c r="C1388" t="s">
        <v>184</v>
      </c>
      <c r="D1388" t="s">
        <v>157</v>
      </c>
      <c r="E1388" s="34">
        <v>25000000</v>
      </c>
      <c r="F1388" s="29">
        <v>0.13600000000000001</v>
      </c>
      <c r="G1388" s="30">
        <v>45236</v>
      </c>
      <c r="H1388">
        <v>12</v>
      </c>
      <c r="I1388">
        <v>90</v>
      </c>
      <c r="J1388" s="34">
        <v>13000000</v>
      </c>
      <c r="K1388" t="s">
        <v>199</v>
      </c>
      <c r="L1388" s="34">
        <f>PMT(Loans[[#This Row],[InterestRate]]/12,Loans[[#This Row],[LoanTenureMonths]],-Loans[[#This Row],[LoanAmount]])</f>
        <v>2239975.4599292679</v>
      </c>
      <c r="M1388" s="30">
        <f>EDATE(Loans[[#This Row],[LoanStartDate]],Loans[[#This Row],[LoanTenureMonths]])</f>
        <v>45602</v>
      </c>
      <c r="N1388" s="33">
        <f>IF(Loans[[#This Row],[LoanAmount]]=0,0,Loans[[#This Row],[CollateralValue]]/Loans[[#This Row],[LoanAmount]])</f>
        <v>0.52</v>
      </c>
      <c r="O1388" t="str">
        <f>IF(Loans[[#This Row],[CollateralCoverageRatio]]&lt;1,"Undersecured","Secured")</f>
        <v>Undersecured</v>
      </c>
      <c r="P1388" t="str">
        <f>_xlfn.XLOOKUP(Loans[[#This Row],[BranchCode]],BranchesTbl[BranchCode],BranchesTbl[BranchName])</f>
        <v>Kisumu</v>
      </c>
      <c r="Q1388">
        <f>_xlfn.XLOOKUP(Loans[[#This Row],[CustomerID]],CustomerTbl[CustomerID],CustomerTbl[RiskScore])</f>
        <v>500</v>
      </c>
      <c r="R1388" t="str">
        <f>IFERROR(INDEX(RiskTbl[Risk_Category],MATCH(Loans[[#This Row],[RiskScore]],RiskTbl[Score_Min],1)),"Unknown")</f>
        <v>High Risk</v>
      </c>
      <c r="S1388" t="str">
        <f>IF(OR(Loans[[#This Row],[LoanStatus]]="Default",Loans[[#This Row],[LoanStatus]]="Watchlist",Loans[[#This Row],[CollateralRisk]]="Undersecured",Loans[[#This Row],[RiskCategory]]="High Risk"),"High Risk Exposure","Normal")</f>
        <v>High Risk Exposure</v>
      </c>
      <c r="T1388" t="str" cm="1">
        <f t="array" ref="T1388">_xlfn.IFS(
Loans[[#This Row],[LoanStatus]]="Default","Critical",
OR(Loans[[#This Row],[LoanStatus]]="Watchlist",Loans[[#This Row],[CollateralRisk]]="Undersecured",Loans[[#This Row],[RiskCategory]]="High Risk"),"High",
TRUE,"Normal"
)</f>
        <v>High</v>
      </c>
    </row>
    <row r="1389" spans="1:20" x14ac:dyDescent="0.35">
      <c r="A1389" t="s">
        <v>2175</v>
      </c>
      <c r="B1389" t="s">
        <v>1400</v>
      </c>
      <c r="C1389" t="s">
        <v>184</v>
      </c>
      <c r="D1389" t="s">
        <v>156</v>
      </c>
      <c r="E1389" s="34">
        <v>25000000</v>
      </c>
      <c r="F1389" s="29">
        <v>0.23599999999999999</v>
      </c>
      <c r="G1389" s="30">
        <v>45191</v>
      </c>
      <c r="H1389">
        <v>60</v>
      </c>
      <c r="I1389">
        <v>5</v>
      </c>
      <c r="J1389" s="34">
        <v>17250000</v>
      </c>
      <c r="K1389" t="s">
        <v>171</v>
      </c>
      <c r="L1389" s="34">
        <f>PMT(Loans[[#This Row],[InterestRate]]/12,Loans[[#This Row],[LoanTenureMonths]],-Loans[[#This Row],[LoanAmount]])</f>
        <v>713406.50689464726</v>
      </c>
      <c r="M1389" s="30">
        <f>EDATE(Loans[[#This Row],[LoanStartDate]],Loans[[#This Row],[LoanTenureMonths]])</f>
        <v>47018</v>
      </c>
      <c r="N1389" s="33">
        <f>IF(Loans[[#This Row],[LoanAmount]]=0,0,Loans[[#This Row],[CollateralValue]]/Loans[[#This Row],[LoanAmount]])</f>
        <v>0.69</v>
      </c>
      <c r="O1389" t="str">
        <f>IF(Loans[[#This Row],[CollateralCoverageRatio]]&lt;1,"Undersecured","Secured")</f>
        <v>Undersecured</v>
      </c>
      <c r="P1389" t="str">
        <f>_xlfn.XLOOKUP(Loans[[#This Row],[BranchCode]],BranchesTbl[BranchCode],BranchesTbl[BranchName])</f>
        <v>Kisumu</v>
      </c>
      <c r="Q1389">
        <f>_xlfn.XLOOKUP(Loans[[#This Row],[CustomerID]],CustomerTbl[CustomerID],CustomerTbl[RiskScore])</f>
        <v>673</v>
      </c>
      <c r="R1389" t="str">
        <f>IFERROR(INDEX(RiskTbl[Risk_Category],MATCH(Loans[[#This Row],[RiskScore]],RiskTbl[Score_Min],1)),"Unknown")</f>
        <v>Low Risk</v>
      </c>
      <c r="S1389" t="str">
        <f>IF(OR(Loans[[#This Row],[LoanStatus]]="Default",Loans[[#This Row],[LoanStatus]]="Watchlist",Loans[[#This Row],[CollateralRisk]]="Undersecured",Loans[[#This Row],[RiskCategory]]="High Risk"),"High Risk Exposure","Normal")</f>
        <v>High Risk Exposure</v>
      </c>
      <c r="T1389" t="str" cm="1">
        <f t="array" ref="T1389">_xlfn.IFS(
Loans[[#This Row],[LoanStatus]]="Default","Critical",
OR(Loans[[#This Row],[LoanStatus]]="Watchlist",Loans[[#This Row],[CollateralRisk]]="Undersecured",Loans[[#This Row],[RiskCategory]]="High Risk"),"High",
TRUE,"Normal"
)</f>
        <v>High</v>
      </c>
    </row>
    <row r="1390" spans="1:20" x14ac:dyDescent="0.35">
      <c r="A1390" t="s">
        <v>2176</v>
      </c>
      <c r="B1390" t="s">
        <v>754</v>
      </c>
      <c r="C1390" t="s">
        <v>177</v>
      </c>
      <c r="D1390" t="s">
        <v>157</v>
      </c>
      <c r="E1390" s="34">
        <v>25000000</v>
      </c>
      <c r="F1390" s="29">
        <v>0.1268</v>
      </c>
      <c r="G1390" s="30">
        <v>44846</v>
      </c>
      <c r="H1390">
        <v>36</v>
      </c>
      <c r="I1390">
        <v>10</v>
      </c>
      <c r="J1390" s="34">
        <v>18000000</v>
      </c>
      <c r="K1390" t="s">
        <v>171</v>
      </c>
      <c r="L1390" s="34">
        <f>PMT(Loans[[#This Row],[InterestRate]]/12,Loans[[#This Row],[LoanTenureMonths]],-Loans[[#This Row],[LoanAmount]])</f>
        <v>838500.66882684012</v>
      </c>
      <c r="M1390" s="30">
        <f>EDATE(Loans[[#This Row],[LoanStartDate]],Loans[[#This Row],[LoanTenureMonths]])</f>
        <v>45942</v>
      </c>
      <c r="N1390" s="33">
        <f>IF(Loans[[#This Row],[LoanAmount]]=0,0,Loans[[#This Row],[CollateralValue]]/Loans[[#This Row],[LoanAmount]])</f>
        <v>0.72</v>
      </c>
      <c r="O1390" t="str">
        <f>IF(Loans[[#This Row],[CollateralCoverageRatio]]&lt;1,"Undersecured","Secured")</f>
        <v>Undersecured</v>
      </c>
      <c r="P1390" t="str">
        <f>_xlfn.XLOOKUP(Loans[[#This Row],[BranchCode]],BranchesTbl[BranchCode],BranchesTbl[BranchName])</f>
        <v>Naivasha</v>
      </c>
      <c r="Q1390">
        <f>_xlfn.XLOOKUP(Loans[[#This Row],[CustomerID]],CustomerTbl[CustomerID],CustomerTbl[RiskScore])</f>
        <v>663</v>
      </c>
      <c r="R1390" t="str">
        <f>IFERROR(INDEX(RiskTbl[Risk_Category],MATCH(Loans[[#This Row],[RiskScore]],RiskTbl[Score_Min],1)),"Unknown")</f>
        <v>Medium Risk</v>
      </c>
      <c r="S1390" t="str">
        <f>IF(OR(Loans[[#This Row],[LoanStatus]]="Default",Loans[[#This Row],[LoanStatus]]="Watchlist",Loans[[#This Row],[CollateralRisk]]="Undersecured",Loans[[#This Row],[RiskCategory]]="High Risk"),"High Risk Exposure","Normal")</f>
        <v>High Risk Exposure</v>
      </c>
      <c r="T1390" t="str" cm="1">
        <f t="array" ref="T1390">_xlfn.IFS(
Loans[[#This Row],[LoanStatus]]="Default","Critical",
OR(Loans[[#This Row],[LoanStatus]]="Watchlist",Loans[[#This Row],[CollateralRisk]]="Undersecured",Loans[[#This Row],[RiskCategory]]="High Risk"),"High",
TRUE,"Normal"
)</f>
        <v>High</v>
      </c>
    </row>
    <row r="1391" spans="1:20" x14ac:dyDescent="0.35">
      <c r="A1391" t="s">
        <v>2177</v>
      </c>
      <c r="B1391" t="s">
        <v>212</v>
      </c>
      <c r="C1391" t="s">
        <v>196</v>
      </c>
      <c r="D1391" t="s">
        <v>158</v>
      </c>
      <c r="E1391" s="34">
        <v>3000000</v>
      </c>
      <c r="F1391" s="29">
        <v>0.16</v>
      </c>
      <c r="G1391" s="30">
        <v>44061</v>
      </c>
      <c r="H1391">
        <v>36</v>
      </c>
      <c r="I1391">
        <v>0</v>
      </c>
      <c r="J1391" s="34">
        <v>3240000</v>
      </c>
      <c r="K1391" t="s">
        <v>171</v>
      </c>
      <c r="L1391" s="34">
        <f>PMT(Loans[[#This Row],[InterestRate]]/12,Loans[[#This Row],[LoanTenureMonths]],-Loans[[#This Row],[LoanAmount]])</f>
        <v>105471.09910905028</v>
      </c>
      <c r="M1391" s="30">
        <f>EDATE(Loans[[#This Row],[LoanStartDate]],Loans[[#This Row],[LoanTenureMonths]])</f>
        <v>45156</v>
      </c>
      <c r="N1391" s="33">
        <f>IF(Loans[[#This Row],[LoanAmount]]=0,0,Loans[[#This Row],[CollateralValue]]/Loans[[#This Row],[LoanAmount]])</f>
        <v>1.08</v>
      </c>
      <c r="O1391" t="str">
        <f>IF(Loans[[#This Row],[CollateralCoverageRatio]]&lt;1,"Undersecured","Secured")</f>
        <v>Secured</v>
      </c>
      <c r="P1391" t="str">
        <f>_xlfn.XLOOKUP(Loans[[#This Row],[BranchCode]],BranchesTbl[BranchCode],BranchesTbl[BranchName])</f>
        <v>Karen</v>
      </c>
      <c r="Q1391">
        <f>_xlfn.XLOOKUP(Loans[[#This Row],[CustomerID]],CustomerTbl[CustomerID],CustomerTbl[RiskScore])</f>
        <v>423</v>
      </c>
      <c r="R1391" t="str">
        <f>IFERROR(INDEX(RiskTbl[Risk_Category],MATCH(Loans[[#This Row],[RiskScore]],RiskTbl[Score_Min],1)),"Unknown")</f>
        <v>High Risk</v>
      </c>
      <c r="S1391" t="str">
        <f>IF(OR(Loans[[#This Row],[LoanStatus]]="Default",Loans[[#This Row],[LoanStatus]]="Watchlist",Loans[[#This Row],[CollateralRisk]]="Undersecured",Loans[[#This Row],[RiskCategory]]="High Risk"),"High Risk Exposure","Normal")</f>
        <v>High Risk Exposure</v>
      </c>
      <c r="T1391" t="str" cm="1">
        <f t="array" ref="T1391">_xlfn.IFS(
Loans[[#This Row],[LoanStatus]]="Default","Critical",
OR(Loans[[#This Row],[LoanStatus]]="Watchlist",Loans[[#This Row],[CollateralRisk]]="Undersecured",Loans[[#This Row],[RiskCategory]]="High Risk"),"High",
TRUE,"Normal"
)</f>
        <v>High</v>
      </c>
    </row>
    <row r="1392" spans="1:20" x14ac:dyDescent="0.35">
      <c r="A1392" t="s">
        <v>2178</v>
      </c>
      <c r="B1392" t="s">
        <v>2018</v>
      </c>
      <c r="C1392" t="s">
        <v>174</v>
      </c>
      <c r="D1392" t="s">
        <v>155</v>
      </c>
      <c r="E1392" s="34">
        <v>250000</v>
      </c>
      <c r="F1392" s="29">
        <v>0.185</v>
      </c>
      <c r="G1392" s="30">
        <v>44997</v>
      </c>
      <c r="H1392">
        <v>60</v>
      </c>
      <c r="I1392">
        <v>0</v>
      </c>
      <c r="J1392" s="34">
        <v>0</v>
      </c>
      <c r="K1392" t="s">
        <v>171</v>
      </c>
      <c r="L1392" s="34">
        <f>PMT(Loans[[#This Row],[InterestRate]]/12,Loans[[#This Row],[LoanTenureMonths]],-Loans[[#This Row],[LoanAmount]])</f>
        <v>6416.5522940525743</v>
      </c>
      <c r="M1392" s="30">
        <f>EDATE(Loans[[#This Row],[LoanStartDate]],Loans[[#This Row],[LoanTenureMonths]])</f>
        <v>46824</v>
      </c>
      <c r="N1392" s="33">
        <f>IF(Loans[[#This Row],[LoanAmount]]=0,0,Loans[[#This Row],[CollateralValue]]/Loans[[#This Row],[LoanAmount]])</f>
        <v>0</v>
      </c>
      <c r="O1392" t="str">
        <f>IF(Loans[[#This Row],[CollateralCoverageRatio]]&lt;1,"Undersecured","Secured")</f>
        <v>Undersecured</v>
      </c>
      <c r="P1392" t="str">
        <f>_xlfn.XLOOKUP(Loans[[#This Row],[BranchCode]],BranchesTbl[BranchCode],BranchesTbl[BranchName])</f>
        <v>Westlands</v>
      </c>
      <c r="Q1392">
        <f>_xlfn.XLOOKUP(Loans[[#This Row],[CustomerID]],CustomerTbl[CustomerID],CustomerTbl[RiskScore])</f>
        <v>322</v>
      </c>
      <c r="R1392" t="str">
        <f>IFERROR(INDEX(RiskTbl[Risk_Category],MATCH(Loans[[#This Row],[RiskScore]],RiskTbl[Score_Min],1)),"Unknown")</f>
        <v>High Risk</v>
      </c>
      <c r="S1392" t="str">
        <f>IF(OR(Loans[[#This Row],[LoanStatus]]="Default",Loans[[#This Row],[LoanStatus]]="Watchlist",Loans[[#This Row],[CollateralRisk]]="Undersecured",Loans[[#This Row],[RiskCategory]]="High Risk"),"High Risk Exposure","Normal")</f>
        <v>High Risk Exposure</v>
      </c>
      <c r="T1392" t="str" cm="1">
        <f t="array" ref="T1392">_xlfn.IFS(
Loans[[#This Row],[LoanStatus]]="Default","Critical",
OR(Loans[[#This Row],[LoanStatus]]="Watchlist",Loans[[#This Row],[CollateralRisk]]="Undersecured",Loans[[#This Row],[RiskCategory]]="High Risk"),"High",
TRUE,"Normal"
)</f>
        <v>High</v>
      </c>
    </row>
    <row r="1393" spans="1:20" x14ac:dyDescent="0.35">
      <c r="A1393" t="s">
        <v>2179</v>
      </c>
      <c r="B1393" t="s">
        <v>1135</v>
      </c>
      <c r="C1393" t="s">
        <v>184</v>
      </c>
      <c r="D1393" t="s">
        <v>157</v>
      </c>
      <c r="E1393" s="34">
        <v>6000000</v>
      </c>
      <c r="F1393" s="29">
        <v>0.11459999999999999</v>
      </c>
      <c r="G1393" s="30">
        <v>45755</v>
      </c>
      <c r="H1393">
        <v>36</v>
      </c>
      <c r="I1393">
        <v>90</v>
      </c>
      <c r="J1393" s="34">
        <v>4440000</v>
      </c>
      <c r="K1393" t="s">
        <v>199</v>
      </c>
      <c r="L1393" s="34">
        <f>PMT(Loans[[#This Row],[InterestRate]]/12,Loans[[#This Row],[LoanTenureMonths]],-Loans[[#This Row],[LoanAmount]])</f>
        <v>197741.91568810315</v>
      </c>
      <c r="M1393" s="30">
        <f>EDATE(Loans[[#This Row],[LoanStartDate]],Loans[[#This Row],[LoanTenureMonths]])</f>
        <v>46851</v>
      </c>
      <c r="N1393" s="33">
        <f>IF(Loans[[#This Row],[LoanAmount]]=0,0,Loans[[#This Row],[CollateralValue]]/Loans[[#This Row],[LoanAmount]])</f>
        <v>0.74</v>
      </c>
      <c r="O1393" t="str">
        <f>IF(Loans[[#This Row],[CollateralCoverageRatio]]&lt;1,"Undersecured","Secured")</f>
        <v>Undersecured</v>
      </c>
      <c r="P1393" t="str">
        <f>_xlfn.XLOOKUP(Loans[[#This Row],[BranchCode]],BranchesTbl[BranchCode],BranchesTbl[BranchName])</f>
        <v>Kisumu</v>
      </c>
      <c r="Q1393">
        <f>_xlfn.XLOOKUP(Loans[[#This Row],[CustomerID]],CustomerTbl[CustomerID],CustomerTbl[RiskScore])</f>
        <v>339</v>
      </c>
      <c r="R1393" t="str">
        <f>IFERROR(INDEX(RiskTbl[Risk_Category],MATCH(Loans[[#This Row],[RiskScore]],RiskTbl[Score_Min],1)),"Unknown")</f>
        <v>High Risk</v>
      </c>
      <c r="S1393" t="str">
        <f>IF(OR(Loans[[#This Row],[LoanStatus]]="Default",Loans[[#This Row],[LoanStatus]]="Watchlist",Loans[[#This Row],[CollateralRisk]]="Undersecured",Loans[[#This Row],[RiskCategory]]="High Risk"),"High Risk Exposure","Normal")</f>
        <v>High Risk Exposure</v>
      </c>
      <c r="T1393" t="str" cm="1">
        <f t="array" ref="T1393">_xlfn.IFS(
Loans[[#This Row],[LoanStatus]]="Default","Critical",
OR(Loans[[#This Row],[LoanStatus]]="Watchlist",Loans[[#This Row],[CollateralRisk]]="Undersecured",Loans[[#This Row],[RiskCategory]]="High Risk"),"High",
TRUE,"Normal"
)</f>
        <v>High</v>
      </c>
    </row>
    <row r="1394" spans="1:20" x14ac:dyDescent="0.35">
      <c r="A1394" t="s">
        <v>2180</v>
      </c>
      <c r="B1394" t="s">
        <v>845</v>
      </c>
      <c r="C1394" t="s">
        <v>219</v>
      </c>
      <c r="D1394" t="s">
        <v>156</v>
      </c>
      <c r="E1394" s="34">
        <v>1000000</v>
      </c>
      <c r="F1394" s="29">
        <v>0.1875</v>
      </c>
      <c r="G1394" s="30">
        <v>44862</v>
      </c>
      <c r="H1394">
        <v>60</v>
      </c>
      <c r="I1394">
        <v>0</v>
      </c>
      <c r="J1394" s="34">
        <v>1400000</v>
      </c>
      <c r="K1394" t="s">
        <v>171</v>
      </c>
      <c r="L1394" s="34">
        <f>PMT(Loans[[#This Row],[InterestRate]]/12,Loans[[#This Row],[LoanTenureMonths]],-Loans[[#This Row],[LoanAmount]])</f>
        <v>25803.185626988095</v>
      </c>
      <c r="M1394" s="30">
        <f>EDATE(Loans[[#This Row],[LoanStartDate]],Loans[[#This Row],[LoanTenureMonths]])</f>
        <v>46688</v>
      </c>
      <c r="N1394" s="33">
        <f>IF(Loans[[#This Row],[LoanAmount]]=0,0,Loans[[#This Row],[CollateralValue]]/Loans[[#This Row],[LoanAmount]])</f>
        <v>1.4</v>
      </c>
      <c r="O1394" t="str">
        <f>IF(Loans[[#This Row],[CollateralCoverageRatio]]&lt;1,"Undersecured","Secured")</f>
        <v>Secured</v>
      </c>
      <c r="P1394" t="str">
        <f>_xlfn.XLOOKUP(Loans[[#This Row],[BranchCode]],BranchesTbl[BranchCode],BranchesTbl[BranchName])</f>
        <v>Meru</v>
      </c>
      <c r="Q1394">
        <f>_xlfn.XLOOKUP(Loans[[#This Row],[CustomerID]],CustomerTbl[CustomerID],CustomerTbl[RiskScore])</f>
        <v>350</v>
      </c>
      <c r="R1394" t="str">
        <f>IFERROR(INDEX(RiskTbl[Risk_Category],MATCH(Loans[[#This Row],[RiskScore]],RiskTbl[Score_Min],1)),"Unknown")</f>
        <v>High Risk</v>
      </c>
      <c r="S1394" t="str">
        <f>IF(OR(Loans[[#This Row],[LoanStatus]]="Default",Loans[[#This Row],[LoanStatus]]="Watchlist",Loans[[#This Row],[CollateralRisk]]="Undersecured",Loans[[#This Row],[RiskCategory]]="High Risk"),"High Risk Exposure","Normal")</f>
        <v>High Risk Exposure</v>
      </c>
      <c r="T1394" t="str" cm="1">
        <f t="array" ref="T1394">_xlfn.IFS(
Loans[[#This Row],[LoanStatus]]="Default","Critical",
OR(Loans[[#This Row],[LoanStatus]]="Watchlist",Loans[[#This Row],[CollateralRisk]]="Undersecured",Loans[[#This Row],[RiskCategory]]="High Risk"),"High",
TRUE,"Normal"
)</f>
        <v>High</v>
      </c>
    </row>
    <row r="1395" spans="1:20" x14ac:dyDescent="0.35">
      <c r="A1395" t="s">
        <v>2181</v>
      </c>
      <c r="B1395" t="s">
        <v>398</v>
      </c>
      <c r="C1395" t="s">
        <v>184</v>
      </c>
      <c r="D1395" t="s">
        <v>157</v>
      </c>
      <c r="E1395" s="34">
        <v>80000000</v>
      </c>
      <c r="F1395" s="29">
        <v>0.13059999999999999</v>
      </c>
      <c r="G1395" s="30">
        <v>44360</v>
      </c>
      <c r="H1395">
        <v>60</v>
      </c>
      <c r="I1395">
        <v>0</v>
      </c>
      <c r="J1395" s="34">
        <v>60800000</v>
      </c>
      <c r="K1395" t="s">
        <v>171</v>
      </c>
      <c r="L1395" s="34">
        <f>PMT(Loans[[#This Row],[InterestRate]]/12,Loans[[#This Row],[LoanTenureMonths]],-Loans[[#This Row],[LoanAmount]])</f>
        <v>1822703.9543141797</v>
      </c>
      <c r="M1395" s="30">
        <f>EDATE(Loans[[#This Row],[LoanStartDate]],Loans[[#This Row],[LoanTenureMonths]])</f>
        <v>46186</v>
      </c>
      <c r="N1395" s="33">
        <f>IF(Loans[[#This Row],[LoanAmount]]=0,0,Loans[[#This Row],[CollateralValue]]/Loans[[#This Row],[LoanAmount]])</f>
        <v>0.76</v>
      </c>
      <c r="O1395" t="str">
        <f>IF(Loans[[#This Row],[CollateralCoverageRatio]]&lt;1,"Undersecured","Secured")</f>
        <v>Undersecured</v>
      </c>
      <c r="P1395" t="str">
        <f>_xlfn.XLOOKUP(Loans[[#This Row],[BranchCode]],BranchesTbl[BranchCode],BranchesTbl[BranchName])</f>
        <v>Kisumu</v>
      </c>
      <c r="Q1395">
        <f>_xlfn.XLOOKUP(Loans[[#This Row],[CustomerID]],CustomerTbl[CustomerID],CustomerTbl[RiskScore])</f>
        <v>590</v>
      </c>
      <c r="R1395" t="str">
        <f>IFERROR(INDEX(RiskTbl[Risk_Category],MATCH(Loans[[#This Row],[RiskScore]],RiskTbl[Score_Min],1)),"Unknown")</f>
        <v>Medium Risk</v>
      </c>
      <c r="S1395" t="str">
        <f>IF(OR(Loans[[#This Row],[LoanStatus]]="Default",Loans[[#This Row],[LoanStatus]]="Watchlist",Loans[[#This Row],[CollateralRisk]]="Undersecured",Loans[[#This Row],[RiskCategory]]="High Risk"),"High Risk Exposure","Normal")</f>
        <v>High Risk Exposure</v>
      </c>
      <c r="T1395" t="str" cm="1">
        <f t="array" ref="T1395">_xlfn.IFS(
Loans[[#This Row],[LoanStatus]]="Default","Critical",
OR(Loans[[#This Row],[LoanStatus]]="Watchlist",Loans[[#This Row],[CollateralRisk]]="Undersecured",Loans[[#This Row],[RiskCategory]]="High Risk"),"High",
TRUE,"Normal"
)</f>
        <v>High</v>
      </c>
    </row>
    <row r="1396" spans="1:20" x14ac:dyDescent="0.35">
      <c r="A1396" t="s">
        <v>2182</v>
      </c>
      <c r="B1396" t="s">
        <v>2183</v>
      </c>
      <c r="C1396" t="s">
        <v>174</v>
      </c>
      <c r="D1396" t="s">
        <v>158</v>
      </c>
      <c r="E1396" s="34">
        <v>3000000</v>
      </c>
      <c r="F1396" s="29">
        <v>0.18</v>
      </c>
      <c r="G1396" s="30">
        <v>44224</v>
      </c>
      <c r="H1396">
        <v>72</v>
      </c>
      <c r="I1396">
        <v>10</v>
      </c>
      <c r="J1396" s="34">
        <v>3480000</v>
      </c>
      <c r="K1396" t="s">
        <v>171</v>
      </c>
      <c r="L1396" s="34">
        <f>PMT(Loans[[#This Row],[InterestRate]]/12,Loans[[#This Row],[LoanTenureMonths]],-Loans[[#This Row],[LoanAmount]])</f>
        <v>68423.373257587431</v>
      </c>
      <c r="M1396" s="30">
        <f>EDATE(Loans[[#This Row],[LoanStartDate]],Loans[[#This Row],[LoanTenureMonths]])</f>
        <v>46415</v>
      </c>
      <c r="N1396" s="33">
        <f>IF(Loans[[#This Row],[LoanAmount]]=0,0,Loans[[#This Row],[CollateralValue]]/Loans[[#This Row],[LoanAmount]])</f>
        <v>1.1599999999999999</v>
      </c>
      <c r="O1396" t="str">
        <f>IF(Loans[[#This Row],[CollateralCoverageRatio]]&lt;1,"Undersecured","Secured")</f>
        <v>Secured</v>
      </c>
      <c r="P1396" t="str">
        <f>_xlfn.XLOOKUP(Loans[[#This Row],[BranchCode]],BranchesTbl[BranchCode],BranchesTbl[BranchName])</f>
        <v>Westlands</v>
      </c>
      <c r="Q1396">
        <f>_xlfn.XLOOKUP(Loans[[#This Row],[CustomerID]],CustomerTbl[CustomerID],CustomerTbl[RiskScore])</f>
        <v>522</v>
      </c>
      <c r="R1396" t="str">
        <f>IFERROR(INDEX(RiskTbl[Risk_Category],MATCH(Loans[[#This Row],[RiskScore]],RiskTbl[Score_Min],1)),"Unknown")</f>
        <v>High Risk</v>
      </c>
      <c r="S1396" t="str">
        <f>IF(OR(Loans[[#This Row],[LoanStatus]]="Default",Loans[[#This Row],[LoanStatus]]="Watchlist",Loans[[#This Row],[CollateralRisk]]="Undersecured",Loans[[#This Row],[RiskCategory]]="High Risk"),"High Risk Exposure","Normal")</f>
        <v>High Risk Exposure</v>
      </c>
      <c r="T1396" t="str" cm="1">
        <f t="array" ref="T1396">_xlfn.IFS(
Loans[[#This Row],[LoanStatus]]="Default","Critical",
OR(Loans[[#This Row],[LoanStatus]]="Watchlist",Loans[[#This Row],[CollateralRisk]]="Undersecured",Loans[[#This Row],[RiskCategory]]="High Risk"),"High",
TRUE,"Normal"
)</f>
        <v>High</v>
      </c>
    </row>
    <row r="1397" spans="1:20" x14ac:dyDescent="0.35">
      <c r="A1397" t="s">
        <v>2184</v>
      </c>
      <c r="B1397" t="s">
        <v>1281</v>
      </c>
      <c r="C1397" t="s">
        <v>267</v>
      </c>
      <c r="D1397" t="s">
        <v>155</v>
      </c>
      <c r="E1397" s="34">
        <v>1000000</v>
      </c>
      <c r="F1397" s="29">
        <v>0.2792</v>
      </c>
      <c r="G1397" s="30">
        <v>44404</v>
      </c>
      <c r="H1397">
        <v>12</v>
      </c>
      <c r="I1397">
        <v>0</v>
      </c>
      <c r="J1397" s="34">
        <v>0</v>
      </c>
      <c r="K1397" t="s">
        <v>171</v>
      </c>
      <c r="L1397" s="34">
        <f>PMT(Loans[[#This Row],[InterestRate]]/12,Loans[[#This Row],[LoanTenureMonths]],-Loans[[#This Row],[LoanAmount]])</f>
        <v>96466.852957478404</v>
      </c>
      <c r="M1397" s="30">
        <f>EDATE(Loans[[#This Row],[LoanStartDate]],Loans[[#This Row],[LoanTenureMonths]])</f>
        <v>44769</v>
      </c>
      <c r="N1397" s="33">
        <f>IF(Loans[[#This Row],[LoanAmount]]=0,0,Loans[[#This Row],[CollateralValue]]/Loans[[#This Row],[LoanAmount]])</f>
        <v>0</v>
      </c>
      <c r="O1397" t="str">
        <f>IF(Loans[[#This Row],[CollateralCoverageRatio]]&lt;1,"Undersecured","Secured")</f>
        <v>Undersecured</v>
      </c>
      <c r="P1397" t="str">
        <f>_xlfn.XLOOKUP(Loans[[#This Row],[BranchCode]],BranchesTbl[BranchCode],BranchesTbl[BranchName])</f>
        <v>Malindi</v>
      </c>
      <c r="Q1397">
        <f>_xlfn.XLOOKUP(Loans[[#This Row],[CustomerID]],CustomerTbl[CustomerID],CustomerTbl[RiskScore])</f>
        <v>322</v>
      </c>
      <c r="R1397" t="str">
        <f>IFERROR(INDEX(RiskTbl[Risk_Category],MATCH(Loans[[#This Row],[RiskScore]],RiskTbl[Score_Min],1)),"Unknown")</f>
        <v>High Risk</v>
      </c>
      <c r="S1397" t="str">
        <f>IF(OR(Loans[[#This Row],[LoanStatus]]="Default",Loans[[#This Row],[LoanStatus]]="Watchlist",Loans[[#This Row],[CollateralRisk]]="Undersecured",Loans[[#This Row],[RiskCategory]]="High Risk"),"High Risk Exposure","Normal")</f>
        <v>High Risk Exposure</v>
      </c>
      <c r="T1397" t="str" cm="1">
        <f t="array" ref="T1397">_xlfn.IFS(
Loans[[#This Row],[LoanStatus]]="Default","Critical",
OR(Loans[[#This Row],[LoanStatus]]="Watchlist",Loans[[#This Row],[CollateralRisk]]="Undersecured",Loans[[#This Row],[RiskCategory]]="High Risk"),"High",
TRUE,"Normal"
)</f>
        <v>High</v>
      </c>
    </row>
    <row r="1398" spans="1:20" x14ac:dyDescent="0.35">
      <c r="A1398" t="s">
        <v>2185</v>
      </c>
      <c r="B1398" t="s">
        <v>241</v>
      </c>
      <c r="C1398" t="s">
        <v>219</v>
      </c>
      <c r="D1398" t="s">
        <v>156</v>
      </c>
      <c r="E1398" s="34">
        <v>6000000</v>
      </c>
      <c r="F1398" s="29">
        <v>0.19220000000000001</v>
      </c>
      <c r="G1398" s="30">
        <v>43907</v>
      </c>
      <c r="H1398">
        <v>36</v>
      </c>
      <c r="I1398">
        <v>0</v>
      </c>
      <c r="J1398" s="34">
        <v>4800000</v>
      </c>
      <c r="K1398" t="s">
        <v>171</v>
      </c>
      <c r="L1398" s="34">
        <f>PMT(Loans[[#This Row],[InterestRate]]/12,Loans[[#This Row],[LoanTenureMonths]],-Loans[[#This Row],[LoanAmount]])</f>
        <v>220604.07978449835</v>
      </c>
      <c r="M1398" s="30">
        <f>EDATE(Loans[[#This Row],[LoanStartDate]],Loans[[#This Row],[LoanTenureMonths]])</f>
        <v>45002</v>
      </c>
      <c r="N1398" s="33">
        <f>IF(Loans[[#This Row],[LoanAmount]]=0,0,Loans[[#This Row],[CollateralValue]]/Loans[[#This Row],[LoanAmount]])</f>
        <v>0.8</v>
      </c>
      <c r="O1398" t="str">
        <f>IF(Loans[[#This Row],[CollateralCoverageRatio]]&lt;1,"Undersecured","Secured")</f>
        <v>Undersecured</v>
      </c>
      <c r="P1398" t="str">
        <f>_xlfn.XLOOKUP(Loans[[#This Row],[BranchCode]],BranchesTbl[BranchCode],BranchesTbl[BranchName])</f>
        <v>Meru</v>
      </c>
      <c r="Q1398">
        <f>_xlfn.XLOOKUP(Loans[[#This Row],[CustomerID]],CustomerTbl[CustomerID],CustomerTbl[RiskScore])</f>
        <v>648</v>
      </c>
      <c r="R1398" t="str">
        <f>IFERROR(INDEX(RiskTbl[Risk_Category],MATCH(Loans[[#This Row],[RiskScore]],RiskTbl[Score_Min],1)),"Unknown")</f>
        <v>Medium Risk</v>
      </c>
      <c r="S1398" t="str">
        <f>IF(OR(Loans[[#This Row],[LoanStatus]]="Default",Loans[[#This Row],[LoanStatus]]="Watchlist",Loans[[#This Row],[CollateralRisk]]="Undersecured",Loans[[#This Row],[RiskCategory]]="High Risk"),"High Risk Exposure","Normal")</f>
        <v>High Risk Exposure</v>
      </c>
      <c r="T1398" t="str" cm="1">
        <f t="array" ref="T1398">_xlfn.IFS(
Loans[[#This Row],[LoanStatus]]="Default","Critical",
OR(Loans[[#This Row],[LoanStatus]]="Watchlist",Loans[[#This Row],[CollateralRisk]]="Undersecured",Loans[[#This Row],[RiskCategory]]="High Risk"),"High",
TRUE,"Normal"
)</f>
        <v>High</v>
      </c>
    </row>
    <row r="1399" spans="1:20" x14ac:dyDescent="0.35">
      <c r="A1399" t="s">
        <v>2186</v>
      </c>
      <c r="B1399" t="s">
        <v>619</v>
      </c>
      <c r="C1399" t="s">
        <v>177</v>
      </c>
      <c r="D1399" t="s">
        <v>157</v>
      </c>
      <c r="E1399" s="34">
        <v>80000000</v>
      </c>
      <c r="F1399" s="29">
        <v>0.1167</v>
      </c>
      <c r="G1399" s="30">
        <v>44958</v>
      </c>
      <c r="H1399">
        <v>24</v>
      </c>
      <c r="I1399">
        <v>120</v>
      </c>
      <c r="J1399" s="34">
        <v>44800000</v>
      </c>
      <c r="K1399" t="s">
        <v>178</v>
      </c>
      <c r="L1399" s="34">
        <f>PMT(Loans[[#This Row],[InterestRate]]/12,Loans[[#This Row],[LoanTenureMonths]],-Loans[[#This Row],[LoanAmount]])</f>
        <v>3753560.9930826002</v>
      </c>
      <c r="M1399" s="30">
        <f>EDATE(Loans[[#This Row],[LoanStartDate]],Loans[[#This Row],[LoanTenureMonths]])</f>
        <v>45689</v>
      </c>
      <c r="N1399" s="33">
        <f>IF(Loans[[#This Row],[LoanAmount]]=0,0,Loans[[#This Row],[CollateralValue]]/Loans[[#This Row],[LoanAmount]])</f>
        <v>0.56000000000000005</v>
      </c>
      <c r="O1399" t="str">
        <f>IF(Loans[[#This Row],[CollateralCoverageRatio]]&lt;1,"Undersecured","Secured")</f>
        <v>Undersecured</v>
      </c>
      <c r="P1399" t="str">
        <f>_xlfn.XLOOKUP(Loans[[#This Row],[BranchCode]],BranchesTbl[BranchCode],BranchesTbl[BranchName])</f>
        <v>Naivasha</v>
      </c>
      <c r="Q1399">
        <f>_xlfn.XLOOKUP(Loans[[#This Row],[CustomerID]],CustomerTbl[CustomerID],CustomerTbl[RiskScore])</f>
        <v>850</v>
      </c>
      <c r="R1399" t="str">
        <f>IFERROR(INDEX(RiskTbl[Risk_Category],MATCH(Loans[[#This Row],[RiskScore]],RiskTbl[Score_Min],1)),"Unknown")</f>
        <v>Prime</v>
      </c>
      <c r="S1399" t="str">
        <f>IF(OR(Loans[[#This Row],[LoanStatus]]="Default",Loans[[#This Row],[LoanStatus]]="Watchlist",Loans[[#This Row],[CollateralRisk]]="Undersecured",Loans[[#This Row],[RiskCategory]]="High Risk"),"High Risk Exposure","Normal")</f>
        <v>High Risk Exposure</v>
      </c>
      <c r="T1399" t="str" cm="1">
        <f t="array" ref="T1399">_xlfn.IFS(
Loans[[#This Row],[LoanStatus]]="Default","Critical",
OR(Loans[[#This Row],[LoanStatus]]="Watchlist",Loans[[#This Row],[CollateralRisk]]="Undersecured",Loans[[#This Row],[RiskCategory]]="High Risk"),"High",
TRUE,"Normal"
)</f>
        <v>Critical</v>
      </c>
    </row>
    <row r="1400" spans="1:20" x14ac:dyDescent="0.35">
      <c r="A1400" t="s">
        <v>2187</v>
      </c>
      <c r="B1400" t="s">
        <v>885</v>
      </c>
      <c r="C1400" t="s">
        <v>206</v>
      </c>
      <c r="D1400" t="s">
        <v>156</v>
      </c>
      <c r="E1400" s="34">
        <v>3000000</v>
      </c>
      <c r="F1400" s="29">
        <v>0.20319999999999999</v>
      </c>
      <c r="G1400" s="30">
        <v>43873</v>
      </c>
      <c r="H1400">
        <v>48</v>
      </c>
      <c r="I1400">
        <v>120</v>
      </c>
      <c r="J1400" s="34">
        <v>2880000</v>
      </c>
      <c r="K1400" t="s">
        <v>178</v>
      </c>
      <c r="L1400" s="34">
        <f>PMT(Loans[[#This Row],[InterestRate]]/12,Loans[[#This Row],[LoanTenureMonths]],-Loans[[#This Row],[LoanAmount]])</f>
        <v>91803.350884720334</v>
      </c>
      <c r="M1400" s="30">
        <f>EDATE(Loans[[#This Row],[LoanStartDate]],Loans[[#This Row],[LoanTenureMonths]])</f>
        <v>45334</v>
      </c>
      <c r="N1400" s="33">
        <f>IF(Loans[[#This Row],[LoanAmount]]=0,0,Loans[[#This Row],[CollateralValue]]/Loans[[#This Row],[LoanAmount]])</f>
        <v>0.96</v>
      </c>
      <c r="O1400" t="str">
        <f>IF(Loans[[#This Row],[CollateralCoverageRatio]]&lt;1,"Undersecured","Secured")</f>
        <v>Undersecured</v>
      </c>
      <c r="P1400" t="str">
        <f>_xlfn.XLOOKUP(Loans[[#This Row],[BranchCode]],BranchesTbl[BranchCode],BranchesTbl[BranchName])</f>
        <v>Nyahururu</v>
      </c>
      <c r="Q1400">
        <f>_xlfn.XLOOKUP(Loans[[#This Row],[CustomerID]],CustomerTbl[CustomerID],CustomerTbl[RiskScore])</f>
        <v>610</v>
      </c>
      <c r="R1400" t="str">
        <f>IFERROR(INDEX(RiskTbl[Risk_Category],MATCH(Loans[[#This Row],[RiskScore]],RiskTbl[Score_Min],1)),"Unknown")</f>
        <v>Medium Risk</v>
      </c>
      <c r="S1400" t="str">
        <f>IF(OR(Loans[[#This Row],[LoanStatus]]="Default",Loans[[#This Row],[LoanStatus]]="Watchlist",Loans[[#This Row],[CollateralRisk]]="Undersecured",Loans[[#This Row],[RiskCategory]]="High Risk"),"High Risk Exposure","Normal")</f>
        <v>High Risk Exposure</v>
      </c>
      <c r="T1400" t="str" cm="1">
        <f t="array" ref="T1400">_xlfn.IFS(
Loans[[#This Row],[LoanStatus]]="Default","Critical",
OR(Loans[[#This Row],[LoanStatus]]="Watchlist",Loans[[#This Row],[CollateralRisk]]="Undersecured",Loans[[#This Row],[RiskCategory]]="High Risk"),"High",
TRUE,"Normal"
)</f>
        <v>Critical</v>
      </c>
    </row>
    <row r="1401" spans="1:20" x14ac:dyDescent="0.35">
      <c r="A1401" t="s">
        <v>2188</v>
      </c>
      <c r="B1401" t="s">
        <v>2114</v>
      </c>
      <c r="C1401" t="s">
        <v>270</v>
      </c>
      <c r="D1401" t="s">
        <v>156</v>
      </c>
      <c r="E1401" s="34">
        <v>1000000</v>
      </c>
      <c r="F1401" s="29">
        <v>0.16700000000000001</v>
      </c>
      <c r="G1401" s="30">
        <v>44282</v>
      </c>
      <c r="H1401">
        <v>60</v>
      </c>
      <c r="I1401">
        <v>0</v>
      </c>
      <c r="J1401" s="34">
        <v>670000</v>
      </c>
      <c r="K1401" t="s">
        <v>171</v>
      </c>
      <c r="L1401" s="34">
        <f>PMT(Loans[[#This Row],[InterestRate]]/12,Loans[[#This Row],[LoanTenureMonths]],-Loans[[#This Row],[LoanAmount]])</f>
        <v>24691.552492937179</v>
      </c>
      <c r="M1401" s="30">
        <f>EDATE(Loans[[#This Row],[LoanStartDate]],Loans[[#This Row],[LoanTenureMonths]])</f>
        <v>46108</v>
      </c>
      <c r="N1401" s="33">
        <f>IF(Loans[[#This Row],[LoanAmount]]=0,0,Loans[[#This Row],[CollateralValue]]/Loans[[#This Row],[LoanAmount]])</f>
        <v>0.67</v>
      </c>
      <c r="O1401" t="str">
        <f>IF(Loans[[#This Row],[CollateralCoverageRatio]]&lt;1,"Undersecured","Secured")</f>
        <v>Undersecured</v>
      </c>
      <c r="P1401" t="str">
        <f>_xlfn.XLOOKUP(Loans[[#This Row],[BranchCode]],BranchesTbl[BranchCode],BranchesTbl[BranchName])</f>
        <v>Nakuru</v>
      </c>
      <c r="Q1401">
        <f>_xlfn.XLOOKUP(Loans[[#This Row],[CustomerID]],CustomerTbl[CustomerID],CustomerTbl[RiskScore])</f>
        <v>601</v>
      </c>
      <c r="R1401" t="str">
        <f>IFERROR(INDEX(RiskTbl[Risk_Category],MATCH(Loans[[#This Row],[RiskScore]],RiskTbl[Score_Min],1)),"Unknown")</f>
        <v>Medium Risk</v>
      </c>
      <c r="S1401" t="str">
        <f>IF(OR(Loans[[#This Row],[LoanStatus]]="Default",Loans[[#This Row],[LoanStatus]]="Watchlist",Loans[[#This Row],[CollateralRisk]]="Undersecured",Loans[[#This Row],[RiskCategory]]="High Risk"),"High Risk Exposure","Normal")</f>
        <v>High Risk Exposure</v>
      </c>
      <c r="T1401" t="str" cm="1">
        <f t="array" ref="T1401">_xlfn.IFS(
Loans[[#This Row],[LoanStatus]]="Default","Critical",
OR(Loans[[#This Row],[LoanStatus]]="Watchlist",Loans[[#This Row],[CollateralRisk]]="Undersecured",Loans[[#This Row],[RiskCategory]]="High Risk"),"High",
TRUE,"Normal"
)</f>
        <v>High</v>
      </c>
    </row>
    <row r="1402" spans="1:20" x14ac:dyDescent="0.35">
      <c r="A1402" t="s">
        <v>2189</v>
      </c>
      <c r="B1402" t="s">
        <v>528</v>
      </c>
      <c r="C1402" t="s">
        <v>267</v>
      </c>
      <c r="D1402" t="s">
        <v>157</v>
      </c>
      <c r="E1402" s="34">
        <v>25000000</v>
      </c>
      <c r="F1402" s="29">
        <v>0.1154</v>
      </c>
      <c r="G1402" s="30">
        <v>45355</v>
      </c>
      <c r="H1402">
        <v>24</v>
      </c>
      <c r="I1402">
        <v>20</v>
      </c>
      <c r="J1402" s="34">
        <v>35500000</v>
      </c>
      <c r="K1402" t="s">
        <v>171</v>
      </c>
      <c r="L1402" s="34">
        <f>PMT(Loans[[#This Row],[InterestRate]]/12,Loans[[#This Row],[LoanTenureMonths]],-Loans[[#This Row],[LoanAmount]])</f>
        <v>1171473.5711209395</v>
      </c>
      <c r="M1402" s="30">
        <f>EDATE(Loans[[#This Row],[LoanStartDate]],Loans[[#This Row],[LoanTenureMonths]])</f>
        <v>46085</v>
      </c>
      <c r="N1402" s="33">
        <f>IF(Loans[[#This Row],[LoanAmount]]=0,0,Loans[[#This Row],[CollateralValue]]/Loans[[#This Row],[LoanAmount]])</f>
        <v>1.42</v>
      </c>
      <c r="O1402" t="str">
        <f>IF(Loans[[#This Row],[CollateralCoverageRatio]]&lt;1,"Undersecured","Secured")</f>
        <v>Secured</v>
      </c>
      <c r="P1402" t="str">
        <f>_xlfn.XLOOKUP(Loans[[#This Row],[BranchCode]],BranchesTbl[BranchCode],BranchesTbl[BranchName])</f>
        <v>Malindi</v>
      </c>
      <c r="Q1402">
        <f>_xlfn.XLOOKUP(Loans[[#This Row],[CustomerID]],CustomerTbl[CustomerID],CustomerTbl[RiskScore])</f>
        <v>737</v>
      </c>
      <c r="R1402" t="str">
        <f>IFERROR(INDEX(RiskTbl[Risk_Category],MATCH(Loans[[#This Row],[RiskScore]],RiskTbl[Score_Min],1)),"Unknown")</f>
        <v>Low Risk</v>
      </c>
      <c r="S1402" t="str">
        <f>IF(OR(Loans[[#This Row],[LoanStatus]]="Default",Loans[[#This Row],[LoanStatus]]="Watchlist",Loans[[#This Row],[CollateralRisk]]="Undersecured",Loans[[#This Row],[RiskCategory]]="High Risk"),"High Risk Exposure","Normal")</f>
        <v>Normal</v>
      </c>
      <c r="T1402" t="str" cm="1">
        <f t="array" ref="T1402">_xlfn.IFS(
Loans[[#This Row],[LoanStatus]]="Default","Critical",
OR(Loans[[#This Row],[LoanStatus]]="Watchlist",Loans[[#This Row],[CollateralRisk]]="Undersecured",Loans[[#This Row],[RiskCategory]]="High Risk"),"High",
TRUE,"Normal"
)</f>
        <v>Normal</v>
      </c>
    </row>
    <row r="1403" spans="1:20" x14ac:dyDescent="0.35">
      <c r="A1403" t="s">
        <v>2190</v>
      </c>
      <c r="B1403" t="s">
        <v>970</v>
      </c>
      <c r="C1403" t="s">
        <v>187</v>
      </c>
      <c r="D1403" t="s">
        <v>155</v>
      </c>
      <c r="E1403" s="34">
        <v>500000</v>
      </c>
      <c r="F1403" s="29">
        <v>0.22600000000000001</v>
      </c>
      <c r="G1403" s="30">
        <v>44626</v>
      </c>
      <c r="H1403">
        <v>24</v>
      </c>
      <c r="I1403">
        <v>10</v>
      </c>
      <c r="J1403" s="34">
        <v>0</v>
      </c>
      <c r="K1403" t="s">
        <v>171</v>
      </c>
      <c r="L1403" s="34">
        <f>PMT(Loans[[#This Row],[InterestRate]]/12,Loans[[#This Row],[LoanTenureMonths]],-Loans[[#This Row],[LoanAmount]])</f>
        <v>26087.464126245613</v>
      </c>
      <c r="M1403" s="30">
        <f>EDATE(Loans[[#This Row],[LoanStartDate]],Loans[[#This Row],[LoanTenureMonths]])</f>
        <v>45357</v>
      </c>
      <c r="N1403" s="33">
        <f>IF(Loans[[#This Row],[LoanAmount]]=0,0,Loans[[#This Row],[CollateralValue]]/Loans[[#This Row],[LoanAmount]])</f>
        <v>0</v>
      </c>
      <c r="O1403" t="str">
        <f>IF(Loans[[#This Row],[CollateralCoverageRatio]]&lt;1,"Undersecured","Secured")</f>
        <v>Undersecured</v>
      </c>
      <c r="P1403" t="str">
        <f>_xlfn.XLOOKUP(Loans[[#This Row],[BranchCode]],BranchesTbl[BranchCode],BranchesTbl[BranchName])</f>
        <v>Eldoret</v>
      </c>
      <c r="Q1403">
        <f>_xlfn.XLOOKUP(Loans[[#This Row],[CustomerID]],CustomerTbl[CustomerID],CustomerTbl[RiskScore])</f>
        <v>627</v>
      </c>
      <c r="R1403" t="str">
        <f>IFERROR(INDEX(RiskTbl[Risk_Category],MATCH(Loans[[#This Row],[RiskScore]],RiskTbl[Score_Min],1)),"Unknown")</f>
        <v>Medium Risk</v>
      </c>
      <c r="S1403" t="str">
        <f>IF(OR(Loans[[#This Row],[LoanStatus]]="Default",Loans[[#This Row],[LoanStatus]]="Watchlist",Loans[[#This Row],[CollateralRisk]]="Undersecured",Loans[[#This Row],[RiskCategory]]="High Risk"),"High Risk Exposure","Normal")</f>
        <v>High Risk Exposure</v>
      </c>
      <c r="T1403" t="str" cm="1">
        <f t="array" ref="T1403">_xlfn.IFS(
Loans[[#This Row],[LoanStatus]]="Default","Critical",
OR(Loans[[#This Row],[LoanStatus]]="Watchlist",Loans[[#This Row],[CollateralRisk]]="Undersecured",Loans[[#This Row],[RiskCategory]]="High Risk"),"High",
TRUE,"Normal"
)</f>
        <v>High</v>
      </c>
    </row>
    <row r="1404" spans="1:20" x14ac:dyDescent="0.35">
      <c r="A1404" t="s">
        <v>2191</v>
      </c>
      <c r="B1404" t="s">
        <v>788</v>
      </c>
      <c r="C1404" t="s">
        <v>170</v>
      </c>
      <c r="D1404" t="s">
        <v>158</v>
      </c>
      <c r="E1404" s="34">
        <v>6000000</v>
      </c>
      <c r="F1404" s="29">
        <v>0.1648</v>
      </c>
      <c r="G1404" s="30">
        <v>44618</v>
      </c>
      <c r="H1404">
        <v>48</v>
      </c>
      <c r="I1404">
        <v>20</v>
      </c>
      <c r="J1404" s="34">
        <v>9000000</v>
      </c>
      <c r="K1404" t="s">
        <v>171</v>
      </c>
      <c r="L1404" s="34">
        <f>PMT(Loans[[#This Row],[InterestRate]]/12,Loans[[#This Row],[LoanTenureMonths]],-Loans[[#This Row],[LoanAmount]])</f>
        <v>171520.29457077093</v>
      </c>
      <c r="M1404" s="30">
        <f>EDATE(Loans[[#This Row],[LoanStartDate]],Loans[[#This Row],[LoanTenureMonths]])</f>
        <v>46079</v>
      </c>
      <c r="N1404" s="33">
        <f>IF(Loans[[#This Row],[LoanAmount]]=0,0,Loans[[#This Row],[CollateralValue]]/Loans[[#This Row],[LoanAmount]])</f>
        <v>1.5</v>
      </c>
      <c r="O1404" t="str">
        <f>IF(Loans[[#This Row],[CollateralCoverageRatio]]&lt;1,"Undersecured","Secured")</f>
        <v>Secured</v>
      </c>
      <c r="P1404" t="str">
        <f>_xlfn.XLOOKUP(Loans[[#This Row],[BranchCode]],BranchesTbl[BranchCode],BranchesTbl[BranchName])</f>
        <v>Thika</v>
      </c>
      <c r="Q1404">
        <f>_xlfn.XLOOKUP(Loans[[#This Row],[CustomerID]],CustomerTbl[CustomerID],CustomerTbl[RiskScore])</f>
        <v>705</v>
      </c>
      <c r="R1404" t="str">
        <f>IFERROR(INDEX(RiskTbl[Risk_Category],MATCH(Loans[[#This Row],[RiskScore]],RiskTbl[Score_Min],1)),"Unknown")</f>
        <v>Low Risk</v>
      </c>
      <c r="S1404" t="str">
        <f>IF(OR(Loans[[#This Row],[LoanStatus]]="Default",Loans[[#This Row],[LoanStatus]]="Watchlist",Loans[[#This Row],[CollateralRisk]]="Undersecured",Loans[[#This Row],[RiskCategory]]="High Risk"),"High Risk Exposure","Normal")</f>
        <v>Normal</v>
      </c>
      <c r="T1404" t="str" cm="1">
        <f t="array" ref="T1404">_xlfn.IFS(
Loans[[#This Row],[LoanStatus]]="Default","Critical",
OR(Loans[[#This Row],[LoanStatus]]="Watchlist",Loans[[#This Row],[CollateralRisk]]="Undersecured",Loans[[#This Row],[RiskCategory]]="High Risk"),"High",
TRUE,"Normal"
)</f>
        <v>Normal</v>
      </c>
    </row>
    <row r="1405" spans="1:20" x14ac:dyDescent="0.35">
      <c r="A1405" t="s">
        <v>2192</v>
      </c>
      <c r="B1405" t="s">
        <v>1901</v>
      </c>
      <c r="C1405" t="s">
        <v>170</v>
      </c>
      <c r="D1405" t="s">
        <v>157</v>
      </c>
      <c r="E1405" s="34">
        <v>80000000</v>
      </c>
      <c r="F1405" s="29">
        <v>0.1166</v>
      </c>
      <c r="G1405" s="30">
        <v>44677</v>
      </c>
      <c r="H1405">
        <v>48</v>
      </c>
      <c r="I1405">
        <v>20</v>
      </c>
      <c r="J1405" s="34">
        <v>92800000</v>
      </c>
      <c r="K1405" t="s">
        <v>171</v>
      </c>
      <c r="L1405" s="34">
        <f>PMT(Loans[[#This Row],[InterestRate]]/12,Loans[[#This Row],[LoanTenureMonths]],-Loans[[#This Row],[LoanAmount]])</f>
        <v>2093376.6186381008</v>
      </c>
      <c r="M1405" s="30">
        <f>EDATE(Loans[[#This Row],[LoanStartDate]],Loans[[#This Row],[LoanTenureMonths]])</f>
        <v>46138</v>
      </c>
      <c r="N1405" s="33">
        <f>IF(Loans[[#This Row],[LoanAmount]]=0,0,Loans[[#This Row],[CollateralValue]]/Loans[[#This Row],[LoanAmount]])</f>
        <v>1.1599999999999999</v>
      </c>
      <c r="O1405" t="str">
        <f>IF(Loans[[#This Row],[CollateralCoverageRatio]]&lt;1,"Undersecured","Secured")</f>
        <v>Secured</v>
      </c>
      <c r="P1405" t="str">
        <f>_xlfn.XLOOKUP(Loans[[#This Row],[BranchCode]],BranchesTbl[BranchCode],BranchesTbl[BranchName])</f>
        <v>Thika</v>
      </c>
      <c r="Q1405">
        <f>_xlfn.XLOOKUP(Loans[[#This Row],[CustomerID]],CustomerTbl[CustomerID],CustomerTbl[RiskScore])</f>
        <v>797</v>
      </c>
      <c r="R1405" t="str">
        <f>IFERROR(INDEX(RiskTbl[Risk_Category],MATCH(Loans[[#This Row],[RiskScore]],RiskTbl[Score_Min],1)),"Unknown")</f>
        <v>Very Low Risk</v>
      </c>
      <c r="S1405" t="str">
        <f>IF(OR(Loans[[#This Row],[LoanStatus]]="Default",Loans[[#This Row],[LoanStatus]]="Watchlist",Loans[[#This Row],[CollateralRisk]]="Undersecured",Loans[[#This Row],[RiskCategory]]="High Risk"),"High Risk Exposure","Normal")</f>
        <v>Normal</v>
      </c>
      <c r="T1405" t="str" cm="1">
        <f t="array" ref="T1405">_xlfn.IFS(
Loans[[#This Row],[LoanStatus]]="Default","Critical",
OR(Loans[[#This Row],[LoanStatus]]="Watchlist",Loans[[#This Row],[CollateralRisk]]="Undersecured",Loans[[#This Row],[RiskCategory]]="High Risk"),"High",
TRUE,"Normal"
)</f>
        <v>Normal</v>
      </c>
    </row>
    <row r="1406" spans="1:20" x14ac:dyDescent="0.35">
      <c r="A1406" t="s">
        <v>2193</v>
      </c>
      <c r="B1406" t="s">
        <v>2194</v>
      </c>
      <c r="C1406" t="s">
        <v>196</v>
      </c>
      <c r="D1406" t="s">
        <v>156</v>
      </c>
      <c r="E1406" s="34">
        <v>6000000</v>
      </c>
      <c r="F1406" s="29">
        <v>0.20119999999999999</v>
      </c>
      <c r="G1406" s="30">
        <v>45942</v>
      </c>
      <c r="H1406">
        <v>48</v>
      </c>
      <c r="I1406">
        <v>0</v>
      </c>
      <c r="J1406" s="34">
        <v>8520000</v>
      </c>
      <c r="K1406" t="s">
        <v>171</v>
      </c>
      <c r="L1406" s="34">
        <f>PMT(Loans[[#This Row],[InterestRate]]/12,Loans[[#This Row],[LoanTenureMonths]],-Loans[[#This Row],[LoanAmount]])</f>
        <v>182966.00597301527</v>
      </c>
      <c r="M1406" s="30">
        <f>EDATE(Loans[[#This Row],[LoanStartDate]],Loans[[#This Row],[LoanTenureMonths]])</f>
        <v>47403</v>
      </c>
      <c r="N1406" s="33">
        <f>IF(Loans[[#This Row],[LoanAmount]]=0,0,Loans[[#This Row],[CollateralValue]]/Loans[[#This Row],[LoanAmount]])</f>
        <v>1.42</v>
      </c>
      <c r="O1406" t="str">
        <f>IF(Loans[[#This Row],[CollateralCoverageRatio]]&lt;1,"Undersecured","Secured")</f>
        <v>Secured</v>
      </c>
      <c r="P1406" t="str">
        <f>_xlfn.XLOOKUP(Loans[[#This Row],[BranchCode]],BranchesTbl[BranchCode],BranchesTbl[BranchName])</f>
        <v>Karen</v>
      </c>
      <c r="Q1406">
        <f>_xlfn.XLOOKUP(Loans[[#This Row],[CustomerID]],CustomerTbl[CustomerID],CustomerTbl[RiskScore])</f>
        <v>586</v>
      </c>
      <c r="R1406" t="str">
        <f>IFERROR(INDEX(RiskTbl[Risk_Category],MATCH(Loans[[#This Row],[RiskScore]],RiskTbl[Score_Min],1)),"Unknown")</f>
        <v>Medium Risk</v>
      </c>
      <c r="S1406" t="str">
        <f>IF(OR(Loans[[#This Row],[LoanStatus]]="Default",Loans[[#This Row],[LoanStatus]]="Watchlist",Loans[[#This Row],[CollateralRisk]]="Undersecured",Loans[[#This Row],[RiskCategory]]="High Risk"),"High Risk Exposure","Normal")</f>
        <v>Normal</v>
      </c>
      <c r="T1406" t="str" cm="1">
        <f t="array" ref="T1406">_xlfn.IFS(
Loans[[#This Row],[LoanStatus]]="Default","Critical",
OR(Loans[[#This Row],[LoanStatus]]="Watchlist",Loans[[#This Row],[CollateralRisk]]="Undersecured",Loans[[#This Row],[RiskCategory]]="High Risk"),"High",
TRUE,"Normal"
)</f>
        <v>Normal</v>
      </c>
    </row>
    <row r="1407" spans="1:20" x14ac:dyDescent="0.35">
      <c r="A1407" t="s">
        <v>2195</v>
      </c>
      <c r="B1407" t="s">
        <v>1709</v>
      </c>
      <c r="C1407" t="s">
        <v>267</v>
      </c>
      <c r="D1407" t="s">
        <v>155</v>
      </c>
      <c r="E1407" s="34">
        <v>500000</v>
      </c>
      <c r="F1407" s="29">
        <v>0.2387</v>
      </c>
      <c r="G1407" s="30">
        <v>44303</v>
      </c>
      <c r="H1407">
        <v>72</v>
      </c>
      <c r="I1407">
        <v>10</v>
      </c>
      <c r="J1407" s="34">
        <v>0</v>
      </c>
      <c r="K1407" t="s">
        <v>171</v>
      </c>
      <c r="L1407" s="34">
        <f>PMT(Loans[[#This Row],[InterestRate]]/12,Loans[[#This Row],[LoanTenureMonths]],-Loans[[#This Row],[LoanAmount]])</f>
        <v>13123.984919748904</v>
      </c>
      <c r="M1407" s="30">
        <f>EDATE(Loans[[#This Row],[LoanStartDate]],Loans[[#This Row],[LoanTenureMonths]])</f>
        <v>46494</v>
      </c>
      <c r="N1407" s="33">
        <f>IF(Loans[[#This Row],[LoanAmount]]=0,0,Loans[[#This Row],[CollateralValue]]/Loans[[#This Row],[LoanAmount]])</f>
        <v>0</v>
      </c>
      <c r="O1407" t="str">
        <f>IF(Loans[[#This Row],[CollateralCoverageRatio]]&lt;1,"Undersecured","Secured")</f>
        <v>Undersecured</v>
      </c>
      <c r="P1407" t="str">
        <f>_xlfn.XLOOKUP(Loans[[#This Row],[BranchCode]],BranchesTbl[BranchCode],BranchesTbl[BranchName])</f>
        <v>Malindi</v>
      </c>
      <c r="Q1407">
        <f>_xlfn.XLOOKUP(Loans[[#This Row],[CustomerID]],CustomerTbl[CustomerID],CustomerTbl[RiskScore])</f>
        <v>525</v>
      </c>
      <c r="R1407" t="str">
        <f>IFERROR(INDEX(RiskTbl[Risk_Category],MATCH(Loans[[#This Row],[RiskScore]],RiskTbl[Score_Min],1)),"Unknown")</f>
        <v>High Risk</v>
      </c>
      <c r="S1407" t="str">
        <f>IF(OR(Loans[[#This Row],[LoanStatus]]="Default",Loans[[#This Row],[LoanStatus]]="Watchlist",Loans[[#This Row],[CollateralRisk]]="Undersecured",Loans[[#This Row],[RiskCategory]]="High Risk"),"High Risk Exposure","Normal")</f>
        <v>High Risk Exposure</v>
      </c>
      <c r="T1407" t="str" cm="1">
        <f t="array" ref="T1407">_xlfn.IFS(
Loans[[#This Row],[LoanStatus]]="Default","Critical",
OR(Loans[[#This Row],[LoanStatus]]="Watchlist",Loans[[#This Row],[CollateralRisk]]="Undersecured",Loans[[#This Row],[RiskCategory]]="High Risk"),"High",
TRUE,"Normal"
)</f>
        <v>High</v>
      </c>
    </row>
    <row r="1408" spans="1:20" x14ac:dyDescent="0.35">
      <c r="A1408" t="s">
        <v>2196</v>
      </c>
      <c r="B1408" t="s">
        <v>436</v>
      </c>
      <c r="C1408" t="s">
        <v>232</v>
      </c>
      <c r="D1408" t="s">
        <v>157</v>
      </c>
      <c r="E1408" s="34">
        <v>25000000</v>
      </c>
      <c r="F1408" s="29">
        <v>0.1153</v>
      </c>
      <c r="G1408" s="30">
        <v>44634</v>
      </c>
      <c r="H1408">
        <v>60</v>
      </c>
      <c r="I1408">
        <v>0</v>
      </c>
      <c r="J1408" s="34">
        <v>29750000</v>
      </c>
      <c r="K1408" t="s">
        <v>171</v>
      </c>
      <c r="L1408" s="34">
        <f>PMT(Loans[[#This Row],[InterestRate]]/12,Loans[[#This Row],[LoanTenureMonths]],-Loans[[#This Row],[LoanAmount]])</f>
        <v>550191.77876912651</v>
      </c>
      <c r="M1408" s="30">
        <f>EDATE(Loans[[#This Row],[LoanStartDate]],Loans[[#This Row],[LoanTenureMonths]])</f>
        <v>46460</v>
      </c>
      <c r="N1408" s="33">
        <f>IF(Loans[[#This Row],[LoanAmount]]=0,0,Loans[[#This Row],[CollateralValue]]/Loans[[#This Row],[LoanAmount]])</f>
        <v>1.19</v>
      </c>
      <c r="O1408" t="str">
        <f>IF(Loans[[#This Row],[CollateralCoverageRatio]]&lt;1,"Undersecured","Secured")</f>
        <v>Secured</v>
      </c>
      <c r="P1408" t="str">
        <f>_xlfn.XLOOKUP(Loans[[#This Row],[BranchCode]],BranchesTbl[BranchCode],BranchesTbl[BranchName])</f>
        <v>Upper Hill</v>
      </c>
      <c r="Q1408">
        <f>_xlfn.XLOOKUP(Loans[[#This Row],[CustomerID]],CustomerTbl[CustomerID],CustomerTbl[RiskScore])</f>
        <v>487</v>
      </c>
      <c r="R1408" t="str">
        <f>IFERROR(INDEX(RiskTbl[Risk_Category],MATCH(Loans[[#This Row],[RiskScore]],RiskTbl[Score_Min],1)),"Unknown")</f>
        <v>High Risk</v>
      </c>
      <c r="S1408" t="str">
        <f>IF(OR(Loans[[#This Row],[LoanStatus]]="Default",Loans[[#This Row],[LoanStatus]]="Watchlist",Loans[[#This Row],[CollateralRisk]]="Undersecured",Loans[[#This Row],[RiskCategory]]="High Risk"),"High Risk Exposure","Normal")</f>
        <v>High Risk Exposure</v>
      </c>
      <c r="T1408" t="str" cm="1">
        <f t="array" ref="T1408">_xlfn.IFS(
Loans[[#This Row],[LoanStatus]]="Default","Critical",
OR(Loans[[#This Row],[LoanStatus]]="Watchlist",Loans[[#This Row],[CollateralRisk]]="Undersecured",Loans[[#This Row],[RiskCategory]]="High Risk"),"High",
TRUE,"Normal"
)</f>
        <v>High</v>
      </c>
    </row>
    <row r="1409" spans="1:20" x14ac:dyDescent="0.35">
      <c r="A1409" t="s">
        <v>2197</v>
      </c>
      <c r="B1409" t="s">
        <v>883</v>
      </c>
      <c r="C1409" t="s">
        <v>232</v>
      </c>
      <c r="D1409" t="s">
        <v>156</v>
      </c>
      <c r="E1409" s="34">
        <v>3000000</v>
      </c>
      <c r="F1409" s="29">
        <v>0.21659999999999999</v>
      </c>
      <c r="G1409" s="30">
        <v>44371</v>
      </c>
      <c r="H1409">
        <v>72</v>
      </c>
      <c r="I1409">
        <v>10</v>
      </c>
      <c r="J1409" s="34">
        <v>3690000</v>
      </c>
      <c r="K1409" t="s">
        <v>171</v>
      </c>
      <c r="L1409" s="34">
        <f>PMT(Loans[[#This Row],[InterestRate]]/12,Loans[[#This Row],[LoanTenureMonths]],-Loans[[#This Row],[LoanAmount]])</f>
        <v>74774.125894928729</v>
      </c>
      <c r="M1409" s="30">
        <f>EDATE(Loans[[#This Row],[LoanStartDate]],Loans[[#This Row],[LoanTenureMonths]])</f>
        <v>46562</v>
      </c>
      <c r="N1409" s="33">
        <f>IF(Loans[[#This Row],[LoanAmount]]=0,0,Loans[[#This Row],[CollateralValue]]/Loans[[#This Row],[LoanAmount]])</f>
        <v>1.23</v>
      </c>
      <c r="O1409" t="str">
        <f>IF(Loans[[#This Row],[CollateralCoverageRatio]]&lt;1,"Undersecured","Secured")</f>
        <v>Secured</v>
      </c>
      <c r="P1409" t="str">
        <f>_xlfn.XLOOKUP(Loans[[#This Row],[BranchCode]],BranchesTbl[BranchCode],BranchesTbl[BranchName])</f>
        <v>Upper Hill</v>
      </c>
      <c r="Q1409">
        <f>_xlfn.XLOOKUP(Loans[[#This Row],[CustomerID]],CustomerTbl[CustomerID],CustomerTbl[RiskScore])</f>
        <v>493</v>
      </c>
      <c r="R1409" t="str">
        <f>IFERROR(INDEX(RiskTbl[Risk_Category],MATCH(Loans[[#This Row],[RiskScore]],RiskTbl[Score_Min],1)),"Unknown")</f>
        <v>High Risk</v>
      </c>
      <c r="S1409" t="str">
        <f>IF(OR(Loans[[#This Row],[LoanStatus]]="Default",Loans[[#This Row],[LoanStatus]]="Watchlist",Loans[[#This Row],[CollateralRisk]]="Undersecured",Loans[[#This Row],[RiskCategory]]="High Risk"),"High Risk Exposure","Normal")</f>
        <v>High Risk Exposure</v>
      </c>
      <c r="T1409" t="str" cm="1">
        <f t="array" ref="T1409">_xlfn.IFS(
Loans[[#This Row],[LoanStatus]]="Default","Critical",
OR(Loans[[#This Row],[LoanStatus]]="Watchlist",Loans[[#This Row],[CollateralRisk]]="Undersecured",Loans[[#This Row],[RiskCategory]]="High Risk"),"High",
TRUE,"Normal"
)</f>
        <v>High</v>
      </c>
    </row>
    <row r="1410" spans="1:20" x14ac:dyDescent="0.35">
      <c r="A1410" t="s">
        <v>2198</v>
      </c>
      <c r="B1410" t="s">
        <v>551</v>
      </c>
      <c r="C1410" t="s">
        <v>170</v>
      </c>
      <c r="D1410" t="s">
        <v>156</v>
      </c>
      <c r="E1410" s="34">
        <v>25000000</v>
      </c>
      <c r="F1410" s="29">
        <v>0.16009999999999999</v>
      </c>
      <c r="G1410" s="30">
        <v>45619</v>
      </c>
      <c r="H1410">
        <v>12</v>
      </c>
      <c r="I1410">
        <v>0</v>
      </c>
      <c r="J1410" s="34">
        <v>36250000</v>
      </c>
      <c r="K1410" t="s">
        <v>171</v>
      </c>
      <c r="L1410" s="34">
        <f>PMT(Loans[[#This Row],[InterestRate]]/12,Loans[[#This Row],[LoanTenureMonths]],-Loans[[#This Row],[LoanAmount]])</f>
        <v>2268389.7532196376</v>
      </c>
      <c r="M1410" s="30">
        <f>EDATE(Loans[[#This Row],[LoanStartDate]],Loans[[#This Row],[LoanTenureMonths]])</f>
        <v>45984</v>
      </c>
      <c r="N1410" s="33">
        <f>IF(Loans[[#This Row],[LoanAmount]]=0,0,Loans[[#This Row],[CollateralValue]]/Loans[[#This Row],[LoanAmount]])</f>
        <v>1.45</v>
      </c>
      <c r="O1410" t="str">
        <f>IF(Loans[[#This Row],[CollateralCoverageRatio]]&lt;1,"Undersecured","Secured")</f>
        <v>Secured</v>
      </c>
      <c r="P1410" t="str">
        <f>_xlfn.XLOOKUP(Loans[[#This Row],[BranchCode]],BranchesTbl[BranchCode],BranchesTbl[BranchName])</f>
        <v>Thika</v>
      </c>
      <c r="Q1410">
        <f>_xlfn.XLOOKUP(Loans[[#This Row],[CustomerID]],CustomerTbl[CustomerID],CustomerTbl[RiskScore])</f>
        <v>724</v>
      </c>
      <c r="R1410" t="str">
        <f>IFERROR(INDEX(RiskTbl[Risk_Category],MATCH(Loans[[#This Row],[RiskScore]],RiskTbl[Score_Min],1)),"Unknown")</f>
        <v>Low Risk</v>
      </c>
      <c r="S1410" t="str">
        <f>IF(OR(Loans[[#This Row],[LoanStatus]]="Default",Loans[[#This Row],[LoanStatus]]="Watchlist",Loans[[#This Row],[CollateralRisk]]="Undersecured",Loans[[#This Row],[RiskCategory]]="High Risk"),"High Risk Exposure","Normal")</f>
        <v>Normal</v>
      </c>
      <c r="T1410" t="str" cm="1">
        <f t="array" ref="T1410">_xlfn.IFS(
Loans[[#This Row],[LoanStatus]]="Default","Critical",
OR(Loans[[#This Row],[LoanStatus]]="Watchlist",Loans[[#This Row],[CollateralRisk]]="Undersecured",Loans[[#This Row],[RiskCategory]]="High Risk"),"High",
TRUE,"Normal"
)</f>
        <v>Normal</v>
      </c>
    </row>
    <row r="1411" spans="1:20" x14ac:dyDescent="0.35">
      <c r="A1411" t="s">
        <v>2199</v>
      </c>
      <c r="B1411" t="s">
        <v>1220</v>
      </c>
      <c r="C1411" t="s">
        <v>187</v>
      </c>
      <c r="D1411" t="s">
        <v>155</v>
      </c>
      <c r="E1411" s="34">
        <v>500000</v>
      </c>
      <c r="F1411" s="29">
        <v>0.26040000000000002</v>
      </c>
      <c r="G1411" s="30">
        <v>44244</v>
      </c>
      <c r="H1411">
        <v>36</v>
      </c>
      <c r="I1411">
        <v>0</v>
      </c>
      <c r="J1411" s="34">
        <v>0</v>
      </c>
      <c r="K1411" t="s">
        <v>171</v>
      </c>
      <c r="L1411" s="34">
        <f>PMT(Loans[[#This Row],[InterestRate]]/12,Loans[[#This Row],[LoanTenureMonths]],-Loans[[#This Row],[LoanAmount]])</f>
        <v>20155.965757397415</v>
      </c>
      <c r="M1411" s="30">
        <f>EDATE(Loans[[#This Row],[LoanStartDate]],Loans[[#This Row],[LoanTenureMonths]])</f>
        <v>45339</v>
      </c>
      <c r="N1411" s="33">
        <f>IF(Loans[[#This Row],[LoanAmount]]=0,0,Loans[[#This Row],[CollateralValue]]/Loans[[#This Row],[LoanAmount]])</f>
        <v>0</v>
      </c>
      <c r="O1411" t="str">
        <f>IF(Loans[[#This Row],[CollateralCoverageRatio]]&lt;1,"Undersecured","Secured")</f>
        <v>Undersecured</v>
      </c>
      <c r="P1411" t="str">
        <f>_xlfn.XLOOKUP(Loans[[#This Row],[BranchCode]],BranchesTbl[BranchCode],BranchesTbl[BranchName])</f>
        <v>Eldoret</v>
      </c>
      <c r="Q1411">
        <f>_xlfn.XLOOKUP(Loans[[#This Row],[CustomerID]],CustomerTbl[CustomerID],CustomerTbl[RiskScore])</f>
        <v>463</v>
      </c>
      <c r="R1411" t="str">
        <f>IFERROR(INDEX(RiskTbl[Risk_Category],MATCH(Loans[[#This Row],[RiskScore]],RiskTbl[Score_Min],1)),"Unknown")</f>
        <v>High Risk</v>
      </c>
      <c r="S1411" t="str">
        <f>IF(OR(Loans[[#This Row],[LoanStatus]]="Default",Loans[[#This Row],[LoanStatus]]="Watchlist",Loans[[#This Row],[CollateralRisk]]="Undersecured",Loans[[#This Row],[RiskCategory]]="High Risk"),"High Risk Exposure","Normal")</f>
        <v>High Risk Exposure</v>
      </c>
      <c r="T1411" t="str" cm="1">
        <f t="array" ref="T1411">_xlfn.IFS(
Loans[[#This Row],[LoanStatus]]="Default","Critical",
OR(Loans[[#This Row],[LoanStatus]]="Watchlist",Loans[[#This Row],[CollateralRisk]]="Undersecured",Loans[[#This Row],[RiskCategory]]="High Risk"),"High",
TRUE,"Normal"
)</f>
        <v>High</v>
      </c>
    </row>
    <row r="1412" spans="1:20" x14ac:dyDescent="0.35">
      <c r="A1412" t="s">
        <v>2200</v>
      </c>
      <c r="B1412" t="s">
        <v>788</v>
      </c>
      <c r="C1412" t="s">
        <v>190</v>
      </c>
      <c r="D1412" t="s">
        <v>156</v>
      </c>
      <c r="E1412" s="34">
        <v>25000000</v>
      </c>
      <c r="F1412" s="29">
        <v>0.23250000000000001</v>
      </c>
      <c r="G1412" s="30">
        <v>45478</v>
      </c>
      <c r="H1412">
        <v>12</v>
      </c>
      <c r="I1412">
        <v>120</v>
      </c>
      <c r="J1412" s="34">
        <v>21000000</v>
      </c>
      <c r="K1412" t="s">
        <v>178</v>
      </c>
      <c r="L1412" s="34">
        <f>PMT(Loans[[#This Row],[InterestRate]]/12,Loans[[#This Row],[LoanTenureMonths]],-Loans[[#This Row],[LoanAmount]])</f>
        <v>2354925.3805048228</v>
      </c>
      <c r="M1412" s="30">
        <f>EDATE(Loans[[#This Row],[LoanStartDate]],Loans[[#This Row],[LoanTenureMonths]])</f>
        <v>45843</v>
      </c>
      <c r="N1412" s="33">
        <f>IF(Loans[[#This Row],[LoanAmount]]=0,0,Loans[[#This Row],[CollateralValue]]/Loans[[#This Row],[LoanAmount]])</f>
        <v>0.84</v>
      </c>
      <c r="O1412" t="str">
        <f>IF(Loans[[#This Row],[CollateralCoverageRatio]]&lt;1,"Undersecured","Secured")</f>
        <v>Undersecured</v>
      </c>
      <c r="P1412" t="str">
        <f>_xlfn.XLOOKUP(Loans[[#This Row],[BranchCode]],BranchesTbl[BranchCode],BranchesTbl[BranchName])</f>
        <v>Nyeri</v>
      </c>
      <c r="Q1412">
        <f>_xlfn.XLOOKUP(Loans[[#This Row],[CustomerID]],CustomerTbl[CustomerID],CustomerTbl[RiskScore])</f>
        <v>705</v>
      </c>
      <c r="R1412" t="str">
        <f>IFERROR(INDEX(RiskTbl[Risk_Category],MATCH(Loans[[#This Row],[RiskScore]],RiskTbl[Score_Min],1)),"Unknown")</f>
        <v>Low Risk</v>
      </c>
      <c r="S1412" t="str">
        <f>IF(OR(Loans[[#This Row],[LoanStatus]]="Default",Loans[[#This Row],[LoanStatus]]="Watchlist",Loans[[#This Row],[CollateralRisk]]="Undersecured",Loans[[#This Row],[RiskCategory]]="High Risk"),"High Risk Exposure","Normal")</f>
        <v>High Risk Exposure</v>
      </c>
      <c r="T1412" t="str" cm="1">
        <f t="array" ref="T1412">_xlfn.IFS(
Loans[[#This Row],[LoanStatus]]="Default","Critical",
OR(Loans[[#This Row],[LoanStatus]]="Watchlist",Loans[[#This Row],[CollateralRisk]]="Undersecured",Loans[[#This Row],[RiskCategory]]="High Risk"),"High",
TRUE,"Normal"
)</f>
        <v>Critical</v>
      </c>
    </row>
    <row r="1413" spans="1:20" x14ac:dyDescent="0.35">
      <c r="A1413" t="s">
        <v>2201</v>
      </c>
      <c r="B1413" t="s">
        <v>631</v>
      </c>
      <c r="C1413" t="s">
        <v>181</v>
      </c>
      <c r="D1413" t="s">
        <v>157</v>
      </c>
      <c r="E1413" s="34">
        <v>6000000</v>
      </c>
      <c r="F1413" s="29">
        <v>0.109</v>
      </c>
      <c r="G1413" s="30">
        <v>44051</v>
      </c>
      <c r="H1413">
        <v>36</v>
      </c>
      <c r="I1413">
        <v>120</v>
      </c>
      <c r="J1413" s="34">
        <v>5820000</v>
      </c>
      <c r="K1413" t="s">
        <v>178</v>
      </c>
      <c r="L1413" s="34">
        <f>PMT(Loans[[#This Row],[InterestRate]]/12,Loans[[#This Row],[LoanTenureMonths]],-Loans[[#This Row],[LoanAmount]])</f>
        <v>196148.28651915916</v>
      </c>
      <c r="M1413" s="30">
        <f>EDATE(Loans[[#This Row],[LoanStartDate]],Loans[[#This Row],[LoanTenureMonths]])</f>
        <v>45146</v>
      </c>
      <c r="N1413" s="33">
        <f>IF(Loans[[#This Row],[LoanAmount]]=0,0,Loans[[#This Row],[CollateralValue]]/Loans[[#This Row],[LoanAmount]])</f>
        <v>0.97</v>
      </c>
      <c r="O1413" t="str">
        <f>IF(Loans[[#This Row],[CollateralCoverageRatio]]&lt;1,"Undersecured","Secured")</f>
        <v>Undersecured</v>
      </c>
      <c r="P1413" t="str">
        <f>_xlfn.XLOOKUP(Loans[[#This Row],[BranchCode]],BranchesTbl[BranchCode],BranchesTbl[BranchName])</f>
        <v>Kitale</v>
      </c>
      <c r="Q1413">
        <f>_xlfn.XLOOKUP(Loans[[#This Row],[CustomerID]],CustomerTbl[CustomerID],CustomerTbl[RiskScore])</f>
        <v>830</v>
      </c>
      <c r="R1413" t="str">
        <f>IFERROR(INDEX(RiskTbl[Risk_Category],MATCH(Loans[[#This Row],[RiskScore]],RiskTbl[Score_Min],1)),"Unknown")</f>
        <v>Prime</v>
      </c>
      <c r="S1413" t="str">
        <f>IF(OR(Loans[[#This Row],[LoanStatus]]="Default",Loans[[#This Row],[LoanStatus]]="Watchlist",Loans[[#This Row],[CollateralRisk]]="Undersecured",Loans[[#This Row],[RiskCategory]]="High Risk"),"High Risk Exposure","Normal")</f>
        <v>High Risk Exposure</v>
      </c>
      <c r="T1413" t="str" cm="1">
        <f t="array" ref="T1413">_xlfn.IFS(
Loans[[#This Row],[LoanStatus]]="Default","Critical",
OR(Loans[[#This Row],[LoanStatus]]="Watchlist",Loans[[#This Row],[CollateralRisk]]="Undersecured",Loans[[#This Row],[RiskCategory]]="High Risk"),"High",
TRUE,"Normal"
)</f>
        <v>Critical</v>
      </c>
    </row>
    <row r="1414" spans="1:20" x14ac:dyDescent="0.35">
      <c r="A1414" t="s">
        <v>2202</v>
      </c>
      <c r="B1414" t="s">
        <v>486</v>
      </c>
      <c r="C1414" t="s">
        <v>193</v>
      </c>
      <c r="D1414" t="s">
        <v>157</v>
      </c>
      <c r="E1414" s="34">
        <v>6000000</v>
      </c>
      <c r="F1414" s="29">
        <v>0.1249</v>
      </c>
      <c r="G1414" s="30">
        <v>45507</v>
      </c>
      <c r="H1414">
        <v>60</v>
      </c>
      <c r="I1414">
        <v>90</v>
      </c>
      <c r="J1414" s="34">
        <v>4260000</v>
      </c>
      <c r="K1414" t="s">
        <v>199</v>
      </c>
      <c r="L1414" s="34">
        <f>PMT(Loans[[#This Row],[InterestRate]]/12,Loans[[#This Row],[LoanTenureMonths]],-Loans[[#This Row],[LoanAmount]])</f>
        <v>134957.11368335833</v>
      </c>
      <c r="M1414" s="30">
        <f>EDATE(Loans[[#This Row],[LoanStartDate]],Loans[[#This Row],[LoanTenureMonths]])</f>
        <v>47333</v>
      </c>
      <c r="N1414" s="33">
        <f>IF(Loans[[#This Row],[LoanAmount]]=0,0,Loans[[#This Row],[CollateralValue]]/Loans[[#This Row],[LoanAmount]])</f>
        <v>0.71</v>
      </c>
      <c r="O1414" t="str">
        <f>IF(Loans[[#This Row],[CollateralCoverageRatio]]&lt;1,"Undersecured","Secured")</f>
        <v>Undersecured</v>
      </c>
      <c r="P1414" t="str">
        <f>_xlfn.XLOOKUP(Loans[[#This Row],[BranchCode]],BranchesTbl[BranchCode],BranchesTbl[BranchName])</f>
        <v>Mombasa</v>
      </c>
      <c r="Q1414">
        <f>_xlfn.XLOOKUP(Loans[[#This Row],[CustomerID]],CustomerTbl[CustomerID],CustomerTbl[RiskScore])</f>
        <v>799</v>
      </c>
      <c r="R1414" t="str">
        <f>IFERROR(INDEX(RiskTbl[Risk_Category],MATCH(Loans[[#This Row],[RiskScore]],RiskTbl[Score_Min],1)),"Unknown")</f>
        <v>Very Low Risk</v>
      </c>
      <c r="S1414" t="str">
        <f>IF(OR(Loans[[#This Row],[LoanStatus]]="Default",Loans[[#This Row],[LoanStatus]]="Watchlist",Loans[[#This Row],[CollateralRisk]]="Undersecured",Loans[[#This Row],[RiskCategory]]="High Risk"),"High Risk Exposure","Normal")</f>
        <v>High Risk Exposure</v>
      </c>
      <c r="T1414" t="str" cm="1">
        <f t="array" ref="T1414">_xlfn.IFS(
Loans[[#This Row],[LoanStatus]]="Default","Critical",
OR(Loans[[#This Row],[LoanStatus]]="Watchlist",Loans[[#This Row],[CollateralRisk]]="Undersecured",Loans[[#This Row],[RiskCategory]]="High Risk"),"High",
TRUE,"Normal"
)</f>
        <v>High</v>
      </c>
    </row>
    <row r="1415" spans="1:20" x14ac:dyDescent="0.35">
      <c r="A1415" t="s">
        <v>2203</v>
      </c>
      <c r="B1415" t="s">
        <v>2000</v>
      </c>
      <c r="C1415" t="s">
        <v>184</v>
      </c>
      <c r="D1415" t="s">
        <v>157</v>
      </c>
      <c r="E1415" s="34">
        <v>80000000</v>
      </c>
      <c r="F1415" s="29">
        <v>0.1293</v>
      </c>
      <c r="G1415" s="30">
        <v>44938</v>
      </c>
      <c r="H1415">
        <v>72</v>
      </c>
      <c r="I1415">
        <v>0</v>
      </c>
      <c r="J1415" s="34">
        <v>116000000</v>
      </c>
      <c r="K1415" t="s">
        <v>171</v>
      </c>
      <c r="L1415" s="34">
        <f>PMT(Loans[[#This Row],[InterestRate]]/12,Loans[[#This Row],[LoanTenureMonths]],-Loans[[#This Row],[LoanAmount]])</f>
        <v>1602974.3243093842</v>
      </c>
      <c r="M1415" s="30">
        <f>EDATE(Loans[[#This Row],[LoanStartDate]],Loans[[#This Row],[LoanTenureMonths]])</f>
        <v>47130</v>
      </c>
      <c r="N1415" s="33">
        <f>IF(Loans[[#This Row],[LoanAmount]]=0,0,Loans[[#This Row],[CollateralValue]]/Loans[[#This Row],[LoanAmount]])</f>
        <v>1.45</v>
      </c>
      <c r="O1415" t="str">
        <f>IF(Loans[[#This Row],[CollateralCoverageRatio]]&lt;1,"Undersecured","Secured")</f>
        <v>Secured</v>
      </c>
      <c r="P1415" t="str">
        <f>_xlfn.XLOOKUP(Loans[[#This Row],[BranchCode]],BranchesTbl[BranchCode],BranchesTbl[BranchName])</f>
        <v>Kisumu</v>
      </c>
      <c r="Q1415">
        <f>_xlfn.XLOOKUP(Loans[[#This Row],[CustomerID]],CustomerTbl[CustomerID],CustomerTbl[RiskScore])</f>
        <v>315</v>
      </c>
      <c r="R1415" t="str">
        <f>IFERROR(INDEX(RiskTbl[Risk_Category],MATCH(Loans[[#This Row],[RiskScore]],RiskTbl[Score_Min],1)),"Unknown")</f>
        <v>High Risk</v>
      </c>
      <c r="S1415" t="str">
        <f>IF(OR(Loans[[#This Row],[LoanStatus]]="Default",Loans[[#This Row],[LoanStatus]]="Watchlist",Loans[[#This Row],[CollateralRisk]]="Undersecured",Loans[[#This Row],[RiskCategory]]="High Risk"),"High Risk Exposure","Normal")</f>
        <v>High Risk Exposure</v>
      </c>
      <c r="T1415" t="str" cm="1">
        <f t="array" ref="T1415">_xlfn.IFS(
Loans[[#This Row],[LoanStatus]]="Default","Critical",
OR(Loans[[#This Row],[LoanStatus]]="Watchlist",Loans[[#This Row],[CollateralRisk]]="Undersecured",Loans[[#This Row],[RiskCategory]]="High Risk"),"High",
TRUE,"Normal"
)</f>
        <v>High</v>
      </c>
    </row>
    <row r="1416" spans="1:20" x14ac:dyDescent="0.35">
      <c r="A1416" t="s">
        <v>2204</v>
      </c>
      <c r="B1416" t="s">
        <v>223</v>
      </c>
      <c r="C1416" t="s">
        <v>239</v>
      </c>
      <c r="D1416" t="s">
        <v>157</v>
      </c>
      <c r="E1416" s="34">
        <v>25000000</v>
      </c>
      <c r="F1416" s="29">
        <v>0.1031</v>
      </c>
      <c r="G1416" s="30">
        <v>45578</v>
      </c>
      <c r="H1416">
        <v>60</v>
      </c>
      <c r="I1416">
        <v>0</v>
      </c>
      <c r="J1416" s="34">
        <v>35750000</v>
      </c>
      <c r="K1416" t="s">
        <v>171</v>
      </c>
      <c r="L1416" s="34">
        <f>PMT(Loans[[#This Row],[InterestRate]]/12,Loans[[#This Row],[LoanTenureMonths]],-Loans[[#This Row],[LoanAmount]])</f>
        <v>534997.4640252816</v>
      </c>
      <c r="M1416" s="30">
        <f>EDATE(Loans[[#This Row],[LoanStartDate]],Loans[[#This Row],[LoanTenureMonths]])</f>
        <v>47404</v>
      </c>
      <c r="N1416" s="33">
        <f>IF(Loans[[#This Row],[LoanAmount]]=0,0,Loans[[#This Row],[CollateralValue]]/Loans[[#This Row],[LoanAmount]])</f>
        <v>1.43</v>
      </c>
      <c r="O1416" t="str">
        <f>IF(Loans[[#This Row],[CollateralCoverageRatio]]&lt;1,"Undersecured","Secured")</f>
        <v>Secured</v>
      </c>
      <c r="P1416" t="str">
        <f>_xlfn.XLOOKUP(Loans[[#This Row],[BranchCode]],BranchesTbl[BranchCode],BranchesTbl[BranchName])</f>
        <v>Machakos</v>
      </c>
      <c r="Q1416">
        <f>_xlfn.XLOOKUP(Loans[[#This Row],[CustomerID]],CustomerTbl[CustomerID],CustomerTbl[RiskScore])</f>
        <v>797</v>
      </c>
      <c r="R1416" t="str">
        <f>IFERROR(INDEX(RiskTbl[Risk_Category],MATCH(Loans[[#This Row],[RiskScore]],RiskTbl[Score_Min],1)),"Unknown")</f>
        <v>Very Low Risk</v>
      </c>
      <c r="S1416" t="str">
        <f>IF(OR(Loans[[#This Row],[LoanStatus]]="Default",Loans[[#This Row],[LoanStatus]]="Watchlist",Loans[[#This Row],[CollateralRisk]]="Undersecured",Loans[[#This Row],[RiskCategory]]="High Risk"),"High Risk Exposure","Normal")</f>
        <v>Normal</v>
      </c>
      <c r="T1416" t="str" cm="1">
        <f t="array" ref="T1416">_xlfn.IFS(
Loans[[#This Row],[LoanStatus]]="Default","Critical",
OR(Loans[[#This Row],[LoanStatus]]="Watchlist",Loans[[#This Row],[CollateralRisk]]="Undersecured",Loans[[#This Row],[RiskCategory]]="High Risk"),"High",
TRUE,"Normal"
)</f>
        <v>Normal</v>
      </c>
    </row>
    <row r="1417" spans="1:20" x14ac:dyDescent="0.35">
      <c r="A1417" t="s">
        <v>2205</v>
      </c>
      <c r="B1417" t="s">
        <v>756</v>
      </c>
      <c r="C1417" t="s">
        <v>239</v>
      </c>
      <c r="D1417" t="s">
        <v>155</v>
      </c>
      <c r="E1417" s="34">
        <v>1000000</v>
      </c>
      <c r="F1417" s="29">
        <v>0.27929999999999999</v>
      </c>
      <c r="G1417" s="30">
        <v>44049</v>
      </c>
      <c r="H1417">
        <v>36</v>
      </c>
      <c r="I1417">
        <v>0</v>
      </c>
      <c r="J1417" s="34">
        <v>0</v>
      </c>
      <c r="K1417" t="s">
        <v>171</v>
      </c>
      <c r="L1417" s="34">
        <f>PMT(Loans[[#This Row],[InterestRate]]/12,Loans[[#This Row],[LoanTenureMonths]],-Loans[[#This Row],[LoanAmount]])</f>
        <v>41325.779083351343</v>
      </c>
      <c r="M1417" s="30">
        <f>EDATE(Loans[[#This Row],[LoanStartDate]],Loans[[#This Row],[LoanTenureMonths]])</f>
        <v>45144</v>
      </c>
      <c r="N1417" s="33">
        <f>IF(Loans[[#This Row],[LoanAmount]]=0,0,Loans[[#This Row],[CollateralValue]]/Loans[[#This Row],[LoanAmount]])</f>
        <v>0</v>
      </c>
      <c r="O1417" t="str">
        <f>IF(Loans[[#This Row],[CollateralCoverageRatio]]&lt;1,"Undersecured","Secured")</f>
        <v>Undersecured</v>
      </c>
      <c r="P1417" t="str">
        <f>_xlfn.XLOOKUP(Loans[[#This Row],[BranchCode]],BranchesTbl[BranchCode],BranchesTbl[BranchName])</f>
        <v>Machakos</v>
      </c>
      <c r="Q1417">
        <f>_xlfn.XLOOKUP(Loans[[#This Row],[CustomerID]],CustomerTbl[CustomerID],CustomerTbl[RiskScore])</f>
        <v>417</v>
      </c>
      <c r="R1417" t="str">
        <f>IFERROR(INDEX(RiskTbl[Risk_Category],MATCH(Loans[[#This Row],[RiskScore]],RiskTbl[Score_Min],1)),"Unknown")</f>
        <v>High Risk</v>
      </c>
      <c r="S1417" t="str">
        <f>IF(OR(Loans[[#This Row],[LoanStatus]]="Default",Loans[[#This Row],[LoanStatus]]="Watchlist",Loans[[#This Row],[CollateralRisk]]="Undersecured",Loans[[#This Row],[RiskCategory]]="High Risk"),"High Risk Exposure","Normal")</f>
        <v>High Risk Exposure</v>
      </c>
      <c r="T1417" t="str" cm="1">
        <f t="array" ref="T1417">_xlfn.IFS(
Loans[[#This Row],[LoanStatus]]="Default","Critical",
OR(Loans[[#This Row],[LoanStatus]]="Watchlist",Loans[[#This Row],[CollateralRisk]]="Undersecured",Loans[[#This Row],[RiskCategory]]="High Risk"),"High",
TRUE,"Normal"
)</f>
        <v>High</v>
      </c>
    </row>
    <row r="1418" spans="1:20" x14ac:dyDescent="0.35">
      <c r="A1418" t="s">
        <v>2206</v>
      </c>
      <c r="B1418" t="s">
        <v>934</v>
      </c>
      <c r="C1418" t="s">
        <v>239</v>
      </c>
      <c r="D1418" t="s">
        <v>158</v>
      </c>
      <c r="E1418" s="34">
        <v>500000</v>
      </c>
      <c r="F1418" s="29">
        <v>0.16750000000000001</v>
      </c>
      <c r="G1418" s="30">
        <v>45023</v>
      </c>
      <c r="H1418">
        <v>60</v>
      </c>
      <c r="I1418">
        <v>0</v>
      </c>
      <c r="J1418" s="34">
        <v>735000</v>
      </c>
      <c r="K1418" t="s">
        <v>171</v>
      </c>
      <c r="L1418" s="34">
        <f>PMT(Loans[[#This Row],[InterestRate]]/12,Loans[[#This Row],[LoanTenureMonths]],-Loans[[#This Row],[LoanAmount]])</f>
        <v>12359.175027262125</v>
      </c>
      <c r="M1418" s="30">
        <f>EDATE(Loans[[#This Row],[LoanStartDate]],Loans[[#This Row],[LoanTenureMonths]])</f>
        <v>46850</v>
      </c>
      <c r="N1418" s="33">
        <f>IF(Loans[[#This Row],[LoanAmount]]=0,0,Loans[[#This Row],[CollateralValue]]/Loans[[#This Row],[LoanAmount]])</f>
        <v>1.47</v>
      </c>
      <c r="O1418" t="str">
        <f>IF(Loans[[#This Row],[CollateralCoverageRatio]]&lt;1,"Undersecured","Secured")</f>
        <v>Secured</v>
      </c>
      <c r="P1418" t="str">
        <f>_xlfn.XLOOKUP(Loans[[#This Row],[BranchCode]],BranchesTbl[BranchCode],BranchesTbl[BranchName])</f>
        <v>Machakos</v>
      </c>
      <c r="Q1418">
        <f>_xlfn.XLOOKUP(Loans[[#This Row],[CustomerID]],CustomerTbl[CustomerID],CustomerTbl[RiskScore])</f>
        <v>847</v>
      </c>
      <c r="R1418" t="str">
        <f>IFERROR(INDEX(RiskTbl[Risk_Category],MATCH(Loans[[#This Row],[RiskScore]],RiskTbl[Score_Min],1)),"Unknown")</f>
        <v>Prime</v>
      </c>
      <c r="S1418" t="str">
        <f>IF(OR(Loans[[#This Row],[LoanStatus]]="Default",Loans[[#This Row],[LoanStatus]]="Watchlist",Loans[[#This Row],[CollateralRisk]]="Undersecured",Loans[[#This Row],[RiskCategory]]="High Risk"),"High Risk Exposure","Normal")</f>
        <v>Normal</v>
      </c>
      <c r="T1418" t="str" cm="1">
        <f t="array" ref="T1418">_xlfn.IFS(
Loans[[#This Row],[LoanStatus]]="Default","Critical",
OR(Loans[[#This Row],[LoanStatus]]="Watchlist",Loans[[#This Row],[CollateralRisk]]="Undersecured",Loans[[#This Row],[RiskCategory]]="High Risk"),"High",
TRUE,"Normal"
)</f>
        <v>Normal</v>
      </c>
    </row>
    <row r="1419" spans="1:20" x14ac:dyDescent="0.35">
      <c r="A1419" t="s">
        <v>2207</v>
      </c>
      <c r="B1419" t="s">
        <v>1516</v>
      </c>
      <c r="C1419" t="s">
        <v>196</v>
      </c>
      <c r="D1419" t="s">
        <v>157</v>
      </c>
      <c r="E1419" s="34">
        <v>80000000</v>
      </c>
      <c r="F1419" s="29">
        <v>0.1197</v>
      </c>
      <c r="G1419" s="30">
        <v>44893</v>
      </c>
      <c r="H1419">
        <v>72</v>
      </c>
      <c r="I1419">
        <v>0</v>
      </c>
      <c r="J1419" s="34">
        <v>46400000</v>
      </c>
      <c r="K1419" t="s">
        <v>171</v>
      </c>
      <c r="L1419" s="34">
        <f>PMT(Loans[[#This Row],[InterestRate]]/12,Loans[[#This Row],[LoanTenureMonths]],-Loans[[#This Row],[LoanAmount]])</f>
        <v>1562767.6194253301</v>
      </c>
      <c r="M1419" s="30">
        <f>EDATE(Loans[[#This Row],[LoanStartDate]],Loans[[#This Row],[LoanTenureMonths]])</f>
        <v>47085</v>
      </c>
      <c r="N1419" s="33">
        <f>IF(Loans[[#This Row],[LoanAmount]]=0,0,Loans[[#This Row],[CollateralValue]]/Loans[[#This Row],[LoanAmount]])</f>
        <v>0.57999999999999996</v>
      </c>
      <c r="O1419" t="str">
        <f>IF(Loans[[#This Row],[CollateralCoverageRatio]]&lt;1,"Undersecured","Secured")</f>
        <v>Undersecured</v>
      </c>
      <c r="P1419" t="str">
        <f>_xlfn.XLOOKUP(Loans[[#This Row],[BranchCode]],BranchesTbl[BranchCode],BranchesTbl[BranchName])</f>
        <v>Karen</v>
      </c>
      <c r="Q1419">
        <f>_xlfn.XLOOKUP(Loans[[#This Row],[CustomerID]],CustomerTbl[CustomerID],CustomerTbl[RiskScore])</f>
        <v>626</v>
      </c>
      <c r="R1419" t="str">
        <f>IFERROR(INDEX(RiskTbl[Risk_Category],MATCH(Loans[[#This Row],[RiskScore]],RiskTbl[Score_Min],1)),"Unknown")</f>
        <v>Medium Risk</v>
      </c>
      <c r="S1419" t="str">
        <f>IF(OR(Loans[[#This Row],[LoanStatus]]="Default",Loans[[#This Row],[LoanStatus]]="Watchlist",Loans[[#This Row],[CollateralRisk]]="Undersecured",Loans[[#This Row],[RiskCategory]]="High Risk"),"High Risk Exposure","Normal")</f>
        <v>High Risk Exposure</v>
      </c>
      <c r="T1419" t="str" cm="1">
        <f t="array" ref="T1419">_xlfn.IFS(
Loans[[#This Row],[LoanStatus]]="Default","Critical",
OR(Loans[[#This Row],[LoanStatus]]="Watchlist",Loans[[#This Row],[CollateralRisk]]="Undersecured",Loans[[#This Row],[RiskCategory]]="High Risk"),"High",
TRUE,"Normal"
)</f>
        <v>High</v>
      </c>
    </row>
    <row r="1420" spans="1:20" x14ac:dyDescent="0.35">
      <c r="A1420" t="s">
        <v>2208</v>
      </c>
      <c r="B1420" t="s">
        <v>1388</v>
      </c>
      <c r="C1420" t="s">
        <v>190</v>
      </c>
      <c r="D1420" t="s">
        <v>156</v>
      </c>
      <c r="E1420" s="34">
        <v>25000000</v>
      </c>
      <c r="F1420" s="29">
        <v>0.19289999999999999</v>
      </c>
      <c r="G1420" s="30">
        <v>44264</v>
      </c>
      <c r="H1420">
        <v>24</v>
      </c>
      <c r="I1420">
        <v>120</v>
      </c>
      <c r="J1420" s="34">
        <v>18250000</v>
      </c>
      <c r="K1420" t="s">
        <v>178</v>
      </c>
      <c r="L1420" s="34">
        <f>PMT(Loans[[#This Row],[InterestRate]]/12,Loans[[#This Row],[LoanTenureMonths]],-Loans[[#This Row],[LoanAmount]])</f>
        <v>1263740.6601295585</v>
      </c>
      <c r="M1420" s="30">
        <f>EDATE(Loans[[#This Row],[LoanStartDate]],Loans[[#This Row],[LoanTenureMonths]])</f>
        <v>44994</v>
      </c>
      <c r="N1420" s="33">
        <f>IF(Loans[[#This Row],[LoanAmount]]=0,0,Loans[[#This Row],[CollateralValue]]/Loans[[#This Row],[LoanAmount]])</f>
        <v>0.73</v>
      </c>
      <c r="O1420" t="str">
        <f>IF(Loans[[#This Row],[CollateralCoverageRatio]]&lt;1,"Undersecured","Secured")</f>
        <v>Undersecured</v>
      </c>
      <c r="P1420" t="str">
        <f>_xlfn.XLOOKUP(Loans[[#This Row],[BranchCode]],BranchesTbl[BranchCode],BranchesTbl[BranchName])</f>
        <v>Nyeri</v>
      </c>
      <c r="Q1420">
        <f>_xlfn.XLOOKUP(Loans[[#This Row],[CustomerID]],CustomerTbl[CustomerID],CustomerTbl[RiskScore])</f>
        <v>603</v>
      </c>
      <c r="R1420" t="str">
        <f>IFERROR(INDEX(RiskTbl[Risk_Category],MATCH(Loans[[#This Row],[RiskScore]],RiskTbl[Score_Min],1)),"Unknown")</f>
        <v>Medium Risk</v>
      </c>
      <c r="S1420" t="str">
        <f>IF(OR(Loans[[#This Row],[LoanStatus]]="Default",Loans[[#This Row],[LoanStatus]]="Watchlist",Loans[[#This Row],[CollateralRisk]]="Undersecured",Loans[[#This Row],[RiskCategory]]="High Risk"),"High Risk Exposure","Normal")</f>
        <v>High Risk Exposure</v>
      </c>
      <c r="T1420" t="str" cm="1">
        <f t="array" ref="T1420">_xlfn.IFS(
Loans[[#This Row],[LoanStatus]]="Default","Critical",
OR(Loans[[#This Row],[LoanStatus]]="Watchlist",Loans[[#This Row],[CollateralRisk]]="Undersecured",Loans[[#This Row],[RiskCategory]]="High Risk"),"High",
TRUE,"Normal"
)</f>
        <v>Critical</v>
      </c>
    </row>
    <row r="1421" spans="1:20" x14ac:dyDescent="0.35">
      <c r="A1421" t="s">
        <v>2209</v>
      </c>
      <c r="B1421" t="s">
        <v>1320</v>
      </c>
      <c r="C1421" t="s">
        <v>181</v>
      </c>
      <c r="D1421" t="s">
        <v>157</v>
      </c>
      <c r="E1421" s="34">
        <v>25000000</v>
      </c>
      <c r="F1421" s="29">
        <v>0.1273</v>
      </c>
      <c r="G1421" s="30">
        <v>45515</v>
      </c>
      <c r="H1421">
        <v>48</v>
      </c>
      <c r="I1421">
        <v>90</v>
      </c>
      <c r="J1421" s="34">
        <v>23000000</v>
      </c>
      <c r="K1421" t="s">
        <v>199</v>
      </c>
      <c r="L1421" s="34">
        <f>PMT(Loans[[#This Row],[InterestRate]]/12,Loans[[#This Row],[LoanTenureMonths]],-Loans[[#This Row],[LoanAmount]])</f>
        <v>667342.05238038173</v>
      </c>
      <c r="M1421" s="30">
        <f>EDATE(Loans[[#This Row],[LoanStartDate]],Loans[[#This Row],[LoanTenureMonths]])</f>
        <v>46976</v>
      </c>
      <c r="N1421" s="33">
        <f>IF(Loans[[#This Row],[LoanAmount]]=0,0,Loans[[#This Row],[CollateralValue]]/Loans[[#This Row],[LoanAmount]])</f>
        <v>0.92</v>
      </c>
      <c r="O1421" t="str">
        <f>IF(Loans[[#This Row],[CollateralCoverageRatio]]&lt;1,"Undersecured","Secured")</f>
        <v>Undersecured</v>
      </c>
      <c r="P1421" t="str">
        <f>_xlfn.XLOOKUP(Loans[[#This Row],[BranchCode]],BranchesTbl[BranchCode],BranchesTbl[BranchName])</f>
        <v>Kitale</v>
      </c>
      <c r="Q1421">
        <f>_xlfn.XLOOKUP(Loans[[#This Row],[CustomerID]],CustomerTbl[CustomerID],CustomerTbl[RiskScore])</f>
        <v>627</v>
      </c>
      <c r="R1421" t="str">
        <f>IFERROR(INDEX(RiskTbl[Risk_Category],MATCH(Loans[[#This Row],[RiskScore]],RiskTbl[Score_Min],1)),"Unknown")</f>
        <v>Medium Risk</v>
      </c>
      <c r="S1421" t="str">
        <f>IF(OR(Loans[[#This Row],[LoanStatus]]="Default",Loans[[#This Row],[LoanStatus]]="Watchlist",Loans[[#This Row],[CollateralRisk]]="Undersecured",Loans[[#This Row],[RiskCategory]]="High Risk"),"High Risk Exposure","Normal")</f>
        <v>High Risk Exposure</v>
      </c>
      <c r="T1421" t="str" cm="1">
        <f t="array" ref="T1421">_xlfn.IFS(
Loans[[#This Row],[LoanStatus]]="Default","Critical",
OR(Loans[[#This Row],[LoanStatus]]="Watchlist",Loans[[#This Row],[CollateralRisk]]="Undersecured",Loans[[#This Row],[RiskCategory]]="High Risk"),"High",
TRUE,"Normal"
)</f>
        <v>High</v>
      </c>
    </row>
    <row r="1422" spans="1:20" x14ac:dyDescent="0.35">
      <c r="A1422" t="s">
        <v>2210</v>
      </c>
      <c r="B1422" t="s">
        <v>186</v>
      </c>
      <c r="C1422" t="s">
        <v>206</v>
      </c>
      <c r="D1422" t="s">
        <v>158</v>
      </c>
      <c r="E1422" s="34">
        <v>500000</v>
      </c>
      <c r="F1422" s="29">
        <v>0.19059999999999999</v>
      </c>
      <c r="G1422" s="30">
        <v>45111</v>
      </c>
      <c r="H1422">
        <v>72</v>
      </c>
      <c r="I1422">
        <v>45</v>
      </c>
      <c r="J1422" s="34">
        <v>590000</v>
      </c>
      <c r="K1422" t="s">
        <v>199</v>
      </c>
      <c r="L1422" s="34">
        <f>PMT(Loans[[#This Row],[InterestRate]]/12,Loans[[#This Row],[LoanTenureMonths]],-Loans[[#This Row],[LoanAmount]])</f>
        <v>11705.543977737076</v>
      </c>
      <c r="M1422" s="30">
        <f>EDATE(Loans[[#This Row],[LoanStartDate]],Loans[[#This Row],[LoanTenureMonths]])</f>
        <v>47303</v>
      </c>
      <c r="N1422" s="33">
        <f>IF(Loans[[#This Row],[LoanAmount]]=0,0,Loans[[#This Row],[CollateralValue]]/Loans[[#This Row],[LoanAmount]])</f>
        <v>1.18</v>
      </c>
      <c r="O1422" t="str">
        <f>IF(Loans[[#This Row],[CollateralCoverageRatio]]&lt;1,"Undersecured","Secured")</f>
        <v>Secured</v>
      </c>
      <c r="P1422" t="str">
        <f>_xlfn.XLOOKUP(Loans[[#This Row],[BranchCode]],BranchesTbl[BranchCode],BranchesTbl[BranchName])</f>
        <v>Nyahururu</v>
      </c>
      <c r="Q1422">
        <f>_xlfn.XLOOKUP(Loans[[#This Row],[CustomerID]],CustomerTbl[CustomerID],CustomerTbl[RiskScore])</f>
        <v>587</v>
      </c>
      <c r="R1422" t="str">
        <f>IFERROR(INDEX(RiskTbl[Risk_Category],MATCH(Loans[[#This Row],[RiskScore]],RiskTbl[Score_Min],1)),"Unknown")</f>
        <v>Medium Risk</v>
      </c>
      <c r="S1422" t="str">
        <f>IF(OR(Loans[[#This Row],[LoanStatus]]="Default",Loans[[#This Row],[LoanStatus]]="Watchlist",Loans[[#This Row],[CollateralRisk]]="Undersecured",Loans[[#This Row],[RiskCategory]]="High Risk"),"High Risk Exposure","Normal")</f>
        <v>High Risk Exposure</v>
      </c>
      <c r="T1422" t="str" cm="1">
        <f t="array" ref="T1422">_xlfn.IFS(
Loans[[#This Row],[LoanStatus]]="Default","Critical",
OR(Loans[[#This Row],[LoanStatus]]="Watchlist",Loans[[#This Row],[CollateralRisk]]="Undersecured",Loans[[#This Row],[RiskCategory]]="High Risk"),"High",
TRUE,"Normal"
)</f>
        <v>High</v>
      </c>
    </row>
    <row r="1423" spans="1:20" x14ac:dyDescent="0.35">
      <c r="A1423" t="s">
        <v>2211</v>
      </c>
      <c r="B1423" t="s">
        <v>1034</v>
      </c>
      <c r="C1423" t="s">
        <v>206</v>
      </c>
      <c r="D1423" t="s">
        <v>157</v>
      </c>
      <c r="E1423" s="34">
        <v>80000000</v>
      </c>
      <c r="F1423" s="29">
        <v>0.1384</v>
      </c>
      <c r="G1423" s="30">
        <v>44115</v>
      </c>
      <c r="H1423">
        <v>36</v>
      </c>
      <c r="I1423">
        <v>45</v>
      </c>
      <c r="J1423" s="34">
        <v>40800000</v>
      </c>
      <c r="K1423" t="s">
        <v>199</v>
      </c>
      <c r="L1423" s="34">
        <f>PMT(Loans[[#This Row],[InterestRate]]/12,Loans[[#This Row],[LoanTenureMonths]],-Loans[[#This Row],[LoanAmount]])</f>
        <v>2727997.6576295407</v>
      </c>
      <c r="M1423" s="30">
        <f>EDATE(Loans[[#This Row],[LoanStartDate]],Loans[[#This Row],[LoanTenureMonths]])</f>
        <v>45210</v>
      </c>
      <c r="N1423" s="33">
        <f>IF(Loans[[#This Row],[LoanAmount]]=0,0,Loans[[#This Row],[CollateralValue]]/Loans[[#This Row],[LoanAmount]])</f>
        <v>0.51</v>
      </c>
      <c r="O1423" t="str">
        <f>IF(Loans[[#This Row],[CollateralCoverageRatio]]&lt;1,"Undersecured","Secured")</f>
        <v>Undersecured</v>
      </c>
      <c r="P1423" t="str">
        <f>_xlfn.XLOOKUP(Loans[[#This Row],[BranchCode]],BranchesTbl[BranchCode],BranchesTbl[BranchName])</f>
        <v>Nyahururu</v>
      </c>
      <c r="Q1423">
        <f>_xlfn.XLOOKUP(Loans[[#This Row],[CustomerID]],CustomerTbl[CustomerID],CustomerTbl[RiskScore])</f>
        <v>320</v>
      </c>
      <c r="R1423" t="str">
        <f>IFERROR(INDEX(RiskTbl[Risk_Category],MATCH(Loans[[#This Row],[RiskScore]],RiskTbl[Score_Min],1)),"Unknown")</f>
        <v>High Risk</v>
      </c>
      <c r="S1423" t="str">
        <f>IF(OR(Loans[[#This Row],[LoanStatus]]="Default",Loans[[#This Row],[LoanStatus]]="Watchlist",Loans[[#This Row],[CollateralRisk]]="Undersecured",Loans[[#This Row],[RiskCategory]]="High Risk"),"High Risk Exposure","Normal")</f>
        <v>High Risk Exposure</v>
      </c>
      <c r="T1423" t="str" cm="1">
        <f t="array" ref="T1423">_xlfn.IFS(
Loans[[#This Row],[LoanStatus]]="Default","Critical",
OR(Loans[[#This Row],[LoanStatus]]="Watchlist",Loans[[#This Row],[CollateralRisk]]="Undersecured",Loans[[#This Row],[RiskCategory]]="High Risk"),"High",
TRUE,"Normal"
)</f>
        <v>High</v>
      </c>
    </row>
    <row r="1424" spans="1:20" x14ac:dyDescent="0.35">
      <c r="A1424" t="s">
        <v>2212</v>
      </c>
      <c r="B1424" t="s">
        <v>1194</v>
      </c>
      <c r="C1424" t="s">
        <v>177</v>
      </c>
      <c r="D1424" t="s">
        <v>156</v>
      </c>
      <c r="E1424" s="34">
        <v>1000000</v>
      </c>
      <c r="F1424" s="29">
        <v>0.1588</v>
      </c>
      <c r="G1424" s="30">
        <v>44199</v>
      </c>
      <c r="H1424">
        <v>12</v>
      </c>
      <c r="I1424">
        <v>5</v>
      </c>
      <c r="J1424" s="34">
        <v>1090000</v>
      </c>
      <c r="K1424" t="s">
        <v>171</v>
      </c>
      <c r="L1424" s="34">
        <f>PMT(Loans[[#This Row],[InterestRate]]/12,Loans[[#This Row],[LoanTenureMonths]],-Loans[[#This Row],[LoanAmount]])</f>
        <v>90674.081144787982</v>
      </c>
      <c r="M1424" s="30">
        <f>EDATE(Loans[[#This Row],[LoanStartDate]],Loans[[#This Row],[LoanTenureMonths]])</f>
        <v>44564</v>
      </c>
      <c r="N1424" s="33">
        <f>IF(Loans[[#This Row],[LoanAmount]]=0,0,Loans[[#This Row],[CollateralValue]]/Loans[[#This Row],[LoanAmount]])</f>
        <v>1.0900000000000001</v>
      </c>
      <c r="O1424" t="str">
        <f>IF(Loans[[#This Row],[CollateralCoverageRatio]]&lt;1,"Undersecured","Secured")</f>
        <v>Secured</v>
      </c>
      <c r="P1424" t="str">
        <f>_xlfn.XLOOKUP(Loans[[#This Row],[BranchCode]],BranchesTbl[BranchCode],BranchesTbl[BranchName])</f>
        <v>Naivasha</v>
      </c>
      <c r="Q1424">
        <f>_xlfn.XLOOKUP(Loans[[#This Row],[CustomerID]],CustomerTbl[CustomerID],CustomerTbl[RiskScore])</f>
        <v>567</v>
      </c>
      <c r="R1424" t="str">
        <f>IFERROR(INDEX(RiskTbl[Risk_Category],MATCH(Loans[[#This Row],[RiskScore]],RiskTbl[Score_Min],1)),"Unknown")</f>
        <v>High Risk</v>
      </c>
      <c r="S1424" t="str">
        <f>IF(OR(Loans[[#This Row],[LoanStatus]]="Default",Loans[[#This Row],[LoanStatus]]="Watchlist",Loans[[#This Row],[CollateralRisk]]="Undersecured",Loans[[#This Row],[RiskCategory]]="High Risk"),"High Risk Exposure","Normal")</f>
        <v>High Risk Exposure</v>
      </c>
      <c r="T1424" t="str" cm="1">
        <f t="array" ref="T1424">_xlfn.IFS(
Loans[[#This Row],[LoanStatus]]="Default","Critical",
OR(Loans[[#This Row],[LoanStatus]]="Watchlist",Loans[[#This Row],[CollateralRisk]]="Undersecured",Loans[[#This Row],[RiskCategory]]="High Risk"),"High",
TRUE,"Normal"
)</f>
        <v>High</v>
      </c>
    </row>
    <row r="1425" spans="1:20" x14ac:dyDescent="0.35">
      <c r="A1425" t="s">
        <v>2213</v>
      </c>
      <c r="B1425" t="s">
        <v>534</v>
      </c>
      <c r="C1425" t="s">
        <v>232</v>
      </c>
      <c r="D1425" t="s">
        <v>156</v>
      </c>
      <c r="E1425" s="34">
        <v>6000000</v>
      </c>
      <c r="F1425" s="29">
        <v>0.21049999999999999</v>
      </c>
      <c r="G1425" s="30">
        <v>45139</v>
      </c>
      <c r="H1425">
        <v>48</v>
      </c>
      <c r="I1425">
        <v>0</v>
      </c>
      <c r="J1425" s="34">
        <v>4320000</v>
      </c>
      <c r="K1425" t="s">
        <v>171</v>
      </c>
      <c r="L1425" s="34">
        <f>PMT(Loans[[#This Row],[InterestRate]]/12,Loans[[#This Row],[LoanTenureMonths]],-Loans[[#This Row],[LoanAmount]])</f>
        <v>185955.56692990215</v>
      </c>
      <c r="M1425" s="30">
        <f>EDATE(Loans[[#This Row],[LoanStartDate]],Loans[[#This Row],[LoanTenureMonths]])</f>
        <v>46600</v>
      </c>
      <c r="N1425" s="33">
        <f>IF(Loans[[#This Row],[LoanAmount]]=0,0,Loans[[#This Row],[CollateralValue]]/Loans[[#This Row],[LoanAmount]])</f>
        <v>0.72</v>
      </c>
      <c r="O1425" t="str">
        <f>IF(Loans[[#This Row],[CollateralCoverageRatio]]&lt;1,"Undersecured","Secured")</f>
        <v>Undersecured</v>
      </c>
      <c r="P1425" t="str">
        <f>_xlfn.XLOOKUP(Loans[[#This Row],[BranchCode]],BranchesTbl[BranchCode],BranchesTbl[BranchName])</f>
        <v>Upper Hill</v>
      </c>
      <c r="Q1425">
        <f>_xlfn.XLOOKUP(Loans[[#This Row],[CustomerID]],CustomerTbl[CustomerID],CustomerTbl[RiskScore])</f>
        <v>309</v>
      </c>
      <c r="R1425" t="str">
        <f>IFERROR(INDEX(RiskTbl[Risk_Category],MATCH(Loans[[#This Row],[RiskScore]],RiskTbl[Score_Min],1)),"Unknown")</f>
        <v>High Risk</v>
      </c>
      <c r="S1425" t="str">
        <f>IF(OR(Loans[[#This Row],[LoanStatus]]="Default",Loans[[#This Row],[LoanStatus]]="Watchlist",Loans[[#This Row],[CollateralRisk]]="Undersecured",Loans[[#This Row],[RiskCategory]]="High Risk"),"High Risk Exposure","Normal")</f>
        <v>High Risk Exposure</v>
      </c>
      <c r="T1425" t="str" cm="1">
        <f t="array" ref="T1425">_xlfn.IFS(
Loans[[#This Row],[LoanStatus]]="Default","Critical",
OR(Loans[[#This Row],[LoanStatus]]="Watchlist",Loans[[#This Row],[CollateralRisk]]="Undersecured",Loans[[#This Row],[RiskCategory]]="High Risk"),"High",
TRUE,"Normal"
)</f>
        <v>High</v>
      </c>
    </row>
    <row r="1426" spans="1:20" x14ac:dyDescent="0.35">
      <c r="A1426" t="s">
        <v>2214</v>
      </c>
      <c r="B1426" t="s">
        <v>2215</v>
      </c>
      <c r="C1426" t="s">
        <v>184</v>
      </c>
      <c r="D1426" t="s">
        <v>157</v>
      </c>
      <c r="E1426" s="34">
        <v>25000000</v>
      </c>
      <c r="F1426" s="29">
        <v>0.1288</v>
      </c>
      <c r="G1426" s="30">
        <v>44777</v>
      </c>
      <c r="H1426">
        <v>12</v>
      </c>
      <c r="I1426">
        <v>90</v>
      </c>
      <c r="J1426" s="34">
        <v>30000000</v>
      </c>
      <c r="K1426" t="s">
        <v>199</v>
      </c>
      <c r="L1426" s="34">
        <f>PMT(Loans[[#This Row],[InterestRate]]/12,Loans[[#This Row],[LoanTenureMonths]],-Loans[[#This Row],[LoanAmount]])</f>
        <v>2231524.6422742535</v>
      </c>
      <c r="M1426" s="30">
        <f>EDATE(Loans[[#This Row],[LoanStartDate]],Loans[[#This Row],[LoanTenureMonths]])</f>
        <v>45142</v>
      </c>
      <c r="N1426" s="33">
        <f>IF(Loans[[#This Row],[LoanAmount]]=0,0,Loans[[#This Row],[CollateralValue]]/Loans[[#This Row],[LoanAmount]])</f>
        <v>1.2</v>
      </c>
      <c r="O1426" t="str">
        <f>IF(Loans[[#This Row],[CollateralCoverageRatio]]&lt;1,"Undersecured","Secured")</f>
        <v>Secured</v>
      </c>
      <c r="P1426" t="str">
        <f>_xlfn.XLOOKUP(Loans[[#This Row],[BranchCode]],BranchesTbl[BranchCode],BranchesTbl[BranchName])</f>
        <v>Kisumu</v>
      </c>
      <c r="Q1426">
        <f>_xlfn.XLOOKUP(Loans[[#This Row],[CustomerID]],CustomerTbl[CustomerID],CustomerTbl[RiskScore])</f>
        <v>440</v>
      </c>
      <c r="R1426" t="str">
        <f>IFERROR(INDEX(RiskTbl[Risk_Category],MATCH(Loans[[#This Row],[RiskScore]],RiskTbl[Score_Min],1)),"Unknown")</f>
        <v>High Risk</v>
      </c>
      <c r="S1426" t="str">
        <f>IF(OR(Loans[[#This Row],[LoanStatus]]="Default",Loans[[#This Row],[LoanStatus]]="Watchlist",Loans[[#This Row],[CollateralRisk]]="Undersecured",Loans[[#This Row],[RiskCategory]]="High Risk"),"High Risk Exposure","Normal")</f>
        <v>High Risk Exposure</v>
      </c>
      <c r="T1426" t="str" cm="1">
        <f t="array" ref="T1426">_xlfn.IFS(
Loans[[#This Row],[LoanStatus]]="Default","Critical",
OR(Loans[[#This Row],[LoanStatus]]="Watchlist",Loans[[#This Row],[CollateralRisk]]="Undersecured",Loans[[#This Row],[RiskCategory]]="High Risk"),"High",
TRUE,"Normal"
)</f>
        <v>High</v>
      </c>
    </row>
    <row r="1427" spans="1:20" x14ac:dyDescent="0.35">
      <c r="A1427" t="s">
        <v>2216</v>
      </c>
      <c r="B1427" t="s">
        <v>1997</v>
      </c>
      <c r="C1427" t="s">
        <v>239</v>
      </c>
      <c r="D1427" t="s">
        <v>157</v>
      </c>
      <c r="E1427" s="34">
        <v>80000000</v>
      </c>
      <c r="F1427" s="29">
        <v>0.13089999999999999</v>
      </c>
      <c r="G1427" s="30">
        <v>45118</v>
      </c>
      <c r="H1427">
        <v>36</v>
      </c>
      <c r="I1427">
        <v>5</v>
      </c>
      <c r="J1427" s="34">
        <v>108800000</v>
      </c>
      <c r="K1427" t="s">
        <v>171</v>
      </c>
      <c r="L1427" s="34">
        <f>PMT(Loans[[#This Row],[InterestRate]]/12,Loans[[#This Row],[LoanTenureMonths]],-Loans[[#This Row],[LoanAmount]])</f>
        <v>2698985.4365717098</v>
      </c>
      <c r="M1427" s="30">
        <f>EDATE(Loans[[#This Row],[LoanStartDate]],Loans[[#This Row],[LoanTenureMonths]])</f>
        <v>46214</v>
      </c>
      <c r="N1427" s="33">
        <f>IF(Loans[[#This Row],[LoanAmount]]=0,0,Loans[[#This Row],[CollateralValue]]/Loans[[#This Row],[LoanAmount]])</f>
        <v>1.36</v>
      </c>
      <c r="O1427" t="str">
        <f>IF(Loans[[#This Row],[CollateralCoverageRatio]]&lt;1,"Undersecured","Secured")</f>
        <v>Secured</v>
      </c>
      <c r="P1427" t="str">
        <f>_xlfn.XLOOKUP(Loans[[#This Row],[BranchCode]],BranchesTbl[BranchCode],BranchesTbl[BranchName])</f>
        <v>Machakos</v>
      </c>
      <c r="Q1427">
        <f>_xlfn.XLOOKUP(Loans[[#This Row],[CustomerID]],CustomerTbl[CustomerID],CustomerTbl[RiskScore])</f>
        <v>474</v>
      </c>
      <c r="R1427" t="str">
        <f>IFERROR(INDEX(RiskTbl[Risk_Category],MATCH(Loans[[#This Row],[RiskScore]],RiskTbl[Score_Min],1)),"Unknown")</f>
        <v>High Risk</v>
      </c>
      <c r="S1427" t="str">
        <f>IF(OR(Loans[[#This Row],[LoanStatus]]="Default",Loans[[#This Row],[LoanStatus]]="Watchlist",Loans[[#This Row],[CollateralRisk]]="Undersecured",Loans[[#This Row],[RiskCategory]]="High Risk"),"High Risk Exposure","Normal")</f>
        <v>High Risk Exposure</v>
      </c>
      <c r="T1427" t="str" cm="1">
        <f t="array" ref="T1427">_xlfn.IFS(
Loans[[#This Row],[LoanStatus]]="Default","Critical",
OR(Loans[[#This Row],[LoanStatus]]="Watchlist",Loans[[#This Row],[CollateralRisk]]="Undersecured",Loans[[#This Row],[RiskCategory]]="High Risk"),"High",
TRUE,"Normal"
)</f>
        <v>High</v>
      </c>
    </row>
    <row r="1428" spans="1:20" x14ac:dyDescent="0.35">
      <c r="A1428" t="s">
        <v>2217</v>
      </c>
      <c r="B1428" t="s">
        <v>893</v>
      </c>
      <c r="C1428" t="s">
        <v>181</v>
      </c>
      <c r="D1428" t="s">
        <v>156</v>
      </c>
      <c r="E1428" s="34">
        <v>1000000</v>
      </c>
      <c r="F1428" s="29">
        <v>0.20300000000000001</v>
      </c>
      <c r="G1428" s="30">
        <v>45695</v>
      </c>
      <c r="H1428">
        <v>36</v>
      </c>
      <c r="I1428">
        <v>0</v>
      </c>
      <c r="J1428" s="34">
        <v>910000</v>
      </c>
      <c r="K1428" t="s">
        <v>171</v>
      </c>
      <c r="L1428" s="34">
        <f>PMT(Loans[[#This Row],[InterestRate]]/12,Loans[[#This Row],[LoanTenureMonths]],-Loans[[#This Row],[LoanAmount]])</f>
        <v>37316.617728848862</v>
      </c>
      <c r="M1428" s="30">
        <f>EDATE(Loans[[#This Row],[LoanStartDate]],Loans[[#This Row],[LoanTenureMonths]])</f>
        <v>46790</v>
      </c>
      <c r="N1428" s="33">
        <f>IF(Loans[[#This Row],[LoanAmount]]=0,0,Loans[[#This Row],[CollateralValue]]/Loans[[#This Row],[LoanAmount]])</f>
        <v>0.91</v>
      </c>
      <c r="O1428" t="str">
        <f>IF(Loans[[#This Row],[CollateralCoverageRatio]]&lt;1,"Undersecured","Secured")</f>
        <v>Undersecured</v>
      </c>
      <c r="P1428" t="str">
        <f>_xlfn.XLOOKUP(Loans[[#This Row],[BranchCode]],BranchesTbl[BranchCode],BranchesTbl[BranchName])</f>
        <v>Kitale</v>
      </c>
      <c r="Q1428">
        <f>_xlfn.XLOOKUP(Loans[[#This Row],[CustomerID]],CustomerTbl[CustomerID],CustomerTbl[RiskScore])</f>
        <v>764</v>
      </c>
      <c r="R1428" t="str">
        <f>IFERROR(INDEX(RiskTbl[Risk_Category],MATCH(Loans[[#This Row],[RiskScore]],RiskTbl[Score_Min],1)),"Unknown")</f>
        <v>Very Low Risk</v>
      </c>
      <c r="S1428" t="str">
        <f>IF(OR(Loans[[#This Row],[LoanStatus]]="Default",Loans[[#This Row],[LoanStatus]]="Watchlist",Loans[[#This Row],[CollateralRisk]]="Undersecured",Loans[[#This Row],[RiskCategory]]="High Risk"),"High Risk Exposure","Normal")</f>
        <v>High Risk Exposure</v>
      </c>
      <c r="T1428" t="str" cm="1">
        <f t="array" ref="T1428">_xlfn.IFS(
Loans[[#This Row],[LoanStatus]]="Default","Critical",
OR(Loans[[#This Row],[LoanStatus]]="Watchlist",Loans[[#This Row],[CollateralRisk]]="Undersecured",Loans[[#This Row],[RiskCategory]]="High Risk"),"High",
TRUE,"Normal"
)</f>
        <v>High</v>
      </c>
    </row>
    <row r="1429" spans="1:20" x14ac:dyDescent="0.35">
      <c r="A1429" t="s">
        <v>2218</v>
      </c>
      <c r="B1429" t="s">
        <v>451</v>
      </c>
      <c r="C1429" t="s">
        <v>206</v>
      </c>
      <c r="D1429" t="s">
        <v>157</v>
      </c>
      <c r="E1429" s="34">
        <v>25000000</v>
      </c>
      <c r="F1429" s="29">
        <v>0.1381</v>
      </c>
      <c r="G1429" s="30">
        <v>44608</v>
      </c>
      <c r="H1429">
        <v>60</v>
      </c>
      <c r="I1429">
        <v>20</v>
      </c>
      <c r="J1429" s="34">
        <v>26250000</v>
      </c>
      <c r="K1429" t="s">
        <v>171</v>
      </c>
      <c r="L1429" s="34">
        <f>PMT(Loans[[#This Row],[InterestRate]]/12,Loans[[#This Row],[LoanTenureMonths]],-Loans[[#This Row],[LoanAmount]])</f>
        <v>579246.62968268245</v>
      </c>
      <c r="M1429" s="30">
        <f>EDATE(Loans[[#This Row],[LoanStartDate]],Loans[[#This Row],[LoanTenureMonths]])</f>
        <v>46434</v>
      </c>
      <c r="N1429" s="33">
        <f>IF(Loans[[#This Row],[LoanAmount]]=0,0,Loans[[#This Row],[CollateralValue]]/Loans[[#This Row],[LoanAmount]])</f>
        <v>1.05</v>
      </c>
      <c r="O1429" t="str">
        <f>IF(Loans[[#This Row],[CollateralCoverageRatio]]&lt;1,"Undersecured","Secured")</f>
        <v>Secured</v>
      </c>
      <c r="P1429" t="str">
        <f>_xlfn.XLOOKUP(Loans[[#This Row],[BranchCode]],BranchesTbl[BranchCode],BranchesTbl[BranchName])</f>
        <v>Nyahururu</v>
      </c>
      <c r="Q1429">
        <f>_xlfn.XLOOKUP(Loans[[#This Row],[CustomerID]],CustomerTbl[CustomerID],CustomerTbl[RiskScore])</f>
        <v>603</v>
      </c>
      <c r="R1429" t="str">
        <f>IFERROR(INDEX(RiskTbl[Risk_Category],MATCH(Loans[[#This Row],[RiskScore]],RiskTbl[Score_Min],1)),"Unknown")</f>
        <v>Medium Risk</v>
      </c>
      <c r="S1429" t="str">
        <f>IF(OR(Loans[[#This Row],[LoanStatus]]="Default",Loans[[#This Row],[LoanStatus]]="Watchlist",Loans[[#This Row],[CollateralRisk]]="Undersecured",Loans[[#This Row],[RiskCategory]]="High Risk"),"High Risk Exposure","Normal")</f>
        <v>Normal</v>
      </c>
      <c r="T1429" t="str" cm="1">
        <f t="array" ref="T1429">_xlfn.IFS(
Loans[[#This Row],[LoanStatus]]="Default","Critical",
OR(Loans[[#This Row],[LoanStatus]]="Watchlist",Loans[[#This Row],[CollateralRisk]]="Undersecured",Loans[[#This Row],[RiskCategory]]="High Risk"),"High",
TRUE,"Normal"
)</f>
        <v>Normal</v>
      </c>
    </row>
    <row r="1430" spans="1:20" x14ac:dyDescent="0.35">
      <c r="A1430" t="s">
        <v>2219</v>
      </c>
      <c r="B1430" t="s">
        <v>954</v>
      </c>
      <c r="C1430" t="s">
        <v>170</v>
      </c>
      <c r="D1430" t="s">
        <v>157</v>
      </c>
      <c r="E1430" s="34">
        <v>25000000</v>
      </c>
      <c r="F1430" s="29">
        <v>0.12790000000000001</v>
      </c>
      <c r="G1430" s="30">
        <v>45612</v>
      </c>
      <c r="H1430">
        <v>24</v>
      </c>
      <c r="I1430">
        <v>10</v>
      </c>
      <c r="J1430" s="34">
        <v>25250000</v>
      </c>
      <c r="K1430" t="s">
        <v>171</v>
      </c>
      <c r="L1430" s="34">
        <f>PMT(Loans[[#This Row],[InterestRate]]/12,Loans[[#This Row],[LoanTenureMonths]],-Loans[[#This Row],[LoanAmount]])</f>
        <v>1186081.0996681817</v>
      </c>
      <c r="M1430" s="30">
        <f>EDATE(Loans[[#This Row],[LoanStartDate]],Loans[[#This Row],[LoanTenureMonths]])</f>
        <v>46342</v>
      </c>
      <c r="N1430" s="33">
        <f>IF(Loans[[#This Row],[LoanAmount]]=0,0,Loans[[#This Row],[CollateralValue]]/Loans[[#This Row],[LoanAmount]])</f>
        <v>1.01</v>
      </c>
      <c r="O1430" t="str">
        <f>IF(Loans[[#This Row],[CollateralCoverageRatio]]&lt;1,"Undersecured","Secured")</f>
        <v>Secured</v>
      </c>
      <c r="P1430" t="str">
        <f>_xlfn.XLOOKUP(Loans[[#This Row],[BranchCode]],BranchesTbl[BranchCode],BranchesTbl[BranchName])</f>
        <v>Thika</v>
      </c>
      <c r="Q1430">
        <f>_xlfn.XLOOKUP(Loans[[#This Row],[CustomerID]],CustomerTbl[CustomerID],CustomerTbl[RiskScore])</f>
        <v>771</v>
      </c>
      <c r="R1430" t="str">
        <f>IFERROR(INDEX(RiskTbl[Risk_Category],MATCH(Loans[[#This Row],[RiskScore]],RiskTbl[Score_Min],1)),"Unknown")</f>
        <v>Very Low Risk</v>
      </c>
      <c r="S1430" t="str">
        <f>IF(OR(Loans[[#This Row],[LoanStatus]]="Default",Loans[[#This Row],[LoanStatus]]="Watchlist",Loans[[#This Row],[CollateralRisk]]="Undersecured",Loans[[#This Row],[RiskCategory]]="High Risk"),"High Risk Exposure","Normal")</f>
        <v>Normal</v>
      </c>
      <c r="T1430" t="str" cm="1">
        <f t="array" ref="T1430">_xlfn.IFS(
Loans[[#This Row],[LoanStatus]]="Default","Critical",
OR(Loans[[#This Row],[LoanStatus]]="Watchlist",Loans[[#This Row],[CollateralRisk]]="Undersecured",Loans[[#This Row],[RiskCategory]]="High Risk"),"High",
TRUE,"Normal"
)</f>
        <v>Normal</v>
      </c>
    </row>
    <row r="1431" spans="1:20" x14ac:dyDescent="0.35">
      <c r="A1431" t="s">
        <v>2220</v>
      </c>
      <c r="B1431" t="s">
        <v>1075</v>
      </c>
      <c r="C1431" t="s">
        <v>267</v>
      </c>
      <c r="D1431" t="s">
        <v>155</v>
      </c>
      <c r="E1431" s="34">
        <v>100000</v>
      </c>
      <c r="F1431" s="29">
        <v>0.2319</v>
      </c>
      <c r="G1431" s="30">
        <v>45802</v>
      </c>
      <c r="H1431">
        <v>36</v>
      </c>
      <c r="I1431">
        <v>10</v>
      </c>
      <c r="J1431" s="34">
        <v>0</v>
      </c>
      <c r="K1431" t="s">
        <v>171</v>
      </c>
      <c r="L1431" s="34">
        <f>PMT(Loans[[#This Row],[InterestRate]]/12,Loans[[#This Row],[LoanTenureMonths]],-Loans[[#This Row],[LoanAmount]])</f>
        <v>3880.8819837449755</v>
      </c>
      <c r="M1431" s="30">
        <f>EDATE(Loans[[#This Row],[LoanStartDate]],Loans[[#This Row],[LoanTenureMonths]])</f>
        <v>46898</v>
      </c>
      <c r="N1431" s="33">
        <f>IF(Loans[[#This Row],[LoanAmount]]=0,0,Loans[[#This Row],[CollateralValue]]/Loans[[#This Row],[LoanAmount]])</f>
        <v>0</v>
      </c>
      <c r="O1431" t="str">
        <f>IF(Loans[[#This Row],[CollateralCoverageRatio]]&lt;1,"Undersecured","Secured")</f>
        <v>Undersecured</v>
      </c>
      <c r="P1431" t="str">
        <f>_xlfn.XLOOKUP(Loans[[#This Row],[BranchCode]],BranchesTbl[BranchCode],BranchesTbl[BranchName])</f>
        <v>Malindi</v>
      </c>
      <c r="Q1431">
        <f>_xlfn.XLOOKUP(Loans[[#This Row],[CustomerID]],CustomerTbl[CustomerID],CustomerTbl[RiskScore])</f>
        <v>813</v>
      </c>
      <c r="R1431" t="str">
        <f>IFERROR(INDEX(RiskTbl[Risk_Category],MATCH(Loans[[#This Row],[RiskScore]],RiskTbl[Score_Min],1)),"Unknown")</f>
        <v>Prime</v>
      </c>
      <c r="S1431" t="str">
        <f>IF(OR(Loans[[#This Row],[LoanStatus]]="Default",Loans[[#This Row],[LoanStatus]]="Watchlist",Loans[[#This Row],[CollateralRisk]]="Undersecured",Loans[[#This Row],[RiskCategory]]="High Risk"),"High Risk Exposure","Normal")</f>
        <v>High Risk Exposure</v>
      </c>
      <c r="T1431" t="str" cm="1">
        <f t="array" ref="T1431">_xlfn.IFS(
Loans[[#This Row],[LoanStatus]]="Default","Critical",
OR(Loans[[#This Row],[LoanStatus]]="Watchlist",Loans[[#This Row],[CollateralRisk]]="Undersecured",Loans[[#This Row],[RiskCategory]]="High Risk"),"High",
TRUE,"Normal"
)</f>
        <v>High</v>
      </c>
    </row>
    <row r="1432" spans="1:20" x14ac:dyDescent="0.35">
      <c r="A1432" t="s">
        <v>2221</v>
      </c>
      <c r="B1432" t="s">
        <v>444</v>
      </c>
      <c r="C1432" t="s">
        <v>239</v>
      </c>
      <c r="D1432" t="s">
        <v>158</v>
      </c>
      <c r="E1432" s="34">
        <v>1000000</v>
      </c>
      <c r="F1432" s="29">
        <v>0.15920000000000001</v>
      </c>
      <c r="G1432" s="30">
        <v>43871</v>
      </c>
      <c r="H1432">
        <v>24</v>
      </c>
      <c r="I1432">
        <v>10</v>
      </c>
      <c r="J1432" s="34">
        <v>1250000</v>
      </c>
      <c r="K1432" t="s">
        <v>171</v>
      </c>
      <c r="L1432" s="34">
        <f>PMT(Loans[[#This Row],[InterestRate]]/12,Loans[[#This Row],[LoanTenureMonths]],-Loans[[#This Row],[LoanAmount]])</f>
        <v>48924.894399020654</v>
      </c>
      <c r="M1432" s="30">
        <f>EDATE(Loans[[#This Row],[LoanStartDate]],Loans[[#This Row],[LoanTenureMonths]])</f>
        <v>44602</v>
      </c>
      <c r="N1432" s="33">
        <f>IF(Loans[[#This Row],[LoanAmount]]=0,0,Loans[[#This Row],[CollateralValue]]/Loans[[#This Row],[LoanAmount]])</f>
        <v>1.25</v>
      </c>
      <c r="O1432" t="str">
        <f>IF(Loans[[#This Row],[CollateralCoverageRatio]]&lt;1,"Undersecured","Secured")</f>
        <v>Secured</v>
      </c>
      <c r="P1432" t="str">
        <f>_xlfn.XLOOKUP(Loans[[#This Row],[BranchCode]],BranchesTbl[BranchCode],BranchesTbl[BranchName])</f>
        <v>Machakos</v>
      </c>
      <c r="Q1432">
        <f>_xlfn.XLOOKUP(Loans[[#This Row],[CustomerID]],CustomerTbl[CustomerID],CustomerTbl[RiskScore])</f>
        <v>472</v>
      </c>
      <c r="R1432" t="str">
        <f>IFERROR(INDEX(RiskTbl[Risk_Category],MATCH(Loans[[#This Row],[RiskScore]],RiskTbl[Score_Min],1)),"Unknown")</f>
        <v>High Risk</v>
      </c>
      <c r="S1432" t="str">
        <f>IF(OR(Loans[[#This Row],[LoanStatus]]="Default",Loans[[#This Row],[LoanStatus]]="Watchlist",Loans[[#This Row],[CollateralRisk]]="Undersecured",Loans[[#This Row],[RiskCategory]]="High Risk"),"High Risk Exposure","Normal")</f>
        <v>High Risk Exposure</v>
      </c>
      <c r="T1432" t="str" cm="1">
        <f t="array" ref="T1432">_xlfn.IFS(
Loans[[#This Row],[LoanStatus]]="Default","Critical",
OR(Loans[[#This Row],[LoanStatus]]="Watchlist",Loans[[#This Row],[CollateralRisk]]="Undersecured",Loans[[#This Row],[RiskCategory]]="High Risk"),"High",
TRUE,"Normal"
)</f>
        <v>High</v>
      </c>
    </row>
    <row r="1433" spans="1:20" x14ac:dyDescent="0.35">
      <c r="A1433" t="s">
        <v>2222</v>
      </c>
      <c r="B1433" t="s">
        <v>438</v>
      </c>
      <c r="C1433" t="s">
        <v>196</v>
      </c>
      <c r="D1433" t="s">
        <v>156</v>
      </c>
      <c r="E1433" s="34">
        <v>1000000</v>
      </c>
      <c r="F1433" s="29">
        <v>0.21190000000000001</v>
      </c>
      <c r="G1433" s="30">
        <v>44460</v>
      </c>
      <c r="H1433">
        <v>48</v>
      </c>
      <c r="I1433">
        <v>0</v>
      </c>
      <c r="J1433" s="34">
        <v>800000</v>
      </c>
      <c r="K1433" t="s">
        <v>171</v>
      </c>
      <c r="L1433" s="34">
        <f>PMT(Loans[[#This Row],[InterestRate]]/12,Loans[[#This Row],[LoanTenureMonths]],-Loans[[#This Row],[LoanAmount]])</f>
        <v>31067.980281113356</v>
      </c>
      <c r="M1433" s="30">
        <f>EDATE(Loans[[#This Row],[LoanStartDate]],Loans[[#This Row],[LoanTenureMonths]])</f>
        <v>45921</v>
      </c>
      <c r="N1433" s="33">
        <f>IF(Loans[[#This Row],[LoanAmount]]=0,0,Loans[[#This Row],[CollateralValue]]/Loans[[#This Row],[LoanAmount]])</f>
        <v>0.8</v>
      </c>
      <c r="O1433" t="str">
        <f>IF(Loans[[#This Row],[CollateralCoverageRatio]]&lt;1,"Undersecured","Secured")</f>
        <v>Undersecured</v>
      </c>
      <c r="P1433" t="str">
        <f>_xlfn.XLOOKUP(Loans[[#This Row],[BranchCode]],BranchesTbl[BranchCode],BranchesTbl[BranchName])</f>
        <v>Karen</v>
      </c>
      <c r="Q1433">
        <f>_xlfn.XLOOKUP(Loans[[#This Row],[CustomerID]],CustomerTbl[CustomerID],CustomerTbl[RiskScore])</f>
        <v>654</v>
      </c>
      <c r="R1433" t="str">
        <f>IFERROR(INDEX(RiskTbl[Risk_Category],MATCH(Loans[[#This Row],[RiskScore]],RiskTbl[Score_Min],1)),"Unknown")</f>
        <v>Medium Risk</v>
      </c>
      <c r="S1433" t="str">
        <f>IF(OR(Loans[[#This Row],[LoanStatus]]="Default",Loans[[#This Row],[LoanStatus]]="Watchlist",Loans[[#This Row],[CollateralRisk]]="Undersecured",Loans[[#This Row],[RiskCategory]]="High Risk"),"High Risk Exposure","Normal")</f>
        <v>High Risk Exposure</v>
      </c>
      <c r="T1433" t="str" cm="1">
        <f t="array" ref="T1433">_xlfn.IFS(
Loans[[#This Row],[LoanStatus]]="Default","Critical",
OR(Loans[[#This Row],[LoanStatus]]="Watchlist",Loans[[#This Row],[CollateralRisk]]="Undersecured",Loans[[#This Row],[RiskCategory]]="High Risk"),"High",
TRUE,"Normal"
)</f>
        <v>High</v>
      </c>
    </row>
    <row r="1434" spans="1:20" x14ac:dyDescent="0.35">
      <c r="A1434" t="s">
        <v>2223</v>
      </c>
      <c r="B1434" t="s">
        <v>2008</v>
      </c>
      <c r="C1434" t="s">
        <v>267</v>
      </c>
      <c r="D1434" t="s">
        <v>156</v>
      </c>
      <c r="E1434" s="34">
        <v>6000000</v>
      </c>
      <c r="F1434" s="29">
        <v>0.2039</v>
      </c>
      <c r="G1434" s="30">
        <v>44375</v>
      </c>
      <c r="H1434">
        <v>48</v>
      </c>
      <c r="I1434">
        <v>90</v>
      </c>
      <c r="J1434" s="34">
        <v>8280000</v>
      </c>
      <c r="K1434" t="s">
        <v>199</v>
      </c>
      <c r="L1434" s="34">
        <f>PMT(Loans[[#This Row],[InterestRate]]/12,Loans[[#This Row],[LoanTenureMonths]],-Loans[[#This Row],[LoanAmount]])</f>
        <v>183831.23322809252</v>
      </c>
      <c r="M1434" s="30">
        <f>EDATE(Loans[[#This Row],[LoanStartDate]],Loans[[#This Row],[LoanTenureMonths]])</f>
        <v>45836</v>
      </c>
      <c r="N1434" s="33">
        <f>IF(Loans[[#This Row],[LoanAmount]]=0,0,Loans[[#This Row],[CollateralValue]]/Loans[[#This Row],[LoanAmount]])</f>
        <v>1.38</v>
      </c>
      <c r="O1434" t="str">
        <f>IF(Loans[[#This Row],[CollateralCoverageRatio]]&lt;1,"Undersecured","Secured")</f>
        <v>Secured</v>
      </c>
      <c r="P1434" t="str">
        <f>_xlfn.XLOOKUP(Loans[[#This Row],[BranchCode]],BranchesTbl[BranchCode],BranchesTbl[BranchName])</f>
        <v>Malindi</v>
      </c>
      <c r="Q1434">
        <f>_xlfn.XLOOKUP(Loans[[#This Row],[CustomerID]],CustomerTbl[CustomerID],CustomerTbl[RiskScore])</f>
        <v>634</v>
      </c>
      <c r="R1434" t="str">
        <f>IFERROR(INDEX(RiskTbl[Risk_Category],MATCH(Loans[[#This Row],[RiskScore]],RiskTbl[Score_Min],1)),"Unknown")</f>
        <v>Medium Risk</v>
      </c>
      <c r="S1434" t="str">
        <f>IF(OR(Loans[[#This Row],[LoanStatus]]="Default",Loans[[#This Row],[LoanStatus]]="Watchlist",Loans[[#This Row],[CollateralRisk]]="Undersecured",Loans[[#This Row],[RiskCategory]]="High Risk"),"High Risk Exposure","Normal")</f>
        <v>High Risk Exposure</v>
      </c>
      <c r="T1434" t="str" cm="1">
        <f t="array" ref="T1434">_xlfn.IFS(
Loans[[#This Row],[LoanStatus]]="Default","Critical",
OR(Loans[[#This Row],[LoanStatus]]="Watchlist",Loans[[#This Row],[CollateralRisk]]="Undersecured",Loans[[#This Row],[RiskCategory]]="High Risk"),"High",
TRUE,"Normal"
)</f>
        <v>High</v>
      </c>
    </row>
    <row r="1435" spans="1:20" x14ac:dyDescent="0.35">
      <c r="A1435" t="s">
        <v>2224</v>
      </c>
      <c r="B1435" t="s">
        <v>262</v>
      </c>
      <c r="C1435" t="s">
        <v>232</v>
      </c>
      <c r="D1435" t="s">
        <v>157</v>
      </c>
      <c r="E1435" s="34">
        <v>6000000</v>
      </c>
      <c r="F1435" s="29">
        <v>9.1999999999999998E-2</v>
      </c>
      <c r="G1435" s="30">
        <v>44137</v>
      </c>
      <c r="H1435">
        <v>36</v>
      </c>
      <c r="I1435">
        <v>5</v>
      </c>
      <c r="J1435" s="34">
        <v>7860000</v>
      </c>
      <c r="K1435" t="s">
        <v>171</v>
      </c>
      <c r="L1435" s="34">
        <f>PMT(Loans[[#This Row],[InterestRate]]/12,Loans[[#This Row],[LoanTenureMonths]],-Loans[[#This Row],[LoanAmount]])</f>
        <v>191357.38171463911</v>
      </c>
      <c r="M1435" s="30">
        <f>EDATE(Loans[[#This Row],[LoanStartDate]],Loans[[#This Row],[LoanTenureMonths]])</f>
        <v>45232</v>
      </c>
      <c r="N1435" s="33">
        <f>IF(Loans[[#This Row],[LoanAmount]]=0,0,Loans[[#This Row],[CollateralValue]]/Loans[[#This Row],[LoanAmount]])</f>
        <v>1.31</v>
      </c>
      <c r="O1435" t="str">
        <f>IF(Loans[[#This Row],[CollateralCoverageRatio]]&lt;1,"Undersecured","Secured")</f>
        <v>Secured</v>
      </c>
      <c r="P1435" t="str">
        <f>_xlfn.XLOOKUP(Loans[[#This Row],[BranchCode]],BranchesTbl[BranchCode],BranchesTbl[BranchName])</f>
        <v>Upper Hill</v>
      </c>
      <c r="Q1435">
        <f>_xlfn.XLOOKUP(Loans[[#This Row],[CustomerID]],CustomerTbl[CustomerID],CustomerTbl[RiskScore])</f>
        <v>714</v>
      </c>
      <c r="R1435" t="str">
        <f>IFERROR(INDEX(RiskTbl[Risk_Category],MATCH(Loans[[#This Row],[RiskScore]],RiskTbl[Score_Min],1)),"Unknown")</f>
        <v>Low Risk</v>
      </c>
      <c r="S1435" t="str">
        <f>IF(OR(Loans[[#This Row],[LoanStatus]]="Default",Loans[[#This Row],[LoanStatus]]="Watchlist",Loans[[#This Row],[CollateralRisk]]="Undersecured",Loans[[#This Row],[RiskCategory]]="High Risk"),"High Risk Exposure","Normal")</f>
        <v>Normal</v>
      </c>
      <c r="T1435" t="str" cm="1">
        <f t="array" ref="T1435">_xlfn.IFS(
Loans[[#This Row],[LoanStatus]]="Default","Critical",
OR(Loans[[#This Row],[LoanStatus]]="Watchlist",Loans[[#This Row],[CollateralRisk]]="Undersecured",Loans[[#This Row],[RiskCategory]]="High Risk"),"High",
TRUE,"Normal"
)</f>
        <v>Normal</v>
      </c>
    </row>
    <row r="1436" spans="1:20" x14ac:dyDescent="0.35">
      <c r="A1436" t="s">
        <v>2225</v>
      </c>
      <c r="B1436" t="s">
        <v>1146</v>
      </c>
      <c r="C1436" t="s">
        <v>190</v>
      </c>
      <c r="D1436" t="s">
        <v>156</v>
      </c>
      <c r="E1436" s="34">
        <v>3000000</v>
      </c>
      <c r="F1436" s="29">
        <v>0.1406</v>
      </c>
      <c r="G1436" s="30">
        <v>44046</v>
      </c>
      <c r="H1436">
        <v>24</v>
      </c>
      <c r="I1436">
        <v>0</v>
      </c>
      <c r="J1436" s="34">
        <v>2550000</v>
      </c>
      <c r="K1436" t="s">
        <v>171</v>
      </c>
      <c r="L1436" s="34">
        <f>PMT(Loans[[#This Row],[InterestRate]]/12,Loans[[#This Row],[LoanTenureMonths]],-Loans[[#This Row],[LoanAmount]])</f>
        <v>144123.69888731773</v>
      </c>
      <c r="M1436" s="30">
        <f>EDATE(Loans[[#This Row],[LoanStartDate]],Loans[[#This Row],[LoanTenureMonths]])</f>
        <v>44776</v>
      </c>
      <c r="N1436" s="33">
        <f>IF(Loans[[#This Row],[LoanAmount]]=0,0,Loans[[#This Row],[CollateralValue]]/Loans[[#This Row],[LoanAmount]])</f>
        <v>0.85</v>
      </c>
      <c r="O1436" t="str">
        <f>IF(Loans[[#This Row],[CollateralCoverageRatio]]&lt;1,"Undersecured","Secured")</f>
        <v>Undersecured</v>
      </c>
      <c r="P1436" t="str">
        <f>_xlfn.XLOOKUP(Loans[[#This Row],[BranchCode]],BranchesTbl[BranchCode],BranchesTbl[BranchName])</f>
        <v>Nyeri</v>
      </c>
      <c r="Q1436">
        <f>_xlfn.XLOOKUP(Loans[[#This Row],[CustomerID]],CustomerTbl[CustomerID],CustomerTbl[RiskScore])</f>
        <v>514</v>
      </c>
      <c r="R1436" t="str">
        <f>IFERROR(INDEX(RiskTbl[Risk_Category],MATCH(Loans[[#This Row],[RiskScore]],RiskTbl[Score_Min],1)),"Unknown")</f>
        <v>High Risk</v>
      </c>
      <c r="S1436" t="str">
        <f>IF(OR(Loans[[#This Row],[LoanStatus]]="Default",Loans[[#This Row],[LoanStatus]]="Watchlist",Loans[[#This Row],[CollateralRisk]]="Undersecured",Loans[[#This Row],[RiskCategory]]="High Risk"),"High Risk Exposure","Normal")</f>
        <v>High Risk Exposure</v>
      </c>
      <c r="T1436" t="str" cm="1">
        <f t="array" ref="T1436">_xlfn.IFS(
Loans[[#This Row],[LoanStatus]]="Default","Critical",
OR(Loans[[#This Row],[LoanStatus]]="Watchlist",Loans[[#This Row],[CollateralRisk]]="Undersecured",Loans[[#This Row],[RiskCategory]]="High Risk"),"High",
TRUE,"Normal"
)</f>
        <v>High</v>
      </c>
    </row>
    <row r="1437" spans="1:20" x14ac:dyDescent="0.35">
      <c r="A1437" t="s">
        <v>2226</v>
      </c>
      <c r="B1437" t="s">
        <v>569</v>
      </c>
      <c r="C1437" t="s">
        <v>206</v>
      </c>
      <c r="D1437" t="s">
        <v>155</v>
      </c>
      <c r="E1437" s="34">
        <v>1000000</v>
      </c>
      <c r="F1437" s="29">
        <v>0.27689999999999998</v>
      </c>
      <c r="G1437" s="30">
        <v>44162</v>
      </c>
      <c r="H1437">
        <v>36</v>
      </c>
      <c r="I1437">
        <v>0</v>
      </c>
      <c r="J1437" s="34">
        <v>0</v>
      </c>
      <c r="K1437" t="s">
        <v>171</v>
      </c>
      <c r="L1437" s="34">
        <f>PMT(Loans[[#This Row],[InterestRate]]/12,Loans[[#This Row],[LoanTenureMonths]],-Loans[[#This Row],[LoanAmount]])</f>
        <v>41196.289458996696</v>
      </c>
      <c r="M1437" s="30">
        <f>EDATE(Loans[[#This Row],[LoanStartDate]],Loans[[#This Row],[LoanTenureMonths]])</f>
        <v>45257</v>
      </c>
      <c r="N1437" s="33">
        <f>IF(Loans[[#This Row],[LoanAmount]]=0,0,Loans[[#This Row],[CollateralValue]]/Loans[[#This Row],[LoanAmount]])</f>
        <v>0</v>
      </c>
      <c r="O1437" t="str">
        <f>IF(Loans[[#This Row],[CollateralCoverageRatio]]&lt;1,"Undersecured","Secured")</f>
        <v>Undersecured</v>
      </c>
      <c r="P1437" t="str">
        <f>_xlfn.XLOOKUP(Loans[[#This Row],[BranchCode]],BranchesTbl[BranchCode],BranchesTbl[BranchName])</f>
        <v>Nyahururu</v>
      </c>
      <c r="Q1437">
        <f>_xlfn.XLOOKUP(Loans[[#This Row],[CustomerID]],CustomerTbl[CustomerID],CustomerTbl[RiskScore])</f>
        <v>347</v>
      </c>
      <c r="R1437" t="str">
        <f>IFERROR(INDEX(RiskTbl[Risk_Category],MATCH(Loans[[#This Row],[RiskScore]],RiskTbl[Score_Min],1)),"Unknown")</f>
        <v>High Risk</v>
      </c>
      <c r="S1437" t="str">
        <f>IF(OR(Loans[[#This Row],[LoanStatus]]="Default",Loans[[#This Row],[LoanStatus]]="Watchlist",Loans[[#This Row],[CollateralRisk]]="Undersecured",Loans[[#This Row],[RiskCategory]]="High Risk"),"High Risk Exposure","Normal")</f>
        <v>High Risk Exposure</v>
      </c>
      <c r="T1437" t="str" cm="1">
        <f t="array" ref="T1437">_xlfn.IFS(
Loans[[#This Row],[LoanStatus]]="Default","Critical",
OR(Loans[[#This Row],[LoanStatus]]="Watchlist",Loans[[#This Row],[CollateralRisk]]="Undersecured",Loans[[#This Row],[RiskCategory]]="High Risk"),"High",
TRUE,"Normal"
)</f>
        <v>High</v>
      </c>
    </row>
    <row r="1438" spans="1:20" x14ac:dyDescent="0.35">
      <c r="A1438" t="s">
        <v>2227</v>
      </c>
      <c r="B1438" t="s">
        <v>1400</v>
      </c>
      <c r="C1438" t="s">
        <v>196</v>
      </c>
      <c r="D1438" t="s">
        <v>157</v>
      </c>
      <c r="E1438" s="34">
        <v>6000000</v>
      </c>
      <c r="F1438" s="29">
        <v>9.4600000000000004E-2</v>
      </c>
      <c r="G1438" s="30">
        <v>45572</v>
      </c>
      <c r="H1438">
        <v>48</v>
      </c>
      <c r="I1438">
        <v>45</v>
      </c>
      <c r="J1438" s="34">
        <v>4920000</v>
      </c>
      <c r="K1438" t="s">
        <v>199</v>
      </c>
      <c r="L1438" s="34">
        <f>PMT(Loans[[#This Row],[InterestRate]]/12,Loans[[#This Row],[LoanTenureMonths]],-Loans[[#This Row],[LoanAmount]])</f>
        <v>150624.23591084866</v>
      </c>
      <c r="M1438" s="30">
        <f>EDATE(Loans[[#This Row],[LoanStartDate]],Loans[[#This Row],[LoanTenureMonths]])</f>
        <v>47033</v>
      </c>
      <c r="N1438" s="33">
        <f>IF(Loans[[#This Row],[LoanAmount]]=0,0,Loans[[#This Row],[CollateralValue]]/Loans[[#This Row],[LoanAmount]])</f>
        <v>0.82</v>
      </c>
      <c r="O1438" t="str">
        <f>IF(Loans[[#This Row],[CollateralCoverageRatio]]&lt;1,"Undersecured","Secured")</f>
        <v>Undersecured</v>
      </c>
      <c r="P1438" t="str">
        <f>_xlfn.XLOOKUP(Loans[[#This Row],[BranchCode]],BranchesTbl[BranchCode],BranchesTbl[BranchName])</f>
        <v>Karen</v>
      </c>
      <c r="Q1438">
        <f>_xlfn.XLOOKUP(Loans[[#This Row],[CustomerID]],CustomerTbl[CustomerID],CustomerTbl[RiskScore])</f>
        <v>673</v>
      </c>
      <c r="R1438" t="str">
        <f>IFERROR(INDEX(RiskTbl[Risk_Category],MATCH(Loans[[#This Row],[RiskScore]],RiskTbl[Score_Min],1)),"Unknown")</f>
        <v>Low Risk</v>
      </c>
      <c r="S1438" t="str">
        <f>IF(OR(Loans[[#This Row],[LoanStatus]]="Default",Loans[[#This Row],[LoanStatus]]="Watchlist",Loans[[#This Row],[CollateralRisk]]="Undersecured",Loans[[#This Row],[RiskCategory]]="High Risk"),"High Risk Exposure","Normal")</f>
        <v>High Risk Exposure</v>
      </c>
      <c r="T1438" t="str" cm="1">
        <f t="array" ref="T1438">_xlfn.IFS(
Loans[[#This Row],[LoanStatus]]="Default","Critical",
OR(Loans[[#This Row],[LoanStatus]]="Watchlist",Loans[[#This Row],[CollateralRisk]]="Undersecured",Loans[[#This Row],[RiskCategory]]="High Risk"),"High",
TRUE,"Normal"
)</f>
        <v>High</v>
      </c>
    </row>
    <row r="1439" spans="1:20" x14ac:dyDescent="0.35">
      <c r="A1439" t="s">
        <v>2228</v>
      </c>
      <c r="B1439" t="s">
        <v>2229</v>
      </c>
      <c r="C1439" t="s">
        <v>174</v>
      </c>
      <c r="D1439" t="s">
        <v>158</v>
      </c>
      <c r="E1439" s="34">
        <v>3000000</v>
      </c>
      <c r="F1439" s="29">
        <v>0.1847</v>
      </c>
      <c r="G1439" s="30">
        <v>45690</v>
      </c>
      <c r="H1439">
        <v>24</v>
      </c>
      <c r="I1439">
        <v>90</v>
      </c>
      <c r="J1439" s="34">
        <v>2820000</v>
      </c>
      <c r="K1439" t="s">
        <v>199</v>
      </c>
      <c r="L1439" s="34">
        <f>PMT(Loans[[#This Row],[InterestRate]]/12,Loans[[#This Row],[LoanTenureMonths]],-Loans[[#This Row],[LoanAmount]])</f>
        <v>150454.4732935128</v>
      </c>
      <c r="M1439" s="30">
        <f>EDATE(Loans[[#This Row],[LoanStartDate]],Loans[[#This Row],[LoanTenureMonths]])</f>
        <v>46420</v>
      </c>
      <c r="N1439" s="33">
        <f>IF(Loans[[#This Row],[LoanAmount]]=0,0,Loans[[#This Row],[CollateralValue]]/Loans[[#This Row],[LoanAmount]])</f>
        <v>0.94</v>
      </c>
      <c r="O1439" t="str">
        <f>IF(Loans[[#This Row],[CollateralCoverageRatio]]&lt;1,"Undersecured","Secured")</f>
        <v>Undersecured</v>
      </c>
      <c r="P1439" t="str">
        <f>_xlfn.XLOOKUP(Loans[[#This Row],[BranchCode]],BranchesTbl[BranchCode],BranchesTbl[BranchName])</f>
        <v>Westlands</v>
      </c>
      <c r="Q1439">
        <f>_xlfn.XLOOKUP(Loans[[#This Row],[CustomerID]],CustomerTbl[CustomerID],CustomerTbl[RiskScore])</f>
        <v>777</v>
      </c>
      <c r="R1439" t="str">
        <f>IFERROR(INDEX(RiskTbl[Risk_Category],MATCH(Loans[[#This Row],[RiskScore]],RiskTbl[Score_Min],1)),"Unknown")</f>
        <v>Very Low Risk</v>
      </c>
      <c r="S1439" t="str">
        <f>IF(OR(Loans[[#This Row],[LoanStatus]]="Default",Loans[[#This Row],[LoanStatus]]="Watchlist",Loans[[#This Row],[CollateralRisk]]="Undersecured",Loans[[#This Row],[RiskCategory]]="High Risk"),"High Risk Exposure","Normal")</f>
        <v>High Risk Exposure</v>
      </c>
      <c r="T1439" t="str" cm="1">
        <f t="array" ref="T1439">_xlfn.IFS(
Loans[[#This Row],[LoanStatus]]="Default","Critical",
OR(Loans[[#This Row],[LoanStatus]]="Watchlist",Loans[[#This Row],[CollateralRisk]]="Undersecured",Loans[[#This Row],[RiskCategory]]="High Risk"),"High",
TRUE,"Normal"
)</f>
        <v>High</v>
      </c>
    </row>
    <row r="1440" spans="1:20" x14ac:dyDescent="0.35">
      <c r="A1440" t="s">
        <v>2230</v>
      </c>
      <c r="B1440" t="s">
        <v>470</v>
      </c>
      <c r="C1440" t="s">
        <v>193</v>
      </c>
      <c r="D1440" t="s">
        <v>157</v>
      </c>
      <c r="E1440" s="34">
        <v>25000000</v>
      </c>
      <c r="F1440" s="29">
        <v>9.8199999999999996E-2</v>
      </c>
      <c r="G1440" s="30">
        <v>45799</v>
      </c>
      <c r="H1440">
        <v>24</v>
      </c>
      <c r="I1440">
        <v>90</v>
      </c>
      <c r="J1440" s="34">
        <v>31250000</v>
      </c>
      <c r="K1440" t="s">
        <v>199</v>
      </c>
      <c r="L1440" s="34">
        <f>PMT(Loans[[#This Row],[InterestRate]]/12,Loans[[#This Row],[LoanTenureMonths]],-Loans[[#This Row],[LoanAmount]])</f>
        <v>1151547.2933734574</v>
      </c>
      <c r="M1440" s="30">
        <f>EDATE(Loans[[#This Row],[LoanStartDate]],Loans[[#This Row],[LoanTenureMonths]])</f>
        <v>46529</v>
      </c>
      <c r="N1440" s="33">
        <f>IF(Loans[[#This Row],[LoanAmount]]=0,0,Loans[[#This Row],[CollateralValue]]/Loans[[#This Row],[LoanAmount]])</f>
        <v>1.25</v>
      </c>
      <c r="O1440" t="str">
        <f>IF(Loans[[#This Row],[CollateralCoverageRatio]]&lt;1,"Undersecured","Secured")</f>
        <v>Secured</v>
      </c>
      <c r="P1440" t="str">
        <f>_xlfn.XLOOKUP(Loans[[#This Row],[BranchCode]],BranchesTbl[BranchCode],BranchesTbl[BranchName])</f>
        <v>Mombasa</v>
      </c>
      <c r="Q1440">
        <f>_xlfn.XLOOKUP(Loans[[#This Row],[CustomerID]],CustomerTbl[CustomerID],CustomerTbl[RiskScore])</f>
        <v>660</v>
      </c>
      <c r="R1440" t="str">
        <f>IFERROR(INDEX(RiskTbl[Risk_Category],MATCH(Loans[[#This Row],[RiskScore]],RiskTbl[Score_Min],1)),"Unknown")</f>
        <v>Medium Risk</v>
      </c>
      <c r="S1440" t="str">
        <f>IF(OR(Loans[[#This Row],[LoanStatus]]="Default",Loans[[#This Row],[LoanStatus]]="Watchlist",Loans[[#This Row],[CollateralRisk]]="Undersecured",Loans[[#This Row],[RiskCategory]]="High Risk"),"High Risk Exposure","Normal")</f>
        <v>High Risk Exposure</v>
      </c>
      <c r="T1440" t="str" cm="1">
        <f t="array" ref="T1440">_xlfn.IFS(
Loans[[#This Row],[LoanStatus]]="Default","Critical",
OR(Loans[[#This Row],[LoanStatus]]="Watchlist",Loans[[#This Row],[CollateralRisk]]="Undersecured",Loans[[#This Row],[RiskCategory]]="High Risk"),"High",
TRUE,"Normal"
)</f>
        <v>High</v>
      </c>
    </row>
    <row r="1441" spans="1:20" x14ac:dyDescent="0.35">
      <c r="A1441" t="s">
        <v>2231</v>
      </c>
      <c r="B1441" t="s">
        <v>1655</v>
      </c>
      <c r="C1441" t="s">
        <v>196</v>
      </c>
      <c r="D1441" t="s">
        <v>155</v>
      </c>
      <c r="E1441" s="34">
        <v>100000</v>
      </c>
      <c r="F1441" s="29">
        <v>0.2109</v>
      </c>
      <c r="G1441" s="30">
        <v>45299</v>
      </c>
      <c r="H1441">
        <v>36</v>
      </c>
      <c r="I1441">
        <v>120</v>
      </c>
      <c r="J1441" s="34">
        <v>0</v>
      </c>
      <c r="K1441" t="s">
        <v>178</v>
      </c>
      <c r="L1441" s="34">
        <f>PMT(Loans[[#This Row],[InterestRate]]/12,Loans[[#This Row],[LoanTenureMonths]],-Loans[[#This Row],[LoanAmount]])</f>
        <v>3772.129256426244</v>
      </c>
      <c r="M1441" s="30">
        <f>EDATE(Loans[[#This Row],[LoanStartDate]],Loans[[#This Row],[LoanTenureMonths]])</f>
        <v>46395</v>
      </c>
      <c r="N1441" s="33">
        <f>IF(Loans[[#This Row],[LoanAmount]]=0,0,Loans[[#This Row],[CollateralValue]]/Loans[[#This Row],[LoanAmount]])</f>
        <v>0</v>
      </c>
      <c r="O1441" t="str">
        <f>IF(Loans[[#This Row],[CollateralCoverageRatio]]&lt;1,"Undersecured","Secured")</f>
        <v>Undersecured</v>
      </c>
      <c r="P1441" t="str">
        <f>_xlfn.XLOOKUP(Loans[[#This Row],[BranchCode]],BranchesTbl[BranchCode],BranchesTbl[BranchName])</f>
        <v>Karen</v>
      </c>
      <c r="Q1441">
        <f>_xlfn.XLOOKUP(Loans[[#This Row],[CustomerID]],CustomerTbl[CustomerID],CustomerTbl[RiskScore])</f>
        <v>402</v>
      </c>
      <c r="R1441" t="str">
        <f>IFERROR(INDEX(RiskTbl[Risk_Category],MATCH(Loans[[#This Row],[RiskScore]],RiskTbl[Score_Min],1)),"Unknown")</f>
        <v>High Risk</v>
      </c>
      <c r="S1441" t="str">
        <f>IF(OR(Loans[[#This Row],[LoanStatus]]="Default",Loans[[#This Row],[LoanStatus]]="Watchlist",Loans[[#This Row],[CollateralRisk]]="Undersecured",Loans[[#This Row],[RiskCategory]]="High Risk"),"High Risk Exposure","Normal")</f>
        <v>High Risk Exposure</v>
      </c>
      <c r="T1441" t="str" cm="1">
        <f t="array" ref="T1441">_xlfn.IFS(
Loans[[#This Row],[LoanStatus]]="Default","Critical",
OR(Loans[[#This Row],[LoanStatus]]="Watchlist",Loans[[#This Row],[CollateralRisk]]="Undersecured",Loans[[#This Row],[RiskCategory]]="High Risk"),"High",
TRUE,"Normal"
)</f>
        <v>Critical</v>
      </c>
    </row>
    <row r="1442" spans="1:20" x14ac:dyDescent="0.35">
      <c r="A1442" t="s">
        <v>2232</v>
      </c>
      <c r="B1442" t="s">
        <v>1045</v>
      </c>
      <c r="C1442" t="s">
        <v>196</v>
      </c>
      <c r="D1442" t="s">
        <v>156</v>
      </c>
      <c r="E1442" s="34">
        <v>3000000</v>
      </c>
      <c r="F1442" s="29">
        <v>0.17549999999999999</v>
      </c>
      <c r="G1442" s="30">
        <v>44366</v>
      </c>
      <c r="H1442">
        <v>12</v>
      </c>
      <c r="I1442">
        <v>10</v>
      </c>
      <c r="J1442" s="34">
        <v>2340000</v>
      </c>
      <c r="K1442" t="s">
        <v>171</v>
      </c>
      <c r="L1442" s="34">
        <f>PMT(Loans[[#This Row],[InterestRate]]/12,Loans[[#This Row],[LoanTenureMonths]],-Loans[[#This Row],[LoanAmount]])</f>
        <v>274397.90407731727</v>
      </c>
      <c r="M1442" s="30">
        <f>EDATE(Loans[[#This Row],[LoanStartDate]],Loans[[#This Row],[LoanTenureMonths]])</f>
        <v>44731</v>
      </c>
      <c r="N1442" s="33">
        <f>IF(Loans[[#This Row],[LoanAmount]]=0,0,Loans[[#This Row],[CollateralValue]]/Loans[[#This Row],[LoanAmount]])</f>
        <v>0.78</v>
      </c>
      <c r="O1442" t="str">
        <f>IF(Loans[[#This Row],[CollateralCoverageRatio]]&lt;1,"Undersecured","Secured")</f>
        <v>Undersecured</v>
      </c>
      <c r="P1442" t="str">
        <f>_xlfn.XLOOKUP(Loans[[#This Row],[BranchCode]],BranchesTbl[BranchCode],BranchesTbl[BranchName])</f>
        <v>Karen</v>
      </c>
      <c r="Q1442">
        <f>_xlfn.XLOOKUP(Loans[[#This Row],[CustomerID]],CustomerTbl[CustomerID],CustomerTbl[RiskScore])</f>
        <v>308</v>
      </c>
      <c r="R1442" t="str">
        <f>IFERROR(INDEX(RiskTbl[Risk_Category],MATCH(Loans[[#This Row],[RiskScore]],RiskTbl[Score_Min],1)),"Unknown")</f>
        <v>High Risk</v>
      </c>
      <c r="S1442" t="str">
        <f>IF(OR(Loans[[#This Row],[LoanStatus]]="Default",Loans[[#This Row],[LoanStatus]]="Watchlist",Loans[[#This Row],[CollateralRisk]]="Undersecured",Loans[[#This Row],[RiskCategory]]="High Risk"),"High Risk Exposure","Normal")</f>
        <v>High Risk Exposure</v>
      </c>
      <c r="T1442" t="str" cm="1">
        <f t="array" ref="T1442">_xlfn.IFS(
Loans[[#This Row],[LoanStatus]]="Default","Critical",
OR(Loans[[#This Row],[LoanStatus]]="Watchlist",Loans[[#This Row],[CollateralRisk]]="Undersecured",Loans[[#This Row],[RiskCategory]]="High Risk"),"High",
TRUE,"Normal"
)</f>
        <v>High</v>
      </c>
    </row>
    <row r="1443" spans="1:20" x14ac:dyDescent="0.35">
      <c r="A1443" t="s">
        <v>2233</v>
      </c>
      <c r="B1443" t="s">
        <v>710</v>
      </c>
      <c r="C1443" t="s">
        <v>239</v>
      </c>
      <c r="D1443" t="s">
        <v>155</v>
      </c>
      <c r="E1443" s="34">
        <v>100000</v>
      </c>
      <c r="F1443" s="29">
        <v>0.27800000000000002</v>
      </c>
      <c r="G1443" s="30">
        <v>44965</v>
      </c>
      <c r="H1443">
        <v>24</v>
      </c>
      <c r="I1443">
        <v>0</v>
      </c>
      <c r="J1443" s="34">
        <v>0</v>
      </c>
      <c r="K1443" t="s">
        <v>171</v>
      </c>
      <c r="L1443" s="34">
        <f>PMT(Loans[[#This Row],[InterestRate]]/12,Loans[[#This Row],[LoanTenureMonths]],-Loans[[#This Row],[LoanAmount]])</f>
        <v>5478.6635734852416</v>
      </c>
      <c r="M1443" s="30">
        <f>EDATE(Loans[[#This Row],[LoanStartDate]],Loans[[#This Row],[LoanTenureMonths]])</f>
        <v>45696</v>
      </c>
      <c r="N1443" s="33">
        <f>IF(Loans[[#This Row],[LoanAmount]]=0,0,Loans[[#This Row],[CollateralValue]]/Loans[[#This Row],[LoanAmount]])</f>
        <v>0</v>
      </c>
      <c r="O1443" t="str">
        <f>IF(Loans[[#This Row],[CollateralCoverageRatio]]&lt;1,"Undersecured","Secured")</f>
        <v>Undersecured</v>
      </c>
      <c r="P1443" t="str">
        <f>_xlfn.XLOOKUP(Loans[[#This Row],[BranchCode]],BranchesTbl[BranchCode],BranchesTbl[BranchName])</f>
        <v>Machakos</v>
      </c>
      <c r="Q1443">
        <f>_xlfn.XLOOKUP(Loans[[#This Row],[CustomerID]],CustomerTbl[CustomerID],CustomerTbl[RiskScore])</f>
        <v>775</v>
      </c>
      <c r="R1443" t="str">
        <f>IFERROR(INDEX(RiskTbl[Risk_Category],MATCH(Loans[[#This Row],[RiskScore]],RiskTbl[Score_Min],1)),"Unknown")</f>
        <v>Very Low Risk</v>
      </c>
      <c r="S1443" t="str">
        <f>IF(OR(Loans[[#This Row],[LoanStatus]]="Default",Loans[[#This Row],[LoanStatus]]="Watchlist",Loans[[#This Row],[CollateralRisk]]="Undersecured",Loans[[#This Row],[RiskCategory]]="High Risk"),"High Risk Exposure","Normal")</f>
        <v>High Risk Exposure</v>
      </c>
      <c r="T1443" t="str" cm="1">
        <f t="array" ref="T1443">_xlfn.IFS(
Loans[[#This Row],[LoanStatus]]="Default","Critical",
OR(Loans[[#This Row],[LoanStatus]]="Watchlist",Loans[[#This Row],[CollateralRisk]]="Undersecured",Loans[[#This Row],[RiskCategory]]="High Risk"),"High",
TRUE,"Normal"
)</f>
        <v>High</v>
      </c>
    </row>
    <row r="1444" spans="1:20" x14ac:dyDescent="0.35">
      <c r="A1444" t="s">
        <v>2234</v>
      </c>
      <c r="B1444" t="s">
        <v>889</v>
      </c>
      <c r="C1444" t="s">
        <v>239</v>
      </c>
      <c r="D1444" t="s">
        <v>155</v>
      </c>
      <c r="E1444" s="34">
        <v>250000</v>
      </c>
      <c r="F1444" s="29">
        <v>0.25940000000000002</v>
      </c>
      <c r="G1444" s="30">
        <v>45158</v>
      </c>
      <c r="H1444">
        <v>12</v>
      </c>
      <c r="I1444">
        <v>0</v>
      </c>
      <c r="J1444" s="34">
        <v>0</v>
      </c>
      <c r="K1444" t="s">
        <v>171</v>
      </c>
      <c r="L1444" s="34">
        <f>PMT(Loans[[#This Row],[InterestRate]]/12,Loans[[#This Row],[LoanTenureMonths]],-Loans[[#This Row],[LoanAmount]])</f>
        <v>23875.236353856366</v>
      </c>
      <c r="M1444" s="30">
        <f>EDATE(Loans[[#This Row],[LoanStartDate]],Loans[[#This Row],[LoanTenureMonths]])</f>
        <v>45524</v>
      </c>
      <c r="N1444" s="33">
        <f>IF(Loans[[#This Row],[LoanAmount]]=0,0,Loans[[#This Row],[CollateralValue]]/Loans[[#This Row],[LoanAmount]])</f>
        <v>0</v>
      </c>
      <c r="O1444" t="str">
        <f>IF(Loans[[#This Row],[CollateralCoverageRatio]]&lt;1,"Undersecured","Secured")</f>
        <v>Undersecured</v>
      </c>
      <c r="P1444" t="str">
        <f>_xlfn.XLOOKUP(Loans[[#This Row],[BranchCode]],BranchesTbl[BranchCode],BranchesTbl[BranchName])</f>
        <v>Machakos</v>
      </c>
      <c r="Q1444">
        <f>_xlfn.XLOOKUP(Loans[[#This Row],[CustomerID]],CustomerTbl[CustomerID],CustomerTbl[RiskScore])</f>
        <v>797</v>
      </c>
      <c r="R1444" t="str">
        <f>IFERROR(INDEX(RiskTbl[Risk_Category],MATCH(Loans[[#This Row],[RiskScore]],RiskTbl[Score_Min],1)),"Unknown")</f>
        <v>Very Low Risk</v>
      </c>
      <c r="S1444" t="str">
        <f>IF(OR(Loans[[#This Row],[LoanStatus]]="Default",Loans[[#This Row],[LoanStatus]]="Watchlist",Loans[[#This Row],[CollateralRisk]]="Undersecured",Loans[[#This Row],[RiskCategory]]="High Risk"),"High Risk Exposure","Normal")</f>
        <v>High Risk Exposure</v>
      </c>
      <c r="T1444" t="str" cm="1">
        <f t="array" ref="T1444">_xlfn.IFS(
Loans[[#This Row],[LoanStatus]]="Default","Critical",
OR(Loans[[#This Row],[LoanStatus]]="Watchlist",Loans[[#This Row],[CollateralRisk]]="Undersecured",Loans[[#This Row],[RiskCategory]]="High Risk"),"High",
TRUE,"Normal"
)</f>
        <v>High</v>
      </c>
    </row>
    <row r="1445" spans="1:20" x14ac:dyDescent="0.35">
      <c r="A1445" t="s">
        <v>2235</v>
      </c>
      <c r="B1445" t="s">
        <v>2236</v>
      </c>
      <c r="C1445" t="s">
        <v>193</v>
      </c>
      <c r="D1445" t="s">
        <v>157</v>
      </c>
      <c r="E1445" s="34">
        <v>6000000</v>
      </c>
      <c r="F1445" s="29">
        <v>9.1899999999999996E-2</v>
      </c>
      <c r="G1445" s="30">
        <v>44653</v>
      </c>
      <c r="H1445">
        <v>24</v>
      </c>
      <c r="I1445">
        <v>20</v>
      </c>
      <c r="J1445" s="34">
        <v>8820000</v>
      </c>
      <c r="K1445" t="s">
        <v>171</v>
      </c>
      <c r="L1445" s="34">
        <f>PMT(Loans[[#This Row],[InterestRate]]/12,Loans[[#This Row],[LoanTenureMonths]],-Loans[[#This Row],[LoanAmount]])</f>
        <v>274631.80254558567</v>
      </c>
      <c r="M1445" s="30">
        <f>EDATE(Loans[[#This Row],[LoanStartDate]],Loans[[#This Row],[LoanTenureMonths]])</f>
        <v>45384</v>
      </c>
      <c r="N1445" s="33">
        <f>IF(Loans[[#This Row],[LoanAmount]]=0,0,Loans[[#This Row],[CollateralValue]]/Loans[[#This Row],[LoanAmount]])</f>
        <v>1.47</v>
      </c>
      <c r="O1445" t="str">
        <f>IF(Loans[[#This Row],[CollateralCoverageRatio]]&lt;1,"Undersecured","Secured")</f>
        <v>Secured</v>
      </c>
      <c r="P1445" t="str">
        <f>_xlfn.XLOOKUP(Loans[[#This Row],[BranchCode]],BranchesTbl[BranchCode],BranchesTbl[BranchName])</f>
        <v>Mombasa</v>
      </c>
      <c r="Q1445">
        <f>_xlfn.XLOOKUP(Loans[[#This Row],[CustomerID]],CustomerTbl[CustomerID],CustomerTbl[RiskScore])</f>
        <v>530</v>
      </c>
      <c r="R1445" t="str">
        <f>IFERROR(INDEX(RiskTbl[Risk_Category],MATCH(Loans[[#This Row],[RiskScore]],RiskTbl[Score_Min],1)),"Unknown")</f>
        <v>High Risk</v>
      </c>
      <c r="S1445" t="str">
        <f>IF(OR(Loans[[#This Row],[LoanStatus]]="Default",Loans[[#This Row],[LoanStatus]]="Watchlist",Loans[[#This Row],[CollateralRisk]]="Undersecured",Loans[[#This Row],[RiskCategory]]="High Risk"),"High Risk Exposure","Normal")</f>
        <v>High Risk Exposure</v>
      </c>
      <c r="T1445" t="str" cm="1">
        <f t="array" ref="T1445">_xlfn.IFS(
Loans[[#This Row],[LoanStatus]]="Default","Critical",
OR(Loans[[#This Row],[LoanStatus]]="Watchlist",Loans[[#This Row],[CollateralRisk]]="Undersecured",Loans[[#This Row],[RiskCategory]]="High Risk"),"High",
TRUE,"Normal"
)</f>
        <v>High</v>
      </c>
    </row>
    <row r="1446" spans="1:20" x14ac:dyDescent="0.35">
      <c r="A1446" t="s">
        <v>2237</v>
      </c>
      <c r="B1446" t="s">
        <v>2238</v>
      </c>
      <c r="C1446" t="s">
        <v>206</v>
      </c>
      <c r="D1446" t="s">
        <v>155</v>
      </c>
      <c r="E1446" s="34">
        <v>1000000</v>
      </c>
      <c r="F1446" s="29">
        <v>0.20910000000000001</v>
      </c>
      <c r="G1446" s="30">
        <v>44868</v>
      </c>
      <c r="H1446">
        <v>72</v>
      </c>
      <c r="I1446">
        <v>5</v>
      </c>
      <c r="J1446" s="34">
        <v>0</v>
      </c>
      <c r="K1446" t="s">
        <v>171</v>
      </c>
      <c r="L1446" s="34">
        <f>PMT(Loans[[#This Row],[InterestRate]]/12,Loans[[#This Row],[LoanTenureMonths]],-Loans[[#This Row],[LoanAmount]])</f>
        <v>24483.224469605368</v>
      </c>
      <c r="M1446" s="30">
        <f>EDATE(Loans[[#This Row],[LoanStartDate]],Loans[[#This Row],[LoanTenureMonths]])</f>
        <v>47060</v>
      </c>
      <c r="N1446" s="33">
        <f>IF(Loans[[#This Row],[LoanAmount]]=0,0,Loans[[#This Row],[CollateralValue]]/Loans[[#This Row],[LoanAmount]])</f>
        <v>0</v>
      </c>
      <c r="O1446" t="str">
        <f>IF(Loans[[#This Row],[CollateralCoverageRatio]]&lt;1,"Undersecured","Secured")</f>
        <v>Undersecured</v>
      </c>
      <c r="P1446" t="str">
        <f>_xlfn.XLOOKUP(Loans[[#This Row],[BranchCode]],BranchesTbl[BranchCode],BranchesTbl[BranchName])</f>
        <v>Nyahururu</v>
      </c>
      <c r="Q1446">
        <f>_xlfn.XLOOKUP(Loans[[#This Row],[CustomerID]],CustomerTbl[CustomerID],CustomerTbl[RiskScore])</f>
        <v>567</v>
      </c>
      <c r="R1446" t="str">
        <f>IFERROR(INDEX(RiskTbl[Risk_Category],MATCH(Loans[[#This Row],[RiskScore]],RiskTbl[Score_Min],1)),"Unknown")</f>
        <v>High Risk</v>
      </c>
      <c r="S1446" t="str">
        <f>IF(OR(Loans[[#This Row],[LoanStatus]]="Default",Loans[[#This Row],[LoanStatus]]="Watchlist",Loans[[#This Row],[CollateralRisk]]="Undersecured",Loans[[#This Row],[RiskCategory]]="High Risk"),"High Risk Exposure","Normal")</f>
        <v>High Risk Exposure</v>
      </c>
      <c r="T1446" t="str" cm="1">
        <f t="array" ref="T1446">_xlfn.IFS(
Loans[[#This Row],[LoanStatus]]="Default","Critical",
OR(Loans[[#This Row],[LoanStatus]]="Watchlist",Loans[[#This Row],[CollateralRisk]]="Undersecured",Loans[[#This Row],[RiskCategory]]="High Risk"),"High",
TRUE,"Normal"
)</f>
        <v>High</v>
      </c>
    </row>
    <row r="1447" spans="1:20" x14ac:dyDescent="0.35">
      <c r="A1447" t="s">
        <v>2239</v>
      </c>
      <c r="B1447" t="s">
        <v>2240</v>
      </c>
      <c r="C1447" t="s">
        <v>193</v>
      </c>
      <c r="D1447" t="s">
        <v>156</v>
      </c>
      <c r="E1447" s="34">
        <v>6000000</v>
      </c>
      <c r="F1447" s="29">
        <v>0.14480000000000001</v>
      </c>
      <c r="G1447" s="30">
        <v>45824</v>
      </c>
      <c r="H1447">
        <v>36</v>
      </c>
      <c r="I1447">
        <v>45</v>
      </c>
      <c r="J1447" s="34">
        <v>9000000</v>
      </c>
      <c r="K1447" t="s">
        <v>199</v>
      </c>
      <c r="L1447" s="34">
        <f>PMT(Loans[[#This Row],[InterestRate]]/12,Loans[[#This Row],[LoanTenureMonths]],-Loans[[#This Row],[LoanAmount]])</f>
        <v>206467.34554765417</v>
      </c>
      <c r="M1447" s="30">
        <f>EDATE(Loans[[#This Row],[LoanStartDate]],Loans[[#This Row],[LoanTenureMonths]])</f>
        <v>46920</v>
      </c>
      <c r="N1447" s="33">
        <f>IF(Loans[[#This Row],[LoanAmount]]=0,0,Loans[[#This Row],[CollateralValue]]/Loans[[#This Row],[LoanAmount]])</f>
        <v>1.5</v>
      </c>
      <c r="O1447" t="str">
        <f>IF(Loans[[#This Row],[CollateralCoverageRatio]]&lt;1,"Undersecured","Secured")</f>
        <v>Secured</v>
      </c>
      <c r="P1447" t="str">
        <f>_xlfn.XLOOKUP(Loans[[#This Row],[BranchCode]],BranchesTbl[BranchCode],BranchesTbl[BranchName])</f>
        <v>Mombasa</v>
      </c>
      <c r="Q1447">
        <f>_xlfn.XLOOKUP(Loans[[#This Row],[CustomerID]],CustomerTbl[CustomerID],CustomerTbl[RiskScore])</f>
        <v>600</v>
      </c>
      <c r="R1447" t="str">
        <f>IFERROR(INDEX(RiskTbl[Risk_Category],MATCH(Loans[[#This Row],[RiskScore]],RiskTbl[Score_Min],1)),"Unknown")</f>
        <v>Medium Risk</v>
      </c>
      <c r="S1447" t="str">
        <f>IF(OR(Loans[[#This Row],[LoanStatus]]="Default",Loans[[#This Row],[LoanStatus]]="Watchlist",Loans[[#This Row],[CollateralRisk]]="Undersecured",Loans[[#This Row],[RiskCategory]]="High Risk"),"High Risk Exposure","Normal")</f>
        <v>High Risk Exposure</v>
      </c>
      <c r="T1447" t="str" cm="1">
        <f t="array" ref="T1447">_xlfn.IFS(
Loans[[#This Row],[LoanStatus]]="Default","Critical",
OR(Loans[[#This Row],[LoanStatus]]="Watchlist",Loans[[#This Row],[CollateralRisk]]="Undersecured",Loans[[#This Row],[RiskCategory]]="High Risk"),"High",
TRUE,"Normal"
)</f>
        <v>High</v>
      </c>
    </row>
    <row r="1448" spans="1:20" x14ac:dyDescent="0.35">
      <c r="A1448" t="s">
        <v>2241</v>
      </c>
      <c r="B1448" t="s">
        <v>958</v>
      </c>
      <c r="C1448" t="s">
        <v>206</v>
      </c>
      <c r="D1448" t="s">
        <v>157</v>
      </c>
      <c r="E1448" s="34">
        <v>6000000</v>
      </c>
      <c r="F1448" s="29">
        <v>0.1062</v>
      </c>
      <c r="G1448" s="30">
        <v>46002</v>
      </c>
      <c r="H1448">
        <v>48</v>
      </c>
      <c r="I1448">
        <v>20</v>
      </c>
      <c r="J1448" s="34">
        <v>8640000</v>
      </c>
      <c r="K1448" t="s">
        <v>171</v>
      </c>
      <c r="L1448" s="34">
        <f>PMT(Loans[[#This Row],[InterestRate]]/12,Loans[[#This Row],[LoanTenureMonths]],-Loans[[#This Row],[LoanAmount]])</f>
        <v>153968.22809445698</v>
      </c>
      <c r="M1448" s="30">
        <f>EDATE(Loans[[#This Row],[LoanStartDate]],Loans[[#This Row],[LoanTenureMonths]])</f>
        <v>47463</v>
      </c>
      <c r="N1448" s="33">
        <f>IF(Loans[[#This Row],[LoanAmount]]=0,0,Loans[[#This Row],[CollateralValue]]/Loans[[#This Row],[LoanAmount]])</f>
        <v>1.44</v>
      </c>
      <c r="O1448" t="str">
        <f>IF(Loans[[#This Row],[CollateralCoverageRatio]]&lt;1,"Undersecured","Secured")</f>
        <v>Secured</v>
      </c>
      <c r="P1448" t="str">
        <f>_xlfn.XLOOKUP(Loans[[#This Row],[BranchCode]],BranchesTbl[BranchCode],BranchesTbl[BranchName])</f>
        <v>Nyahururu</v>
      </c>
      <c r="Q1448">
        <f>_xlfn.XLOOKUP(Loans[[#This Row],[CustomerID]],CustomerTbl[CustomerID],CustomerTbl[RiskScore])</f>
        <v>734</v>
      </c>
      <c r="R1448" t="str">
        <f>IFERROR(INDEX(RiskTbl[Risk_Category],MATCH(Loans[[#This Row],[RiskScore]],RiskTbl[Score_Min],1)),"Unknown")</f>
        <v>Low Risk</v>
      </c>
      <c r="S1448" t="str">
        <f>IF(OR(Loans[[#This Row],[LoanStatus]]="Default",Loans[[#This Row],[LoanStatus]]="Watchlist",Loans[[#This Row],[CollateralRisk]]="Undersecured",Loans[[#This Row],[RiskCategory]]="High Risk"),"High Risk Exposure","Normal")</f>
        <v>Normal</v>
      </c>
      <c r="T1448" t="str" cm="1">
        <f t="array" ref="T1448">_xlfn.IFS(
Loans[[#This Row],[LoanStatus]]="Default","Critical",
OR(Loans[[#This Row],[LoanStatus]]="Watchlist",Loans[[#This Row],[CollateralRisk]]="Undersecured",Loans[[#This Row],[RiskCategory]]="High Risk"),"High",
TRUE,"Normal"
)</f>
        <v>Normal</v>
      </c>
    </row>
    <row r="1449" spans="1:20" x14ac:dyDescent="0.35">
      <c r="A1449" t="s">
        <v>2242</v>
      </c>
      <c r="B1449" t="s">
        <v>1787</v>
      </c>
      <c r="C1449" t="s">
        <v>206</v>
      </c>
      <c r="D1449" t="s">
        <v>155</v>
      </c>
      <c r="E1449" s="34">
        <v>100000</v>
      </c>
      <c r="F1449" s="29">
        <v>0.19900000000000001</v>
      </c>
      <c r="G1449" s="30">
        <v>44929</v>
      </c>
      <c r="H1449">
        <v>48</v>
      </c>
      <c r="I1449">
        <v>45</v>
      </c>
      <c r="J1449" s="34">
        <v>0</v>
      </c>
      <c r="K1449" t="s">
        <v>199</v>
      </c>
      <c r="L1449" s="34">
        <f>PMT(Loans[[#This Row],[InterestRate]]/12,Loans[[#This Row],[LoanTenureMonths]],-Loans[[#This Row],[LoanAmount]])</f>
        <v>3037.7108328120967</v>
      </c>
      <c r="M1449" s="30">
        <f>EDATE(Loans[[#This Row],[LoanStartDate]],Loans[[#This Row],[LoanTenureMonths]])</f>
        <v>46390</v>
      </c>
      <c r="N1449" s="33">
        <f>IF(Loans[[#This Row],[LoanAmount]]=0,0,Loans[[#This Row],[CollateralValue]]/Loans[[#This Row],[LoanAmount]])</f>
        <v>0</v>
      </c>
      <c r="O1449" t="str">
        <f>IF(Loans[[#This Row],[CollateralCoverageRatio]]&lt;1,"Undersecured","Secured")</f>
        <v>Undersecured</v>
      </c>
      <c r="P1449" t="str">
        <f>_xlfn.XLOOKUP(Loans[[#This Row],[BranchCode]],BranchesTbl[BranchCode],BranchesTbl[BranchName])</f>
        <v>Nyahururu</v>
      </c>
      <c r="Q1449">
        <f>_xlfn.XLOOKUP(Loans[[#This Row],[CustomerID]],CustomerTbl[CustomerID],CustomerTbl[RiskScore])</f>
        <v>487</v>
      </c>
      <c r="R1449" t="str">
        <f>IFERROR(INDEX(RiskTbl[Risk_Category],MATCH(Loans[[#This Row],[RiskScore]],RiskTbl[Score_Min],1)),"Unknown")</f>
        <v>High Risk</v>
      </c>
      <c r="S1449" t="str">
        <f>IF(OR(Loans[[#This Row],[LoanStatus]]="Default",Loans[[#This Row],[LoanStatus]]="Watchlist",Loans[[#This Row],[CollateralRisk]]="Undersecured",Loans[[#This Row],[RiskCategory]]="High Risk"),"High Risk Exposure","Normal")</f>
        <v>High Risk Exposure</v>
      </c>
      <c r="T1449" t="str" cm="1">
        <f t="array" ref="T1449">_xlfn.IFS(
Loans[[#This Row],[LoanStatus]]="Default","Critical",
OR(Loans[[#This Row],[LoanStatus]]="Watchlist",Loans[[#This Row],[CollateralRisk]]="Undersecured",Loans[[#This Row],[RiskCategory]]="High Risk"),"High",
TRUE,"Normal"
)</f>
        <v>High</v>
      </c>
    </row>
    <row r="1450" spans="1:20" x14ac:dyDescent="0.35">
      <c r="A1450" t="s">
        <v>2243</v>
      </c>
      <c r="B1450" t="s">
        <v>2244</v>
      </c>
      <c r="C1450" t="s">
        <v>177</v>
      </c>
      <c r="D1450" t="s">
        <v>156</v>
      </c>
      <c r="E1450" s="34">
        <v>3000000</v>
      </c>
      <c r="F1450" s="29">
        <v>0.23280000000000001</v>
      </c>
      <c r="G1450" s="30">
        <v>45466</v>
      </c>
      <c r="H1450">
        <v>12</v>
      </c>
      <c r="I1450">
        <v>0</v>
      </c>
      <c r="J1450" s="34">
        <v>2910000</v>
      </c>
      <c r="K1450" t="s">
        <v>171</v>
      </c>
      <c r="L1450" s="34">
        <f>PMT(Loans[[#This Row],[InterestRate]]/12,Loans[[#This Row],[LoanTenureMonths]],-Loans[[#This Row],[LoanAmount]])</f>
        <v>282634.51225736254</v>
      </c>
      <c r="M1450" s="30">
        <f>EDATE(Loans[[#This Row],[LoanStartDate]],Loans[[#This Row],[LoanTenureMonths]])</f>
        <v>45831</v>
      </c>
      <c r="N1450" s="33">
        <f>IF(Loans[[#This Row],[LoanAmount]]=0,0,Loans[[#This Row],[CollateralValue]]/Loans[[#This Row],[LoanAmount]])</f>
        <v>0.97</v>
      </c>
      <c r="O1450" t="str">
        <f>IF(Loans[[#This Row],[CollateralCoverageRatio]]&lt;1,"Undersecured","Secured")</f>
        <v>Undersecured</v>
      </c>
      <c r="P1450" t="str">
        <f>_xlfn.XLOOKUP(Loans[[#This Row],[BranchCode]],BranchesTbl[BranchCode],BranchesTbl[BranchName])</f>
        <v>Naivasha</v>
      </c>
      <c r="Q1450">
        <f>_xlfn.XLOOKUP(Loans[[#This Row],[CustomerID]],CustomerTbl[CustomerID],CustomerTbl[RiskScore])</f>
        <v>625</v>
      </c>
      <c r="R1450" t="str">
        <f>IFERROR(INDEX(RiskTbl[Risk_Category],MATCH(Loans[[#This Row],[RiskScore]],RiskTbl[Score_Min],1)),"Unknown")</f>
        <v>Medium Risk</v>
      </c>
      <c r="S1450" t="str">
        <f>IF(OR(Loans[[#This Row],[LoanStatus]]="Default",Loans[[#This Row],[LoanStatus]]="Watchlist",Loans[[#This Row],[CollateralRisk]]="Undersecured",Loans[[#This Row],[RiskCategory]]="High Risk"),"High Risk Exposure","Normal")</f>
        <v>High Risk Exposure</v>
      </c>
      <c r="T1450" t="str" cm="1">
        <f t="array" ref="T1450">_xlfn.IFS(
Loans[[#This Row],[LoanStatus]]="Default","Critical",
OR(Loans[[#This Row],[LoanStatus]]="Watchlist",Loans[[#This Row],[CollateralRisk]]="Undersecured",Loans[[#This Row],[RiskCategory]]="High Risk"),"High",
TRUE,"Normal"
)</f>
        <v>High</v>
      </c>
    </row>
    <row r="1451" spans="1:20" x14ac:dyDescent="0.35">
      <c r="A1451" t="s">
        <v>2245</v>
      </c>
      <c r="B1451" t="s">
        <v>2215</v>
      </c>
      <c r="C1451" t="s">
        <v>181</v>
      </c>
      <c r="D1451" t="s">
        <v>158</v>
      </c>
      <c r="E1451" s="34">
        <v>3000000</v>
      </c>
      <c r="F1451" s="29">
        <v>0.18809999999999999</v>
      </c>
      <c r="G1451" s="30">
        <v>45043</v>
      </c>
      <c r="H1451">
        <v>36</v>
      </c>
      <c r="I1451">
        <v>0</v>
      </c>
      <c r="J1451" s="34">
        <v>2280000</v>
      </c>
      <c r="K1451" t="s">
        <v>171</v>
      </c>
      <c r="L1451" s="34">
        <f>PMT(Loans[[#This Row],[InterestRate]]/12,Loans[[#This Row],[LoanTenureMonths]],-Loans[[#This Row],[LoanAmount]])</f>
        <v>109680.08319101953</v>
      </c>
      <c r="M1451" s="30">
        <f>EDATE(Loans[[#This Row],[LoanStartDate]],Loans[[#This Row],[LoanTenureMonths]])</f>
        <v>46139</v>
      </c>
      <c r="N1451" s="33">
        <f>IF(Loans[[#This Row],[LoanAmount]]=0,0,Loans[[#This Row],[CollateralValue]]/Loans[[#This Row],[LoanAmount]])</f>
        <v>0.76</v>
      </c>
      <c r="O1451" t="str">
        <f>IF(Loans[[#This Row],[CollateralCoverageRatio]]&lt;1,"Undersecured","Secured")</f>
        <v>Undersecured</v>
      </c>
      <c r="P1451" t="str">
        <f>_xlfn.XLOOKUP(Loans[[#This Row],[BranchCode]],BranchesTbl[BranchCode],BranchesTbl[BranchName])</f>
        <v>Kitale</v>
      </c>
      <c r="Q1451">
        <f>_xlfn.XLOOKUP(Loans[[#This Row],[CustomerID]],CustomerTbl[CustomerID],CustomerTbl[RiskScore])</f>
        <v>440</v>
      </c>
      <c r="R1451" t="str">
        <f>IFERROR(INDEX(RiskTbl[Risk_Category],MATCH(Loans[[#This Row],[RiskScore]],RiskTbl[Score_Min],1)),"Unknown")</f>
        <v>High Risk</v>
      </c>
      <c r="S1451" t="str">
        <f>IF(OR(Loans[[#This Row],[LoanStatus]]="Default",Loans[[#This Row],[LoanStatus]]="Watchlist",Loans[[#This Row],[CollateralRisk]]="Undersecured",Loans[[#This Row],[RiskCategory]]="High Risk"),"High Risk Exposure","Normal")</f>
        <v>High Risk Exposure</v>
      </c>
      <c r="T1451" t="str" cm="1">
        <f t="array" ref="T1451">_xlfn.IFS(
Loans[[#This Row],[LoanStatus]]="Default","Critical",
OR(Loans[[#This Row],[LoanStatus]]="Watchlist",Loans[[#This Row],[CollateralRisk]]="Undersecured",Loans[[#This Row],[RiskCategory]]="High Risk"),"High",
TRUE,"Normal"
)</f>
        <v>High</v>
      </c>
    </row>
    <row r="1452" spans="1:20" x14ac:dyDescent="0.35">
      <c r="A1452" t="s">
        <v>2246</v>
      </c>
      <c r="B1452" t="s">
        <v>767</v>
      </c>
      <c r="C1452" t="s">
        <v>187</v>
      </c>
      <c r="D1452" t="s">
        <v>155</v>
      </c>
      <c r="E1452" s="34">
        <v>100000</v>
      </c>
      <c r="F1452" s="29">
        <v>0.1762</v>
      </c>
      <c r="G1452" s="30">
        <v>45957</v>
      </c>
      <c r="H1452">
        <v>48</v>
      </c>
      <c r="I1452">
        <v>90</v>
      </c>
      <c r="J1452" s="34">
        <v>0</v>
      </c>
      <c r="K1452" t="s">
        <v>199</v>
      </c>
      <c r="L1452" s="34">
        <f>PMT(Loans[[#This Row],[InterestRate]]/12,Loans[[#This Row],[LoanTenureMonths]],-Loans[[#This Row],[LoanAmount]])</f>
        <v>2917.680593432543</v>
      </c>
      <c r="M1452" s="30">
        <f>EDATE(Loans[[#This Row],[LoanStartDate]],Loans[[#This Row],[LoanTenureMonths]])</f>
        <v>47418</v>
      </c>
      <c r="N1452" s="33">
        <f>IF(Loans[[#This Row],[LoanAmount]]=0,0,Loans[[#This Row],[CollateralValue]]/Loans[[#This Row],[LoanAmount]])</f>
        <v>0</v>
      </c>
      <c r="O1452" t="str">
        <f>IF(Loans[[#This Row],[CollateralCoverageRatio]]&lt;1,"Undersecured","Secured")</f>
        <v>Undersecured</v>
      </c>
      <c r="P1452" t="str">
        <f>_xlfn.XLOOKUP(Loans[[#This Row],[BranchCode]],BranchesTbl[BranchCode],BranchesTbl[BranchName])</f>
        <v>Eldoret</v>
      </c>
      <c r="Q1452">
        <f>_xlfn.XLOOKUP(Loans[[#This Row],[CustomerID]],CustomerTbl[CustomerID],CustomerTbl[RiskScore])</f>
        <v>316</v>
      </c>
      <c r="R1452" t="str">
        <f>IFERROR(INDEX(RiskTbl[Risk_Category],MATCH(Loans[[#This Row],[RiskScore]],RiskTbl[Score_Min],1)),"Unknown")</f>
        <v>High Risk</v>
      </c>
      <c r="S1452" t="str">
        <f>IF(OR(Loans[[#This Row],[LoanStatus]]="Default",Loans[[#This Row],[LoanStatus]]="Watchlist",Loans[[#This Row],[CollateralRisk]]="Undersecured",Loans[[#This Row],[RiskCategory]]="High Risk"),"High Risk Exposure","Normal")</f>
        <v>High Risk Exposure</v>
      </c>
      <c r="T1452" t="str" cm="1">
        <f t="array" ref="T1452">_xlfn.IFS(
Loans[[#This Row],[LoanStatus]]="Default","Critical",
OR(Loans[[#This Row],[LoanStatus]]="Watchlist",Loans[[#This Row],[CollateralRisk]]="Undersecured",Loans[[#This Row],[RiskCategory]]="High Risk"),"High",
TRUE,"Normal"
)</f>
        <v>High</v>
      </c>
    </row>
    <row r="1453" spans="1:20" x14ac:dyDescent="0.35">
      <c r="A1453" t="s">
        <v>2247</v>
      </c>
      <c r="B1453" t="s">
        <v>1015</v>
      </c>
      <c r="C1453" t="s">
        <v>184</v>
      </c>
      <c r="D1453" t="s">
        <v>155</v>
      </c>
      <c r="E1453" s="34">
        <v>250000</v>
      </c>
      <c r="F1453" s="29">
        <v>0.19089999999999999</v>
      </c>
      <c r="G1453" s="30">
        <v>44244</v>
      </c>
      <c r="H1453">
        <v>24</v>
      </c>
      <c r="I1453">
        <v>90</v>
      </c>
      <c r="J1453" s="34">
        <v>0</v>
      </c>
      <c r="K1453" t="s">
        <v>199</v>
      </c>
      <c r="L1453" s="34">
        <f>PMT(Loans[[#This Row],[InterestRate]]/12,Loans[[#This Row],[LoanTenureMonths]],-Loans[[#This Row],[LoanAmount]])</f>
        <v>12613.088664210121</v>
      </c>
      <c r="M1453" s="30">
        <f>EDATE(Loans[[#This Row],[LoanStartDate]],Loans[[#This Row],[LoanTenureMonths]])</f>
        <v>44974</v>
      </c>
      <c r="N1453" s="33">
        <f>IF(Loans[[#This Row],[LoanAmount]]=0,0,Loans[[#This Row],[CollateralValue]]/Loans[[#This Row],[LoanAmount]])</f>
        <v>0</v>
      </c>
      <c r="O1453" t="str">
        <f>IF(Loans[[#This Row],[CollateralCoverageRatio]]&lt;1,"Undersecured","Secured")</f>
        <v>Undersecured</v>
      </c>
      <c r="P1453" t="str">
        <f>_xlfn.XLOOKUP(Loans[[#This Row],[BranchCode]],BranchesTbl[BranchCode],BranchesTbl[BranchName])</f>
        <v>Kisumu</v>
      </c>
      <c r="Q1453">
        <f>_xlfn.XLOOKUP(Loans[[#This Row],[CustomerID]],CustomerTbl[CustomerID],CustomerTbl[RiskScore])</f>
        <v>325</v>
      </c>
      <c r="R1453" t="str">
        <f>IFERROR(INDEX(RiskTbl[Risk_Category],MATCH(Loans[[#This Row],[RiskScore]],RiskTbl[Score_Min],1)),"Unknown")</f>
        <v>High Risk</v>
      </c>
      <c r="S1453" t="str">
        <f>IF(OR(Loans[[#This Row],[LoanStatus]]="Default",Loans[[#This Row],[LoanStatus]]="Watchlist",Loans[[#This Row],[CollateralRisk]]="Undersecured",Loans[[#This Row],[RiskCategory]]="High Risk"),"High Risk Exposure","Normal")</f>
        <v>High Risk Exposure</v>
      </c>
      <c r="T1453" t="str" cm="1">
        <f t="array" ref="T1453">_xlfn.IFS(
Loans[[#This Row],[LoanStatus]]="Default","Critical",
OR(Loans[[#This Row],[LoanStatus]]="Watchlist",Loans[[#This Row],[CollateralRisk]]="Undersecured",Loans[[#This Row],[RiskCategory]]="High Risk"),"High",
TRUE,"Normal"
)</f>
        <v>High</v>
      </c>
    </row>
    <row r="1454" spans="1:20" x14ac:dyDescent="0.35">
      <c r="A1454" t="s">
        <v>2248</v>
      </c>
      <c r="B1454" t="s">
        <v>815</v>
      </c>
      <c r="C1454" t="s">
        <v>187</v>
      </c>
      <c r="D1454" t="s">
        <v>157</v>
      </c>
      <c r="E1454" s="34">
        <v>6000000</v>
      </c>
      <c r="F1454" s="29">
        <v>0.1348</v>
      </c>
      <c r="G1454" s="30">
        <v>45716</v>
      </c>
      <c r="H1454">
        <v>12</v>
      </c>
      <c r="I1454">
        <v>5</v>
      </c>
      <c r="J1454" s="34">
        <v>3720000</v>
      </c>
      <c r="K1454" t="s">
        <v>171</v>
      </c>
      <c r="L1454" s="34">
        <f>PMT(Loans[[#This Row],[InterestRate]]/12,Loans[[#This Row],[LoanTenureMonths]],-Loans[[#This Row],[LoanAmount]])</f>
        <v>537255.78516533389</v>
      </c>
      <c r="M1454" s="30">
        <f>EDATE(Loans[[#This Row],[LoanStartDate]],Loans[[#This Row],[LoanTenureMonths]])</f>
        <v>46081</v>
      </c>
      <c r="N1454" s="33">
        <f>IF(Loans[[#This Row],[LoanAmount]]=0,0,Loans[[#This Row],[CollateralValue]]/Loans[[#This Row],[LoanAmount]])</f>
        <v>0.62</v>
      </c>
      <c r="O1454" t="str">
        <f>IF(Loans[[#This Row],[CollateralCoverageRatio]]&lt;1,"Undersecured","Secured")</f>
        <v>Undersecured</v>
      </c>
      <c r="P1454" t="str">
        <f>_xlfn.XLOOKUP(Loans[[#This Row],[BranchCode]],BranchesTbl[BranchCode],BranchesTbl[BranchName])</f>
        <v>Eldoret</v>
      </c>
      <c r="Q1454">
        <f>_xlfn.XLOOKUP(Loans[[#This Row],[CustomerID]],CustomerTbl[CustomerID],CustomerTbl[RiskScore])</f>
        <v>521</v>
      </c>
      <c r="R1454" t="str">
        <f>IFERROR(INDEX(RiskTbl[Risk_Category],MATCH(Loans[[#This Row],[RiskScore]],RiskTbl[Score_Min],1)),"Unknown")</f>
        <v>High Risk</v>
      </c>
      <c r="S1454" t="str">
        <f>IF(OR(Loans[[#This Row],[LoanStatus]]="Default",Loans[[#This Row],[LoanStatus]]="Watchlist",Loans[[#This Row],[CollateralRisk]]="Undersecured",Loans[[#This Row],[RiskCategory]]="High Risk"),"High Risk Exposure","Normal")</f>
        <v>High Risk Exposure</v>
      </c>
      <c r="T1454" t="str" cm="1">
        <f t="array" ref="T1454">_xlfn.IFS(
Loans[[#This Row],[LoanStatus]]="Default","Critical",
OR(Loans[[#This Row],[LoanStatus]]="Watchlist",Loans[[#This Row],[CollateralRisk]]="Undersecured",Loans[[#This Row],[RiskCategory]]="High Risk"),"High",
TRUE,"Normal"
)</f>
        <v>High</v>
      </c>
    </row>
    <row r="1455" spans="1:20" x14ac:dyDescent="0.35">
      <c r="A1455" t="s">
        <v>2249</v>
      </c>
      <c r="B1455" t="s">
        <v>1039</v>
      </c>
      <c r="C1455" t="s">
        <v>232</v>
      </c>
      <c r="D1455" t="s">
        <v>156</v>
      </c>
      <c r="E1455" s="34">
        <v>25000000</v>
      </c>
      <c r="F1455" s="29">
        <v>0.22539999999999999</v>
      </c>
      <c r="G1455" s="30">
        <v>44341</v>
      </c>
      <c r="H1455">
        <v>36</v>
      </c>
      <c r="I1455">
        <v>0</v>
      </c>
      <c r="J1455" s="34">
        <v>27250000</v>
      </c>
      <c r="K1455" t="s">
        <v>171</v>
      </c>
      <c r="L1455" s="34">
        <f>PMT(Loans[[#This Row],[InterestRate]]/12,Loans[[#This Row],[LoanTenureMonths]],-Loans[[#This Row],[LoanAmount]])</f>
        <v>961759.42864205362</v>
      </c>
      <c r="M1455" s="30">
        <f>EDATE(Loans[[#This Row],[LoanStartDate]],Loans[[#This Row],[LoanTenureMonths]])</f>
        <v>45437</v>
      </c>
      <c r="N1455" s="33">
        <f>IF(Loans[[#This Row],[LoanAmount]]=0,0,Loans[[#This Row],[CollateralValue]]/Loans[[#This Row],[LoanAmount]])</f>
        <v>1.0900000000000001</v>
      </c>
      <c r="O1455" t="str">
        <f>IF(Loans[[#This Row],[CollateralCoverageRatio]]&lt;1,"Undersecured","Secured")</f>
        <v>Secured</v>
      </c>
      <c r="P1455" t="str">
        <f>_xlfn.XLOOKUP(Loans[[#This Row],[BranchCode]],BranchesTbl[BranchCode],BranchesTbl[BranchName])</f>
        <v>Upper Hill</v>
      </c>
      <c r="Q1455">
        <f>_xlfn.XLOOKUP(Loans[[#This Row],[CustomerID]],CustomerTbl[CustomerID],CustomerTbl[RiskScore])</f>
        <v>698</v>
      </c>
      <c r="R1455" t="str">
        <f>IFERROR(INDEX(RiskTbl[Risk_Category],MATCH(Loans[[#This Row],[RiskScore]],RiskTbl[Score_Min],1)),"Unknown")</f>
        <v>Low Risk</v>
      </c>
      <c r="S1455" t="str">
        <f>IF(OR(Loans[[#This Row],[LoanStatus]]="Default",Loans[[#This Row],[LoanStatus]]="Watchlist",Loans[[#This Row],[CollateralRisk]]="Undersecured",Loans[[#This Row],[RiskCategory]]="High Risk"),"High Risk Exposure","Normal")</f>
        <v>Normal</v>
      </c>
      <c r="T1455" t="str" cm="1">
        <f t="array" ref="T1455">_xlfn.IFS(
Loans[[#This Row],[LoanStatus]]="Default","Critical",
OR(Loans[[#This Row],[LoanStatus]]="Watchlist",Loans[[#This Row],[CollateralRisk]]="Undersecured",Loans[[#This Row],[RiskCategory]]="High Risk"),"High",
TRUE,"Normal"
)</f>
        <v>Normal</v>
      </c>
    </row>
    <row r="1456" spans="1:20" x14ac:dyDescent="0.35">
      <c r="A1456" t="s">
        <v>2250</v>
      </c>
      <c r="B1456" t="s">
        <v>824</v>
      </c>
      <c r="C1456" t="s">
        <v>219</v>
      </c>
      <c r="D1456" t="s">
        <v>156</v>
      </c>
      <c r="E1456" s="34">
        <v>3000000</v>
      </c>
      <c r="F1456" s="29">
        <v>0.221</v>
      </c>
      <c r="G1456" s="30">
        <v>44068</v>
      </c>
      <c r="H1456">
        <v>12</v>
      </c>
      <c r="I1456">
        <v>0</v>
      </c>
      <c r="J1456" s="34">
        <v>2310000</v>
      </c>
      <c r="K1456" t="s">
        <v>171</v>
      </c>
      <c r="L1456" s="34">
        <f>PMT(Loans[[#This Row],[InterestRate]]/12,Loans[[#This Row],[LoanTenureMonths]],-Loans[[#This Row],[LoanAmount]])</f>
        <v>280927.54120885005</v>
      </c>
      <c r="M1456" s="30">
        <f>EDATE(Loans[[#This Row],[LoanStartDate]],Loans[[#This Row],[LoanTenureMonths]])</f>
        <v>44433</v>
      </c>
      <c r="N1456" s="33">
        <f>IF(Loans[[#This Row],[LoanAmount]]=0,0,Loans[[#This Row],[CollateralValue]]/Loans[[#This Row],[LoanAmount]])</f>
        <v>0.77</v>
      </c>
      <c r="O1456" t="str">
        <f>IF(Loans[[#This Row],[CollateralCoverageRatio]]&lt;1,"Undersecured","Secured")</f>
        <v>Undersecured</v>
      </c>
      <c r="P1456" t="str">
        <f>_xlfn.XLOOKUP(Loans[[#This Row],[BranchCode]],BranchesTbl[BranchCode],BranchesTbl[BranchName])</f>
        <v>Meru</v>
      </c>
      <c r="Q1456">
        <f>_xlfn.XLOOKUP(Loans[[#This Row],[CustomerID]],CustomerTbl[CustomerID],CustomerTbl[RiskScore])</f>
        <v>835</v>
      </c>
      <c r="R1456" t="str">
        <f>IFERROR(INDEX(RiskTbl[Risk_Category],MATCH(Loans[[#This Row],[RiskScore]],RiskTbl[Score_Min],1)),"Unknown")</f>
        <v>Prime</v>
      </c>
      <c r="S1456" t="str">
        <f>IF(OR(Loans[[#This Row],[LoanStatus]]="Default",Loans[[#This Row],[LoanStatus]]="Watchlist",Loans[[#This Row],[CollateralRisk]]="Undersecured",Loans[[#This Row],[RiskCategory]]="High Risk"),"High Risk Exposure","Normal")</f>
        <v>High Risk Exposure</v>
      </c>
      <c r="T1456" t="str" cm="1">
        <f t="array" ref="T1456">_xlfn.IFS(
Loans[[#This Row],[LoanStatus]]="Default","Critical",
OR(Loans[[#This Row],[LoanStatus]]="Watchlist",Loans[[#This Row],[CollateralRisk]]="Undersecured",Loans[[#This Row],[RiskCategory]]="High Risk"),"High",
TRUE,"Normal"
)</f>
        <v>High</v>
      </c>
    </row>
    <row r="1457" spans="1:20" x14ac:dyDescent="0.35">
      <c r="A1457" t="s">
        <v>2251</v>
      </c>
      <c r="B1457" t="s">
        <v>1548</v>
      </c>
      <c r="C1457" t="s">
        <v>219</v>
      </c>
      <c r="D1457" t="s">
        <v>157</v>
      </c>
      <c r="E1457" s="34">
        <v>80000000</v>
      </c>
      <c r="F1457" s="29">
        <v>0.1201</v>
      </c>
      <c r="G1457" s="30">
        <v>44962</v>
      </c>
      <c r="H1457">
        <v>48</v>
      </c>
      <c r="I1457">
        <v>5</v>
      </c>
      <c r="J1457" s="34">
        <v>72800000</v>
      </c>
      <c r="K1457" t="s">
        <v>171</v>
      </c>
      <c r="L1457" s="34">
        <f>PMT(Loans[[#This Row],[InterestRate]]/12,Loans[[#This Row],[LoanTenureMonths]],-Loans[[#This Row],[LoanAmount]])</f>
        <v>2107099.6488256487</v>
      </c>
      <c r="M1457" s="30">
        <f>EDATE(Loans[[#This Row],[LoanStartDate]],Loans[[#This Row],[LoanTenureMonths]])</f>
        <v>46423</v>
      </c>
      <c r="N1457" s="33">
        <f>IF(Loans[[#This Row],[LoanAmount]]=0,0,Loans[[#This Row],[CollateralValue]]/Loans[[#This Row],[LoanAmount]])</f>
        <v>0.91</v>
      </c>
      <c r="O1457" t="str">
        <f>IF(Loans[[#This Row],[CollateralCoverageRatio]]&lt;1,"Undersecured","Secured")</f>
        <v>Undersecured</v>
      </c>
      <c r="P1457" t="str">
        <f>_xlfn.XLOOKUP(Loans[[#This Row],[BranchCode]],BranchesTbl[BranchCode],BranchesTbl[BranchName])</f>
        <v>Meru</v>
      </c>
      <c r="Q1457">
        <f>_xlfn.XLOOKUP(Loans[[#This Row],[CustomerID]],CustomerTbl[CustomerID],CustomerTbl[RiskScore])</f>
        <v>701</v>
      </c>
      <c r="R1457" t="str">
        <f>IFERROR(INDEX(RiskTbl[Risk_Category],MATCH(Loans[[#This Row],[RiskScore]],RiskTbl[Score_Min],1)),"Unknown")</f>
        <v>Low Risk</v>
      </c>
      <c r="S1457" t="str">
        <f>IF(OR(Loans[[#This Row],[LoanStatus]]="Default",Loans[[#This Row],[LoanStatus]]="Watchlist",Loans[[#This Row],[CollateralRisk]]="Undersecured",Loans[[#This Row],[RiskCategory]]="High Risk"),"High Risk Exposure","Normal")</f>
        <v>High Risk Exposure</v>
      </c>
      <c r="T1457" t="str" cm="1">
        <f t="array" ref="T1457">_xlfn.IFS(
Loans[[#This Row],[LoanStatus]]="Default","Critical",
OR(Loans[[#This Row],[LoanStatus]]="Watchlist",Loans[[#This Row],[CollateralRisk]]="Undersecured",Loans[[#This Row],[RiskCategory]]="High Risk"),"High",
TRUE,"Normal"
)</f>
        <v>High</v>
      </c>
    </row>
    <row r="1458" spans="1:20" x14ac:dyDescent="0.35">
      <c r="A1458" t="s">
        <v>2252</v>
      </c>
      <c r="B1458" t="s">
        <v>528</v>
      </c>
      <c r="C1458" t="s">
        <v>196</v>
      </c>
      <c r="D1458" t="s">
        <v>158</v>
      </c>
      <c r="E1458" s="34">
        <v>1000000</v>
      </c>
      <c r="F1458" s="29">
        <v>0.1363</v>
      </c>
      <c r="G1458" s="30">
        <v>44306</v>
      </c>
      <c r="H1458">
        <v>24</v>
      </c>
      <c r="I1458">
        <v>5</v>
      </c>
      <c r="J1458" s="34">
        <v>670000</v>
      </c>
      <c r="K1458" t="s">
        <v>171</v>
      </c>
      <c r="L1458" s="34">
        <f>PMT(Loans[[#This Row],[InterestRate]]/12,Loans[[#This Row],[LoanTenureMonths]],-Loans[[#This Row],[LoanAmount]])</f>
        <v>47838.275319115732</v>
      </c>
      <c r="M1458" s="30">
        <f>EDATE(Loans[[#This Row],[LoanStartDate]],Loans[[#This Row],[LoanTenureMonths]])</f>
        <v>45036</v>
      </c>
      <c r="N1458" s="33">
        <f>IF(Loans[[#This Row],[LoanAmount]]=0,0,Loans[[#This Row],[CollateralValue]]/Loans[[#This Row],[LoanAmount]])</f>
        <v>0.67</v>
      </c>
      <c r="O1458" t="str">
        <f>IF(Loans[[#This Row],[CollateralCoverageRatio]]&lt;1,"Undersecured","Secured")</f>
        <v>Undersecured</v>
      </c>
      <c r="P1458" t="str">
        <f>_xlfn.XLOOKUP(Loans[[#This Row],[BranchCode]],BranchesTbl[BranchCode],BranchesTbl[BranchName])</f>
        <v>Karen</v>
      </c>
      <c r="Q1458">
        <f>_xlfn.XLOOKUP(Loans[[#This Row],[CustomerID]],CustomerTbl[CustomerID],CustomerTbl[RiskScore])</f>
        <v>737</v>
      </c>
      <c r="R1458" t="str">
        <f>IFERROR(INDEX(RiskTbl[Risk_Category],MATCH(Loans[[#This Row],[RiskScore]],RiskTbl[Score_Min],1)),"Unknown")</f>
        <v>Low Risk</v>
      </c>
      <c r="S1458" t="str">
        <f>IF(OR(Loans[[#This Row],[LoanStatus]]="Default",Loans[[#This Row],[LoanStatus]]="Watchlist",Loans[[#This Row],[CollateralRisk]]="Undersecured",Loans[[#This Row],[RiskCategory]]="High Risk"),"High Risk Exposure","Normal")</f>
        <v>High Risk Exposure</v>
      </c>
      <c r="T1458" t="str" cm="1">
        <f t="array" ref="T1458">_xlfn.IFS(
Loans[[#This Row],[LoanStatus]]="Default","Critical",
OR(Loans[[#This Row],[LoanStatus]]="Watchlist",Loans[[#This Row],[CollateralRisk]]="Undersecured",Loans[[#This Row],[RiskCategory]]="High Risk"),"High",
TRUE,"Normal"
)</f>
        <v>High</v>
      </c>
    </row>
    <row r="1459" spans="1:20" x14ac:dyDescent="0.35">
      <c r="A1459" t="s">
        <v>2253</v>
      </c>
      <c r="B1459" t="s">
        <v>249</v>
      </c>
      <c r="C1459" t="s">
        <v>206</v>
      </c>
      <c r="D1459" t="s">
        <v>158</v>
      </c>
      <c r="E1459" s="34">
        <v>3000000</v>
      </c>
      <c r="F1459" s="29">
        <v>0.19839999999999999</v>
      </c>
      <c r="G1459" s="30">
        <v>45348</v>
      </c>
      <c r="H1459">
        <v>12</v>
      </c>
      <c r="I1459">
        <v>120</v>
      </c>
      <c r="J1459" s="34">
        <v>3900000</v>
      </c>
      <c r="K1459" t="s">
        <v>178</v>
      </c>
      <c r="L1459" s="34">
        <f>PMT(Loans[[#This Row],[InterestRate]]/12,Loans[[#This Row],[LoanTenureMonths]],-Loans[[#This Row],[LoanAmount]])</f>
        <v>277673.84205667651</v>
      </c>
      <c r="M1459" s="30">
        <f>EDATE(Loans[[#This Row],[LoanStartDate]],Loans[[#This Row],[LoanTenureMonths]])</f>
        <v>45714</v>
      </c>
      <c r="N1459" s="33">
        <f>IF(Loans[[#This Row],[LoanAmount]]=0,0,Loans[[#This Row],[CollateralValue]]/Loans[[#This Row],[LoanAmount]])</f>
        <v>1.3</v>
      </c>
      <c r="O1459" t="str">
        <f>IF(Loans[[#This Row],[CollateralCoverageRatio]]&lt;1,"Undersecured","Secured")</f>
        <v>Secured</v>
      </c>
      <c r="P1459" t="str">
        <f>_xlfn.XLOOKUP(Loans[[#This Row],[BranchCode]],BranchesTbl[BranchCode],BranchesTbl[BranchName])</f>
        <v>Nyahururu</v>
      </c>
      <c r="Q1459">
        <f>_xlfn.XLOOKUP(Loans[[#This Row],[CustomerID]],CustomerTbl[CustomerID],CustomerTbl[RiskScore])</f>
        <v>639</v>
      </c>
      <c r="R1459" t="str">
        <f>IFERROR(INDEX(RiskTbl[Risk_Category],MATCH(Loans[[#This Row],[RiskScore]],RiskTbl[Score_Min],1)),"Unknown")</f>
        <v>Medium Risk</v>
      </c>
      <c r="S1459" t="str">
        <f>IF(OR(Loans[[#This Row],[LoanStatus]]="Default",Loans[[#This Row],[LoanStatus]]="Watchlist",Loans[[#This Row],[CollateralRisk]]="Undersecured",Loans[[#This Row],[RiskCategory]]="High Risk"),"High Risk Exposure","Normal")</f>
        <v>High Risk Exposure</v>
      </c>
      <c r="T1459" t="str" cm="1">
        <f t="array" ref="T1459">_xlfn.IFS(
Loans[[#This Row],[LoanStatus]]="Default","Critical",
OR(Loans[[#This Row],[LoanStatus]]="Watchlist",Loans[[#This Row],[CollateralRisk]]="Undersecured",Loans[[#This Row],[RiskCategory]]="High Risk"),"High",
TRUE,"Normal"
)</f>
        <v>Critical</v>
      </c>
    </row>
    <row r="1460" spans="1:20" x14ac:dyDescent="0.35">
      <c r="A1460" t="s">
        <v>2254</v>
      </c>
      <c r="B1460" t="s">
        <v>1281</v>
      </c>
      <c r="C1460" t="s">
        <v>181</v>
      </c>
      <c r="D1460" t="s">
        <v>157</v>
      </c>
      <c r="E1460" s="34">
        <v>80000000</v>
      </c>
      <c r="F1460" s="29">
        <v>9.4500000000000001E-2</v>
      </c>
      <c r="G1460" s="30">
        <v>44977</v>
      </c>
      <c r="H1460">
        <v>12</v>
      </c>
      <c r="I1460">
        <v>90</v>
      </c>
      <c r="J1460" s="34">
        <v>41600000</v>
      </c>
      <c r="K1460" t="s">
        <v>199</v>
      </c>
      <c r="L1460" s="34">
        <f>PMT(Loans[[#This Row],[InterestRate]]/12,Loans[[#This Row],[LoanTenureMonths]],-Loans[[#This Row],[LoanAmount]])</f>
        <v>7012823.4359395225</v>
      </c>
      <c r="M1460" s="30">
        <f>EDATE(Loans[[#This Row],[LoanStartDate]],Loans[[#This Row],[LoanTenureMonths]])</f>
        <v>45342</v>
      </c>
      <c r="N1460" s="33">
        <f>IF(Loans[[#This Row],[LoanAmount]]=0,0,Loans[[#This Row],[CollateralValue]]/Loans[[#This Row],[LoanAmount]])</f>
        <v>0.52</v>
      </c>
      <c r="O1460" t="str">
        <f>IF(Loans[[#This Row],[CollateralCoverageRatio]]&lt;1,"Undersecured","Secured")</f>
        <v>Undersecured</v>
      </c>
      <c r="P1460" t="str">
        <f>_xlfn.XLOOKUP(Loans[[#This Row],[BranchCode]],BranchesTbl[BranchCode],BranchesTbl[BranchName])</f>
        <v>Kitale</v>
      </c>
      <c r="Q1460">
        <f>_xlfn.XLOOKUP(Loans[[#This Row],[CustomerID]],CustomerTbl[CustomerID],CustomerTbl[RiskScore])</f>
        <v>322</v>
      </c>
      <c r="R1460" t="str">
        <f>IFERROR(INDEX(RiskTbl[Risk_Category],MATCH(Loans[[#This Row],[RiskScore]],RiskTbl[Score_Min],1)),"Unknown")</f>
        <v>High Risk</v>
      </c>
      <c r="S1460" t="str">
        <f>IF(OR(Loans[[#This Row],[LoanStatus]]="Default",Loans[[#This Row],[LoanStatus]]="Watchlist",Loans[[#This Row],[CollateralRisk]]="Undersecured",Loans[[#This Row],[RiskCategory]]="High Risk"),"High Risk Exposure","Normal")</f>
        <v>High Risk Exposure</v>
      </c>
      <c r="T1460" t="str" cm="1">
        <f t="array" ref="T1460">_xlfn.IFS(
Loans[[#This Row],[LoanStatus]]="Default","Critical",
OR(Loans[[#This Row],[LoanStatus]]="Watchlist",Loans[[#This Row],[CollateralRisk]]="Undersecured",Loans[[#This Row],[RiskCategory]]="High Risk"),"High",
TRUE,"Normal"
)</f>
        <v>High</v>
      </c>
    </row>
    <row r="1461" spans="1:20" x14ac:dyDescent="0.35">
      <c r="A1461" t="s">
        <v>2255</v>
      </c>
      <c r="B1461" t="s">
        <v>294</v>
      </c>
      <c r="C1461" t="s">
        <v>267</v>
      </c>
      <c r="D1461" t="s">
        <v>156</v>
      </c>
      <c r="E1461" s="34">
        <v>1000000</v>
      </c>
      <c r="F1461" s="29">
        <v>0.188</v>
      </c>
      <c r="G1461" s="30">
        <v>45485</v>
      </c>
      <c r="H1461">
        <v>36</v>
      </c>
      <c r="I1461">
        <v>0</v>
      </c>
      <c r="J1461" s="34">
        <v>1250000</v>
      </c>
      <c r="K1461" t="s">
        <v>171</v>
      </c>
      <c r="L1461" s="34">
        <f>PMT(Loans[[#This Row],[InterestRate]]/12,Loans[[#This Row],[LoanTenureMonths]],-Loans[[#This Row],[LoanAmount]])</f>
        <v>36554.97944560129</v>
      </c>
      <c r="M1461" s="30">
        <f>EDATE(Loans[[#This Row],[LoanStartDate]],Loans[[#This Row],[LoanTenureMonths]])</f>
        <v>46580</v>
      </c>
      <c r="N1461" s="33">
        <f>IF(Loans[[#This Row],[LoanAmount]]=0,0,Loans[[#This Row],[CollateralValue]]/Loans[[#This Row],[LoanAmount]])</f>
        <v>1.25</v>
      </c>
      <c r="O1461" t="str">
        <f>IF(Loans[[#This Row],[CollateralCoverageRatio]]&lt;1,"Undersecured","Secured")</f>
        <v>Secured</v>
      </c>
      <c r="P1461" t="str">
        <f>_xlfn.XLOOKUP(Loans[[#This Row],[BranchCode]],BranchesTbl[BranchCode],BranchesTbl[BranchName])</f>
        <v>Malindi</v>
      </c>
      <c r="Q1461">
        <f>_xlfn.XLOOKUP(Loans[[#This Row],[CustomerID]],CustomerTbl[CustomerID],CustomerTbl[RiskScore])</f>
        <v>511</v>
      </c>
      <c r="R1461" t="str">
        <f>IFERROR(INDEX(RiskTbl[Risk_Category],MATCH(Loans[[#This Row],[RiskScore]],RiskTbl[Score_Min],1)),"Unknown")</f>
        <v>High Risk</v>
      </c>
      <c r="S1461" t="str">
        <f>IF(OR(Loans[[#This Row],[LoanStatus]]="Default",Loans[[#This Row],[LoanStatus]]="Watchlist",Loans[[#This Row],[CollateralRisk]]="Undersecured",Loans[[#This Row],[RiskCategory]]="High Risk"),"High Risk Exposure","Normal")</f>
        <v>High Risk Exposure</v>
      </c>
      <c r="T1461" t="str" cm="1">
        <f t="array" ref="T1461">_xlfn.IFS(
Loans[[#This Row],[LoanStatus]]="Default","Critical",
OR(Loans[[#This Row],[LoanStatus]]="Watchlist",Loans[[#This Row],[CollateralRisk]]="Undersecured",Loans[[#This Row],[RiskCategory]]="High Risk"),"High",
TRUE,"Normal"
)</f>
        <v>High</v>
      </c>
    </row>
    <row r="1462" spans="1:20" x14ac:dyDescent="0.35">
      <c r="A1462" t="s">
        <v>2256</v>
      </c>
      <c r="B1462" t="s">
        <v>1775</v>
      </c>
      <c r="C1462" t="s">
        <v>187</v>
      </c>
      <c r="D1462" t="s">
        <v>156</v>
      </c>
      <c r="E1462" s="34">
        <v>3000000</v>
      </c>
      <c r="F1462" s="29">
        <v>0.19059999999999999</v>
      </c>
      <c r="G1462" s="30">
        <v>44428</v>
      </c>
      <c r="H1462">
        <v>72</v>
      </c>
      <c r="I1462">
        <v>0</v>
      </c>
      <c r="J1462" s="34">
        <v>2910000</v>
      </c>
      <c r="K1462" t="s">
        <v>171</v>
      </c>
      <c r="L1462" s="34">
        <f>PMT(Loans[[#This Row],[InterestRate]]/12,Loans[[#This Row],[LoanTenureMonths]],-Loans[[#This Row],[LoanAmount]])</f>
        <v>70233.263866422451</v>
      </c>
      <c r="M1462" s="30">
        <f>EDATE(Loans[[#This Row],[LoanStartDate]],Loans[[#This Row],[LoanTenureMonths]])</f>
        <v>46619</v>
      </c>
      <c r="N1462" s="33">
        <f>IF(Loans[[#This Row],[LoanAmount]]=0,0,Loans[[#This Row],[CollateralValue]]/Loans[[#This Row],[LoanAmount]])</f>
        <v>0.97</v>
      </c>
      <c r="O1462" t="str">
        <f>IF(Loans[[#This Row],[CollateralCoverageRatio]]&lt;1,"Undersecured","Secured")</f>
        <v>Undersecured</v>
      </c>
      <c r="P1462" t="str">
        <f>_xlfn.XLOOKUP(Loans[[#This Row],[BranchCode]],BranchesTbl[BranchCode],BranchesTbl[BranchName])</f>
        <v>Eldoret</v>
      </c>
      <c r="Q1462">
        <f>_xlfn.XLOOKUP(Loans[[#This Row],[CustomerID]],CustomerTbl[CustomerID],CustomerTbl[RiskScore])</f>
        <v>368</v>
      </c>
      <c r="R1462" t="str">
        <f>IFERROR(INDEX(RiskTbl[Risk_Category],MATCH(Loans[[#This Row],[RiskScore]],RiskTbl[Score_Min],1)),"Unknown")</f>
        <v>High Risk</v>
      </c>
      <c r="S1462" t="str">
        <f>IF(OR(Loans[[#This Row],[LoanStatus]]="Default",Loans[[#This Row],[LoanStatus]]="Watchlist",Loans[[#This Row],[CollateralRisk]]="Undersecured",Loans[[#This Row],[RiskCategory]]="High Risk"),"High Risk Exposure","Normal")</f>
        <v>High Risk Exposure</v>
      </c>
      <c r="T1462" t="str" cm="1">
        <f t="array" ref="T1462">_xlfn.IFS(
Loans[[#This Row],[LoanStatus]]="Default","Critical",
OR(Loans[[#This Row],[LoanStatus]]="Watchlist",Loans[[#This Row],[CollateralRisk]]="Undersecured",Loans[[#This Row],[RiskCategory]]="High Risk"),"High",
TRUE,"Normal"
)</f>
        <v>High</v>
      </c>
    </row>
    <row r="1463" spans="1:20" x14ac:dyDescent="0.35">
      <c r="A1463" t="s">
        <v>2257</v>
      </c>
      <c r="B1463" t="s">
        <v>2014</v>
      </c>
      <c r="C1463" t="s">
        <v>190</v>
      </c>
      <c r="D1463" t="s">
        <v>155</v>
      </c>
      <c r="E1463" s="34">
        <v>250000</v>
      </c>
      <c r="F1463" s="29">
        <v>0.27239999999999998</v>
      </c>
      <c r="G1463" s="30">
        <v>45293</v>
      </c>
      <c r="H1463">
        <v>24</v>
      </c>
      <c r="I1463">
        <v>0</v>
      </c>
      <c r="J1463" s="34">
        <v>0</v>
      </c>
      <c r="K1463" t="s">
        <v>171</v>
      </c>
      <c r="L1463" s="34">
        <f>PMT(Loans[[#This Row],[InterestRate]]/12,Loans[[#This Row],[LoanTenureMonths]],-Loans[[#This Row],[LoanAmount]])</f>
        <v>13625.493995348867</v>
      </c>
      <c r="M1463" s="30">
        <f>EDATE(Loans[[#This Row],[LoanStartDate]],Loans[[#This Row],[LoanTenureMonths]])</f>
        <v>46024</v>
      </c>
      <c r="N1463" s="33">
        <f>IF(Loans[[#This Row],[LoanAmount]]=0,0,Loans[[#This Row],[CollateralValue]]/Loans[[#This Row],[LoanAmount]])</f>
        <v>0</v>
      </c>
      <c r="O1463" t="str">
        <f>IF(Loans[[#This Row],[CollateralCoverageRatio]]&lt;1,"Undersecured","Secured")</f>
        <v>Undersecured</v>
      </c>
      <c r="P1463" t="str">
        <f>_xlfn.XLOOKUP(Loans[[#This Row],[BranchCode]],BranchesTbl[BranchCode],BranchesTbl[BranchName])</f>
        <v>Nyeri</v>
      </c>
      <c r="Q1463">
        <f>_xlfn.XLOOKUP(Loans[[#This Row],[CustomerID]],CustomerTbl[CustomerID],CustomerTbl[RiskScore])</f>
        <v>451</v>
      </c>
      <c r="R1463" t="str">
        <f>IFERROR(INDEX(RiskTbl[Risk_Category],MATCH(Loans[[#This Row],[RiskScore]],RiskTbl[Score_Min],1)),"Unknown")</f>
        <v>High Risk</v>
      </c>
      <c r="S1463" t="str">
        <f>IF(OR(Loans[[#This Row],[LoanStatus]]="Default",Loans[[#This Row],[LoanStatus]]="Watchlist",Loans[[#This Row],[CollateralRisk]]="Undersecured",Loans[[#This Row],[RiskCategory]]="High Risk"),"High Risk Exposure","Normal")</f>
        <v>High Risk Exposure</v>
      </c>
      <c r="T1463" t="str" cm="1">
        <f t="array" ref="T1463">_xlfn.IFS(
Loans[[#This Row],[LoanStatus]]="Default","Critical",
OR(Loans[[#This Row],[LoanStatus]]="Watchlist",Loans[[#This Row],[CollateralRisk]]="Undersecured",Loans[[#This Row],[RiskCategory]]="High Risk"),"High",
TRUE,"Normal"
)</f>
        <v>High</v>
      </c>
    </row>
    <row r="1464" spans="1:20" x14ac:dyDescent="0.35">
      <c r="A1464" t="s">
        <v>2258</v>
      </c>
      <c r="B1464" t="s">
        <v>645</v>
      </c>
      <c r="C1464" t="s">
        <v>267</v>
      </c>
      <c r="D1464" t="s">
        <v>158</v>
      </c>
      <c r="E1464" s="34">
        <v>3000000</v>
      </c>
      <c r="F1464" s="29">
        <v>0.14099999999999999</v>
      </c>
      <c r="G1464" s="30">
        <v>44214</v>
      </c>
      <c r="H1464">
        <v>72</v>
      </c>
      <c r="I1464">
        <v>0</v>
      </c>
      <c r="J1464" s="34">
        <v>3300000</v>
      </c>
      <c r="K1464" t="s">
        <v>171</v>
      </c>
      <c r="L1464" s="34">
        <f>PMT(Loans[[#This Row],[InterestRate]]/12,Loans[[#This Row],[LoanTenureMonths]],-Loans[[#This Row],[LoanAmount]])</f>
        <v>61977.973429199679</v>
      </c>
      <c r="M1464" s="30">
        <f>EDATE(Loans[[#This Row],[LoanStartDate]],Loans[[#This Row],[LoanTenureMonths]])</f>
        <v>46405</v>
      </c>
      <c r="N1464" s="33">
        <f>IF(Loans[[#This Row],[LoanAmount]]=0,0,Loans[[#This Row],[CollateralValue]]/Loans[[#This Row],[LoanAmount]])</f>
        <v>1.1000000000000001</v>
      </c>
      <c r="O1464" t="str">
        <f>IF(Loans[[#This Row],[CollateralCoverageRatio]]&lt;1,"Undersecured","Secured")</f>
        <v>Secured</v>
      </c>
      <c r="P1464" t="str">
        <f>_xlfn.XLOOKUP(Loans[[#This Row],[BranchCode]],BranchesTbl[BranchCode],BranchesTbl[BranchName])</f>
        <v>Malindi</v>
      </c>
      <c r="Q1464">
        <f>_xlfn.XLOOKUP(Loans[[#This Row],[CustomerID]],CustomerTbl[CustomerID],CustomerTbl[RiskScore])</f>
        <v>723</v>
      </c>
      <c r="R1464" t="str">
        <f>IFERROR(INDEX(RiskTbl[Risk_Category],MATCH(Loans[[#This Row],[RiskScore]],RiskTbl[Score_Min],1)),"Unknown")</f>
        <v>Low Risk</v>
      </c>
      <c r="S1464" t="str">
        <f>IF(OR(Loans[[#This Row],[LoanStatus]]="Default",Loans[[#This Row],[LoanStatus]]="Watchlist",Loans[[#This Row],[CollateralRisk]]="Undersecured",Loans[[#This Row],[RiskCategory]]="High Risk"),"High Risk Exposure","Normal")</f>
        <v>Normal</v>
      </c>
      <c r="T1464" t="str" cm="1">
        <f t="array" ref="T1464">_xlfn.IFS(
Loans[[#This Row],[LoanStatus]]="Default","Critical",
OR(Loans[[#This Row],[LoanStatus]]="Watchlist",Loans[[#This Row],[CollateralRisk]]="Undersecured",Loans[[#This Row],[RiskCategory]]="High Risk"),"High",
TRUE,"Normal"
)</f>
        <v>Normal</v>
      </c>
    </row>
    <row r="1465" spans="1:20" x14ac:dyDescent="0.35">
      <c r="A1465" t="s">
        <v>2259</v>
      </c>
      <c r="B1465" t="s">
        <v>2194</v>
      </c>
      <c r="C1465" t="s">
        <v>232</v>
      </c>
      <c r="D1465" t="s">
        <v>156</v>
      </c>
      <c r="E1465" s="34">
        <v>1000000</v>
      </c>
      <c r="F1465" s="29">
        <v>0.19350000000000001</v>
      </c>
      <c r="G1465" s="30">
        <v>43863</v>
      </c>
      <c r="H1465">
        <v>48</v>
      </c>
      <c r="I1465">
        <v>0</v>
      </c>
      <c r="J1465" s="34">
        <v>880000</v>
      </c>
      <c r="K1465" t="s">
        <v>171</v>
      </c>
      <c r="L1465" s="34">
        <f>PMT(Loans[[#This Row],[InterestRate]]/12,Loans[[#This Row],[LoanTenureMonths]],-Loans[[#This Row],[LoanAmount]])</f>
        <v>30085.122500845831</v>
      </c>
      <c r="M1465" s="30">
        <f>EDATE(Loans[[#This Row],[LoanStartDate]],Loans[[#This Row],[LoanTenureMonths]])</f>
        <v>45324</v>
      </c>
      <c r="N1465" s="33">
        <f>IF(Loans[[#This Row],[LoanAmount]]=0,0,Loans[[#This Row],[CollateralValue]]/Loans[[#This Row],[LoanAmount]])</f>
        <v>0.88</v>
      </c>
      <c r="O1465" t="str">
        <f>IF(Loans[[#This Row],[CollateralCoverageRatio]]&lt;1,"Undersecured","Secured")</f>
        <v>Undersecured</v>
      </c>
      <c r="P1465" t="str">
        <f>_xlfn.XLOOKUP(Loans[[#This Row],[BranchCode]],BranchesTbl[BranchCode],BranchesTbl[BranchName])</f>
        <v>Upper Hill</v>
      </c>
      <c r="Q1465">
        <f>_xlfn.XLOOKUP(Loans[[#This Row],[CustomerID]],CustomerTbl[CustomerID],CustomerTbl[RiskScore])</f>
        <v>586</v>
      </c>
      <c r="R1465" t="str">
        <f>IFERROR(INDEX(RiskTbl[Risk_Category],MATCH(Loans[[#This Row],[RiskScore]],RiskTbl[Score_Min],1)),"Unknown")</f>
        <v>Medium Risk</v>
      </c>
      <c r="S1465" t="str">
        <f>IF(OR(Loans[[#This Row],[LoanStatus]]="Default",Loans[[#This Row],[LoanStatus]]="Watchlist",Loans[[#This Row],[CollateralRisk]]="Undersecured",Loans[[#This Row],[RiskCategory]]="High Risk"),"High Risk Exposure","Normal")</f>
        <v>High Risk Exposure</v>
      </c>
      <c r="T1465" t="str" cm="1">
        <f t="array" ref="T1465">_xlfn.IFS(
Loans[[#This Row],[LoanStatus]]="Default","Critical",
OR(Loans[[#This Row],[LoanStatus]]="Watchlist",Loans[[#This Row],[CollateralRisk]]="Undersecured",Loans[[#This Row],[RiskCategory]]="High Risk"),"High",
TRUE,"Normal"
)</f>
        <v>High</v>
      </c>
    </row>
    <row r="1466" spans="1:20" x14ac:dyDescent="0.35">
      <c r="A1466" t="s">
        <v>2260</v>
      </c>
      <c r="B1466" t="s">
        <v>2261</v>
      </c>
      <c r="C1466" t="s">
        <v>206</v>
      </c>
      <c r="D1466" t="s">
        <v>156</v>
      </c>
      <c r="E1466" s="34">
        <v>25000000</v>
      </c>
      <c r="F1466" s="29">
        <v>0.1867</v>
      </c>
      <c r="G1466" s="30">
        <v>44008</v>
      </c>
      <c r="H1466">
        <v>24</v>
      </c>
      <c r="I1466">
        <v>10</v>
      </c>
      <c r="J1466" s="34">
        <v>19000000</v>
      </c>
      <c r="K1466" t="s">
        <v>171</v>
      </c>
      <c r="L1466" s="34">
        <f>PMT(Loans[[#This Row],[InterestRate]]/12,Loans[[#This Row],[LoanTenureMonths]],-Loans[[#This Row],[LoanAmount]])</f>
        <v>1256210.790797699</v>
      </c>
      <c r="M1466" s="30">
        <f>EDATE(Loans[[#This Row],[LoanStartDate]],Loans[[#This Row],[LoanTenureMonths]])</f>
        <v>44738</v>
      </c>
      <c r="N1466" s="33">
        <f>IF(Loans[[#This Row],[LoanAmount]]=0,0,Loans[[#This Row],[CollateralValue]]/Loans[[#This Row],[LoanAmount]])</f>
        <v>0.76</v>
      </c>
      <c r="O1466" t="str">
        <f>IF(Loans[[#This Row],[CollateralCoverageRatio]]&lt;1,"Undersecured","Secured")</f>
        <v>Undersecured</v>
      </c>
      <c r="P1466" t="str">
        <f>_xlfn.XLOOKUP(Loans[[#This Row],[BranchCode]],BranchesTbl[BranchCode],BranchesTbl[BranchName])</f>
        <v>Nyahururu</v>
      </c>
      <c r="Q1466">
        <f>_xlfn.XLOOKUP(Loans[[#This Row],[CustomerID]],CustomerTbl[CustomerID],CustomerTbl[RiskScore])</f>
        <v>406</v>
      </c>
      <c r="R1466" t="str">
        <f>IFERROR(INDEX(RiskTbl[Risk_Category],MATCH(Loans[[#This Row],[RiskScore]],RiskTbl[Score_Min],1)),"Unknown")</f>
        <v>High Risk</v>
      </c>
      <c r="S1466" t="str">
        <f>IF(OR(Loans[[#This Row],[LoanStatus]]="Default",Loans[[#This Row],[LoanStatus]]="Watchlist",Loans[[#This Row],[CollateralRisk]]="Undersecured",Loans[[#This Row],[RiskCategory]]="High Risk"),"High Risk Exposure","Normal")</f>
        <v>High Risk Exposure</v>
      </c>
      <c r="T1466" t="str" cm="1">
        <f t="array" ref="T1466">_xlfn.IFS(
Loans[[#This Row],[LoanStatus]]="Default","Critical",
OR(Loans[[#This Row],[LoanStatus]]="Watchlist",Loans[[#This Row],[CollateralRisk]]="Undersecured",Loans[[#This Row],[RiskCategory]]="High Risk"),"High",
TRUE,"Normal"
)</f>
        <v>High</v>
      </c>
    </row>
    <row r="1467" spans="1:20" x14ac:dyDescent="0.35">
      <c r="A1467" t="s">
        <v>2262</v>
      </c>
      <c r="B1467" t="s">
        <v>448</v>
      </c>
      <c r="C1467" t="s">
        <v>196</v>
      </c>
      <c r="D1467" t="s">
        <v>156</v>
      </c>
      <c r="E1467" s="34">
        <v>3000000</v>
      </c>
      <c r="F1467" s="29">
        <v>0.14269999999999999</v>
      </c>
      <c r="G1467" s="30">
        <v>45436</v>
      </c>
      <c r="H1467">
        <v>72</v>
      </c>
      <c r="I1467">
        <v>10</v>
      </c>
      <c r="J1467" s="34">
        <v>1770000</v>
      </c>
      <c r="K1467" t="s">
        <v>171</v>
      </c>
      <c r="L1467" s="34">
        <f>PMT(Loans[[#This Row],[InterestRate]]/12,Loans[[#This Row],[LoanTenureMonths]],-Loans[[#This Row],[LoanAmount]])</f>
        <v>62251.782190544713</v>
      </c>
      <c r="M1467" s="30">
        <f>EDATE(Loans[[#This Row],[LoanStartDate]],Loans[[#This Row],[LoanTenureMonths]])</f>
        <v>47627</v>
      </c>
      <c r="N1467" s="33">
        <f>IF(Loans[[#This Row],[LoanAmount]]=0,0,Loans[[#This Row],[CollateralValue]]/Loans[[#This Row],[LoanAmount]])</f>
        <v>0.59</v>
      </c>
      <c r="O1467" t="str">
        <f>IF(Loans[[#This Row],[CollateralCoverageRatio]]&lt;1,"Undersecured","Secured")</f>
        <v>Undersecured</v>
      </c>
      <c r="P1467" t="str">
        <f>_xlfn.XLOOKUP(Loans[[#This Row],[BranchCode]],BranchesTbl[BranchCode],BranchesTbl[BranchName])</f>
        <v>Karen</v>
      </c>
      <c r="Q1467">
        <f>_xlfn.XLOOKUP(Loans[[#This Row],[CustomerID]],CustomerTbl[CustomerID],CustomerTbl[RiskScore])</f>
        <v>567</v>
      </c>
      <c r="R1467" t="str">
        <f>IFERROR(INDEX(RiskTbl[Risk_Category],MATCH(Loans[[#This Row],[RiskScore]],RiskTbl[Score_Min],1)),"Unknown")</f>
        <v>High Risk</v>
      </c>
      <c r="S1467" t="str">
        <f>IF(OR(Loans[[#This Row],[LoanStatus]]="Default",Loans[[#This Row],[LoanStatus]]="Watchlist",Loans[[#This Row],[CollateralRisk]]="Undersecured",Loans[[#This Row],[RiskCategory]]="High Risk"),"High Risk Exposure","Normal")</f>
        <v>High Risk Exposure</v>
      </c>
      <c r="T1467" t="str" cm="1">
        <f t="array" ref="T1467">_xlfn.IFS(
Loans[[#This Row],[LoanStatus]]="Default","Critical",
OR(Loans[[#This Row],[LoanStatus]]="Watchlist",Loans[[#This Row],[CollateralRisk]]="Undersecured",Loans[[#This Row],[RiskCategory]]="High Risk"),"High",
TRUE,"Normal"
)</f>
        <v>High</v>
      </c>
    </row>
    <row r="1468" spans="1:20" x14ac:dyDescent="0.35">
      <c r="A1468" t="s">
        <v>2263</v>
      </c>
      <c r="B1468" t="s">
        <v>627</v>
      </c>
      <c r="C1468" t="s">
        <v>267</v>
      </c>
      <c r="D1468" t="s">
        <v>158</v>
      </c>
      <c r="E1468" s="34">
        <v>3000000</v>
      </c>
      <c r="F1468" s="29">
        <v>0.15110000000000001</v>
      </c>
      <c r="G1468" s="30">
        <v>44907</v>
      </c>
      <c r="H1468">
        <v>24</v>
      </c>
      <c r="I1468">
        <v>20</v>
      </c>
      <c r="J1468" s="34">
        <v>3000000</v>
      </c>
      <c r="K1468" t="s">
        <v>171</v>
      </c>
      <c r="L1468" s="34">
        <f>PMT(Loans[[#This Row],[InterestRate]]/12,Loans[[#This Row],[LoanTenureMonths]],-Loans[[#This Row],[LoanAmount]])</f>
        <v>145616.78095360246</v>
      </c>
      <c r="M1468" s="30">
        <f>EDATE(Loans[[#This Row],[LoanStartDate]],Loans[[#This Row],[LoanTenureMonths]])</f>
        <v>45638</v>
      </c>
      <c r="N1468" s="33">
        <f>IF(Loans[[#This Row],[LoanAmount]]=0,0,Loans[[#This Row],[CollateralValue]]/Loans[[#This Row],[LoanAmount]])</f>
        <v>1</v>
      </c>
      <c r="O1468" t="str">
        <f>IF(Loans[[#This Row],[CollateralCoverageRatio]]&lt;1,"Undersecured","Secured")</f>
        <v>Secured</v>
      </c>
      <c r="P1468" t="str">
        <f>_xlfn.XLOOKUP(Loans[[#This Row],[BranchCode]],BranchesTbl[BranchCode],BranchesTbl[BranchName])</f>
        <v>Malindi</v>
      </c>
      <c r="Q1468">
        <f>_xlfn.XLOOKUP(Loans[[#This Row],[CustomerID]],CustomerTbl[CustomerID],CustomerTbl[RiskScore])</f>
        <v>659</v>
      </c>
      <c r="R1468" t="str">
        <f>IFERROR(INDEX(RiskTbl[Risk_Category],MATCH(Loans[[#This Row],[RiskScore]],RiskTbl[Score_Min],1)),"Unknown")</f>
        <v>Medium Risk</v>
      </c>
      <c r="S1468" t="str">
        <f>IF(OR(Loans[[#This Row],[LoanStatus]]="Default",Loans[[#This Row],[LoanStatus]]="Watchlist",Loans[[#This Row],[CollateralRisk]]="Undersecured",Loans[[#This Row],[RiskCategory]]="High Risk"),"High Risk Exposure","Normal")</f>
        <v>Normal</v>
      </c>
      <c r="T1468" t="str" cm="1">
        <f t="array" ref="T1468">_xlfn.IFS(
Loans[[#This Row],[LoanStatus]]="Default","Critical",
OR(Loans[[#This Row],[LoanStatus]]="Watchlist",Loans[[#This Row],[CollateralRisk]]="Undersecured",Loans[[#This Row],[RiskCategory]]="High Risk"),"High",
TRUE,"Normal"
)</f>
        <v>Normal</v>
      </c>
    </row>
    <row r="1469" spans="1:20" x14ac:dyDescent="0.35">
      <c r="A1469" t="s">
        <v>2264</v>
      </c>
      <c r="B1469" t="s">
        <v>296</v>
      </c>
      <c r="C1469" t="s">
        <v>190</v>
      </c>
      <c r="D1469" t="s">
        <v>155</v>
      </c>
      <c r="E1469" s="34">
        <v>100000</v>
      </c>
      <c r="F1469" s="29">
        <v>0.18540000000000001</v>
      </c>
      <c r="G1469" s="30">
        <v>45690</v>
      </c>
      <c r="H1469">
        <v>24</v>
      </c>
      <c r="I1469">
        <v>20</v>
      </c>
      <c r="J1469" s="34">
        <v>0</v>
      </c>
      <c r="K1469" t="s">
        <v>171</v>
      </c>
      <c r="L1469" s="34">
        <f>PMT(Loans[[#This Row],[InterestRate]]/12,Loans[[#This Row],[LoanTenureMonths]],-Loans[[#This Row],[LoanAmount]])</f>
        <v>5018.5408120857146</v>
      </c>
      <c r="M1469" s="30">
        <f>EDATE(Loans[[#This Row],[LoanStartDate]],Loans[[#This Row],[LoanTenureMonths]])</f>
        <v>46420</v>
      </c>
      <c r="N1469" s="33">
        <f>IF(Loans[[#This Row],[LoanAmount]]=0,0,Loans[[#This Row],[CollateralValue]]/Loans[[#This Row],[LoanAmount]])</f>
        <v>0</v>
      </c>
      <c r="O1469" t="str">
        <f>IF(Loans[[#This Row],[CollateralCoverageRatio]]&lt;1,"Undersecured","Secured")</f>
        <v>Undersecured</v>
      </c>
      <c r="P1469" t="str">
        <f>_xlfn.XLOOKUP(Loans[[#This Row],[BranchCode]],BranchesTbl[BranchCode],BranchesTbl[BranchName])</f>
        <v>Nyeri</v>
      </c>
      <c r="Q1469">
        <f>_xlfn.XLOOKUP(Loans[[#This Row],[CustomerID]],CustomerTbl[CustomerID],CustomerTbl[RiskScore])</f>
        <v>847</v>
      </c>
      <c r="R1469" t="str">
        <f>IFERROR(INDEX(RiskTbl[Risk_Category],MATCH(Loans[[#This Row],[RiskScore]],RiskTbl[Score_Min],1)),"Unknown")</f>
        <v>Prime</v>
      </c>
      <c r="S1469" t="str">
        <f>IF(OR(Loans[[#This Row],[LoanStatus]]="Default",Loans[[#This Row],[LoanStatus]]="Watchlist",Loans[[#This Row],[CollateralRisk]]="Undersecured",Loans[[#This Row],[RiskCategory]]="High Risk"),"High Risk Exposure","Normal")</f>
        <v>High Risk Exposure</v>
      </c>
      <c r="T1469" t="str" cm="1">
        <f t="array" ref="T1469">_xlfn.IFS(
Loans[[#This Row],[LoanStatus]]="Default","Critical",
OR(Loans[[#This Row],[LoanStatus]]="Watchlist",Loans[[#This Row],[CollateralRisk]]="Undersecured",Loans[[#This Row],[RiskCategory]]="High Risk"),"High",
TRUE,"Normal"
)</f>
        <v>High</v>
      </c>
    </row>
    <row r="1470" spans="1:20" x14ac:dyDescent="0.35">
      <c r="A1470" t="s">
        <v>2265</v>
      </c>
      <c r="B1470" t="s">
        <v>2140</v>
      </c>
      <c r="C1470" t="s">
        <v>206</v>
      </c>
      <c r="D1470" t="s">
        <v>155</v>
      </c>
      <c r="E1470" s="34">
        <v>250000</v>
      </c>
      <c r="F1470" s="29">
        <v>0.2089</v>
      </c>
      <c r="G1470" s="30">
        <v>43835</v>
      </c>
      <c r="H1470">
        <v>72</v>
      </c>
      <c r="I1470">
        <v>0</v>
      </c>
      <c r="J1470" s="34">
        <v>0</v>
      </c>
      <c r="K1470" t="s">
        <v>171</v>
      </c>
      <c r="L1470" s="34">
        <f>PMT(Loans[[#This Row],[InterestRate]]/12,Loans[[#This Row],[LoanTenureMonths]],-Loans[[#This Row],[LoanAmount]])</f>
        <v>6117.8762570649551</v>
      </c>
      <c r="M1470" s="30">
        <f>EDATE(Loans[[#This Row],[LoanStartDate]],Loans[[#This Row],[LoanTenureMonths]])</f>
        <v>46027</v>
      </c>
      <c r="N1470" s="33">
        <f>IF(Loans[[#This Row],[LoanAmount]]=0,0,Loans[[#This Row],[CollateralValue]]/Loans[[#This Row],[LoanAmount]])</f>
        <v>0</v>
      </c>
      <c r="O1470" t="str">
        <f>IF(Loans[[#This Row],[CollateralCoverageRatio]]&lt;1,"Undersecured","Secured")</f>
        <v>Undersecured</v>
      </c>
      <c r="P1470" t="str">
        <f>_xlfn.XLOOKUP(Loans[[#This Row],[BranchCode]],BranchesTbl[BranchCode],BranchesTbl[BranchName])</f>
        <v>Nyahururu</v>
      </c>
      <c r="Q1470">
        <f>_xlfn.XLOOKUP(Loans[[#This Row],[CustomerID]],CustomerTbl[CustomerID],CustomerTbl[RiskScore])</f>
        <v>755</v>
      </c>
      <c r="R1470" t="str">
        <f>IFERROR(INDEX(RiskTbl[Risk_Category],MATCH(Loans[[#This Row],[RiskScore]],RiskTbl[Score_Min],1)),"Unknown")</f>
        <v>Very Low Risk</v>
      </c>
      <c r="S1470" t="str">
        <f>IF(OR(Loans[[#This Row],[LoanStatus]]="Default",Loans[[#This Row],[LoanStatus]]="Watchlist",Loans[[#This Row],[CollateralRisk]]="Undersecured",Loans[[#This Row],[RiskCategory]]="High Risk"),"High Risk Exposure","Normal")</f>
        <v>High Risk Exposure</v>
      </c>
      <c r="T1470" t="str" cm="1">
        <f t="array" ref="T1470">_xlfn.IFS(
Loans[[#This Row],[LoanStatus]]="Default","Critical",
OR(Loans[[#This Row],[LoanStatus]]="Watchlist",Loans[[#This Row],[CollateralRisk]]="Undersecured",Loans[[#This Row],[RiskCategory]]="High Risk"),"High",
TRUE,"Normal"
)</f>
        <v>High</v>
      </c>
    </row>
    <row r="1471" spans="1:20" x14ac:dyDescent="0.35">
      <c r="A1471" t="s">
        <v>2266</v>
      </c>
      <c r="B1471" t="s">
        <v>1311</v>
      </c>
      <c r="C1471" t="s">
        <v>187</v>
      </c>
      <c r="D1471" t="s">
        <v>158</v>
      </c>
      <c r="E1471" s="34">
        <v>1000000</v>
      </c>
      <c r="F1471" s="29">
        <v>0.1696</v>
      </c>
      <c r="G1471" s="30">
        <v>45032</v>
      </c>
      <c r="H1471">
        <v>60</v>
      </c>
      <c r="I1471">
        <v>45</v>
      </c>
      <c r="J1471" s="34">
        <v>1310000</v>
      </c>
      <c r="K1471" t="s">
        <v>199</v>
      </c>
      <c r="L1471" s="34">
        <f>PMT(Loans[[#This Row],[InterestRate]]/12,Loans[[#This Row],[LoanTenureMonths]],-Loans[[#This Row],[LoanAmount]])</f>
        <v>24831.073029434188</v>
      </c>
      <c r="M1471" s="30">
        <f>EDATE(Loans[[#This Row],[LoanStartDate]],Loans[[#This Row],[LoanTenureMonths]])</f>
        <v>46859</v>
      </c>
      <c r="N1471" s="33">
        <f>IF(Loans[[#This Row],[LoanAmount]]=0,0,Loans[[#This Row],[CollateralValue]]/Loans[[#This Row],[LoanAmount]])</f>
        <v>1.31</v>
      </c>
      <c r="O1471" t="str">
        <f>IF(Loans[[#This Row],[CollateralCoverageRatio]]&lt;1,"Undersecured","Secured")</f>
        <v>Secured</v>
      </c>
      <c r="P1471" t="str">
        <f>_xlfn.XLOOKUP(Loans[[#This Row],[BranchCode]],BranchesTbl[BranchCode],BranchesTbl[BranchName])</f>
        <v>Eldoret</v>
      </c>
      <c r="Q1471">
        <f>_xlfn.XLOOKUP(Loans[[#This Row],[CustomerID]],CustomerTbl[CustomerID],CustomerTbl[RiskScore])</f>
        <v>501</v>
      </c>
      <c r="R1471" t="str">
        <f>IFERROR(INDEX(RiskTbl[Risk_Category],MATCH(Loans[[#This Row],[RiskScore]],RiskTbl[Score_Min],1)),"Unknown")</f>
        <v>High Risk</v>
      </c>
      <c r="S1471" t="str">
        <f>IF(OR(Loans[[#This Row],[LoanStatus]]="Default",Loans[[#This Row],[LoanStatus]]="Watchlist",Loans[[#This Row],[CollateralRisk]]="Undersecured",Loans[[#This Row],[RiskCategory]]="High Risk"),"High Risk Exposure","Normal")</f>
        <v>High Risk Exposure</v>
      </c>
      <c r="T1471" t="str" cm="1">
        <f t="array" ref="T1471">_xlfn.IFS(
Loans[[#This Row],[LoanStatus]]="Default","Critical",
OR(Loans[[#This Row],[LoanStatus]]="Watchlist",Loans[[#This Row],[CollateralRisk]]="Undersecured",Loans[[#This Row],[RiskCategory]]="High Risk"),"High",
TRUE,"Normal"
)</f>
        <v>High</v>
      </c>
    </row>
    <row r="1472" spans="1:20" x14ac:dyDescent="0.35">
      <c r="A1472" t="s">
        <v>2267</v>
      </c>
      <c r="B1472" t="s">
        <v>1503</v>
      </c>
      <c r="C1472" t="s">
        <v>181</v>
      </c>
      <c r="D1472" t="s">
        <v>155</v>
      </c>
      <c r="E1472" s="34">
        <v>1000000</v>
      </c>
      <c r="F1472" s="29">
        <v>0.20580000000000001</v>
      </c>
      <c r="G1472" s="30">
        <v>44992</v>
      </c>
      <c r="H1472">
        <v>72</v>
      </c>
      <c r="I1472">
        <v>0</v>
      </c>
      <c r="J1472" s="34">
        <v>0</v>
      </c>
      <c r="K1472" t="s">
        <v>171</v>
      </c>
      <c r="L1472" s="34">
        <f>PMT(Loans[[#This Row],[InterestRate]]/12,Loans[[#This Row],[LoanTenureMonths]],-Loans[[#This Row],[LoanAmount]])</f>
        <v>24290.210870592695</v>
      </c>
      <c r="M1472" s="30">
        <f>EDATE(Loans[[#This Row],[LoanStartDate]],Loans[[#This Row],[LoanTenureMonths]])</f>
        <v>47184</v>
      </c>
      <c r="N1472" s="33">
        <f>IF(Loans[[#This Row],[LoanAmount]]=0,0,Loans[[#This Row],[CollateralValue]]/Loans[[#This Row],[LoanAmount]])</f>
        <v>0</v>
      </c>
      <c r="O1472" t="str">
        <f>IF(Loans[[#This Row],[CollateralCoverageRatio]]&lt;1,"Undersecured","Secured")</f>
        <v>Undersecured</v>
      </c>
      <c r="P1472" t="str">
        <f>_xlfn.XLOOKUP(Loans[[#This Row],[BranchCode]],BranchesTbl[BranchCode],BranchesTbl[BranchName])</f>
        <v>Kitale</v>
      </c>
      <c r="Q1472">
        <f>_xlfn.XLOOKUP(Loans[[#This Row],[CustomerID]],CustomerTbl[CustomerID],CustomerTbl[RiskScore])</f>
        <v>671</v>
      </c>
      <c r="R1472" t="str">
        <f>IFERROR(INDEX(RiskTbl[Risk_Category],MATCH(Loans[[#This Row],[RiskScore]],RiskTbl[Score_Min],1)),"Unknown")</f>
        <v>Low Risk</v>
      </c>
      <c r="S1472" t="str">
        <f>IF(OR(Loans[[#This Row],[LoanStatus]]="Default",Loans[[#This Row],[LoanStatus]]="Watchlist",Loans[[#This Row],[CollateralRisk]]="Undersecured",Loans[[#This Row],[RiskCategory]]="High Risk"),"High Risk Exposure","Normal")</f>
        <v>High Risk Exposure</v>
      </c>
      <c r="T1472" t="str" cm="1">
        <f t="array" ref="T1472">_xlfn.IFS(
Loans[[#This Row],[LoanStatus]]="Default","Critical",
OR(Loans[[#This Row],[LoanStatus]]="Watchlist",Loans[[#This Row],[CollateralRisk]]="Undersecured",Loans[[#This Row],[RiskCategory]]="High Risk"),"High",
TRUE,"Normal"
)</f>
        <v>High</v>
      </c>
    </row>
    <row r="1473" spans="1:20" x14ac:dyDescent="0.35">
      <c r="A1473" t="s">
        <v>2268</v>
      </c>
      <c r="B1473" t="s">
        <v>208</v>
      </c>
      <c r="C1473" t="s">
        <v>267</v>
      </c>
      <c r="D1473" t="s">
        <v>155</v>
      </c>
      <c r="E1473" s="34">
        <v>250000</v>
      </c>
      <c r="F1473" s="29">
        <v>0.18790000000000001</v>
      </c>
      <c r="G1473" s="30">
        <v>45949</v>
      </c>
      <c r="H1473">
        <v>60</v>
      </c>
      <c r="I1473">
        <v>0</v>
      </c>
      <c r="J1473" s="34">
        <v>0</v>
      </c>
      <c r="K1473" t="s">
        <v>171</v>
      </c>
      <c r="L1473" s="34">
        <f>PMT(Loans[[#This Row],[InterestRate]]/12,Loans[[#This Row],[LoanTenureMonths]],-Loans[[#This Row],[LoanAmount]])</f>
        <v>6456.2844975467287</v>
      </c>
      <c r="M1473" s="30">
        <f>EDATE(Loans[[#This Row],[LoanStartDate]],Loans[[#This Row],[LoanTenureMonths]])</f>
        <v>47775</v>
      </c>
      <c r="N1473" s="33">
        <f>IF(Loans[[#This Row],[LoanAmount]]=0,0,Loans[[#This Row],[CollateralValue]]/Loans[[#This Row],[LoanAmount]])</f>
        <v>0</v>
      </c>
      <c r="O1473" t="str">
        <f>IF(Loans[[#This Row],[CollateralCoverageRatio]]&lt;1,"Undersecured","Secured")</f>
        <v>Undersecured</v>
      </c>
      <c r="P1473" t="str">
        <f>_xlfn.XLOOKUP(Loans[[#This Row],[BranchCode]],BranchesTbl[BranchCode],BranchesTbl[BranchName])</f>
        <v>Malindi</v>
      </c>
      <c r="Q1473">
        <f>_xlfn.XLOOKUP(Loans[[#This Row],[CustomerID]],CustomerTbl[CustomerID],CustomerTbl[RiskScore])</f>
        <v>307</v>
      </c>
      <c r="R1473" t="str">
        <f>IFERROR(INDEX(RiskTbl[Risk_Category],MATCH(Loans[[#This Row],[RiskScore]],RiskTbl[Score_Min],1)),"Unknown")</f>
        <v>High Risk</v>
      </c>
      <c r="S1473" t="str">
        <f>IF(OR(Loans[[#This Row],[LoanStatus]]="Default",Loans[[#This Row],[LoanStatus]]="Watchlist",Loans[[#This Row],[CollateralRisk]]="Undersecured",Loans[[#This Row],[RiskCategory]]="High Risk"),"High Risk Exposure","Normal")</f>
        <v>High Risk Exposure</v>
      </c>
      <c r="T1473" t="str" cm="1">
        <f t="array" ref="T1473">_xlfn.IFS(
Loans[[#This Row],[LoanStatus]]="Default","Critical",
OR(Loans[[#This Row],[LoanStatus]]="Watchlist",Loans[[#This Row],[CollateralRisk]]="Undersecured",Loans[[#This Row],[RiskCategory]]="High Risk"),"High",
TRUE,"Normal"
)</f>
        <v>High</v>
      </c>
    </row>
    <row r="1474" spans="1:20" x14ac:dyDescent="0.35">
      <c r="A1474" t="s">
        <v>2269</v>
      </c>
      <c r="B1474" t="s">
        <v>1061</v>
      </c>
      <c r="C1474" t="s">
        <v>190</v>
      </c>
      <c r="D1474" t="s">
        <v>158</v>
      </c>
      <c r="E1474" s="34">
        <v>3000000</v>
      </c>
      <c r="F1474" s="29">
        <v>0.1613</v>
      </c>
      <c r="G1474" s="30">
        <v>44903</v>
      </c>
      <c r="H1474">
        <v>36</v>
      </c>
      <c r="I1474">
        <v>90</v>
      </c>
      <c r="J1474" s="34">
        <v>2880000</v>
      </c>
      <c r="K1474" t="s">
        <v>199</v>
      </c>
      <c r="L1474" s="34">
        <f>PMT(Loans[[#This Row],[InterestRate]]/12,Loans[[#This Row],[LoanTenureMonths]],-Loans[[#This Row],[LoanAmount]])</f>
        <v>105663.74409625767</v>
      </c>
      <c r="M1474" s="30">
        <f>EDATE(Loans[[#This Row],[LoanStartDate]],Loans[[#This Row],[LoanTenureMonths]])</f>
        <v>45999</v>
      </c>
      <c r="N1474" s="33">
        <f>IF(Loans[[#This Row],[LoanAmount]]=0,0,Loans[[#This Row],[CollateralValue]]/Loans[[#This Row],[LoanAmount]])</f>
        <v>0.96</v>
      </c>
      <c r="O1474" t="str">
        <f>IF(Loans[[#This Row],[CollateralCoverageRatio]]&lt;1,"Undersecured","Secured")</f>
        <v>Undersecured</v>
      </c>
      <c r="P1474" t="str">
        <f>_xlfn.XLOOKUP(Loans[[#This Row],[BranchCode]],BranchesTbl[BranchCode],BranchesTbl[BranchName])</f>
        <v>Nyeri</v>
      </c>
      <c r="Q1474">
        <f>_xlfn.XLOOKUP(Loans[[#This Row],[CustomerID]],CustomerTbl[CustomerID],CustomerTbl[RiskScore])</f>
        <v>453</v>
      </c>
      <c r="R1474" t="str">
        <f>IFERROR(INDEX(RiskTbl[Risk_Category],MATCH(Loans[[#This Row],[RiskScore]],RiskTbl[Score_Min],1)),"Unknown")</f>
        <v>High Risk</v>
      </c>
      <c r="S1474" t="str">
        <f>IF(OR(Loans[[#This Row],[LoanStatus]]="Default",Loans[[#This Row],[LoanStatus]]="Watchlist",Loans[[#This Row],[CollateralRisk]]="Undersecured",Loans[[#This Row],[RiskCategory]]="High Risk"),"High Risk Exposure","Normal")</f>
        <v>High Risk Exposure</v>
      </c>
      <c r="T1474" t="str" cm="1">
        <f t="array" ref="T1474">_xlfn.IFS(
Loans[[#This Row],[LoanStatus]]="Default","Critical",
OR(Loans[[#This Row],[LoanStatus]]="Watchlist",Loans[[#This Row],[CollateralRisk]]="Undersecured",Loans[[#This Row],[RiskCategory]]="High Risk"),"High",
TRUE,"Normal"
)</f>
        <v>High</v>
      </c>
    </row>
    <row r="1475" spans="1:20" x14ac:dyDescent="0.35">
      <c r="A1475" t="s">
        <v>2270</v>
      </c>
      <c r="B1475" t="s">
        <v>292</v>
      </c>
      <c r="C1475" t="s">
        <v>174</v>
      </c>
      <c r="D1475" t="s">
        <v>156</v>
      </c>
      <c r="E1475" s="34">
        <v>1000000</v>
      </c>
      <c r="F1475" s="29">
        <v>0.14169999999999999</v>
      </c>
      <c r="G1475" s="30">
        <v>45647</v>
      </c>
      <c r="H1475">
        <v>72</v>
      </c>
      <c r="I1475">
        <v>45</v>
      </c>
      <c r="J1475" s="34">
        <v>1370000</v>
      </c>
      <c r="K1475" t="s">
        <v>199</v>
      </c>
      <c r="L1475" s="34">
        <f>PMT(Loans[[#This Row],[InterestRate]]/12,Loans[[#This Row],[LoanTenureMonths]],-Loans[[#This Row],[LoanAmount]])</f>
        <v>20696.879384604272</v>
      </c>
      <c r="M1475" s="30">
        <f>EDATE(Loans[[#This Row],[LoanStartDate]],Loans[[#This Row],[LoanTenureMonths]])</f>
        <v>47838</v>
      </c>
      <c r="N1475" s="33">
        <f>IF(Loans[[#This Row],[LoanAmount]]=0,0,Loans[[#This Row],[CollateralValue]]/Loans[[#This Row],[LoanAmount]])</f>
        <v>1.37</v>
      </c>
      <c r="O1475" t="str">
        <f>IF(Loans[[#This Row],[CollateralCoverageRatio]]&lt;1,"Undersecured","Secured")</f>
        <v>Secured</v>
      </c>
      <c r="P1475" t="str">
        <f>_xlfn.XLOOKUP(Loans[[#This Row],[BranchCode]],BranchesTbl[BranchCode],BranchesTbl[BranchName])</f>
        <v>Westlands</v>
      </c>
      <c r="Q1475">
        <f>_xlfn.XLOOKUP(Loans[[#This Row],[CustomerID]],CustomerTbl[CustomerID],CustomerTbl[RiskScore])</f>
        <v>831</v>
      </c>
      <c r="R1475" t="str">
        <f>IFERROR(INDEX(RiskTbl[Risk_Category],MATCH(Loans[[#This Row],[RiskScore]],RiskTbl[Score_Min],1)),"Unknown")</f>
        <v>Prime</v>
      </c>
      <c r="S1475" t="str">
        <f>IF(OR(Loans[[#This Row],[LoanStatus]]="Default",Loans[[#This Row],[LoanStatus]]="Watchlist",Loans[[#This Row],[CollateralRisk]]="Undersecured",Loans[[#This Row],[RiskCategory]]="High Risk"),"High Risk Exposure","Normal")</f>
        <v>High Risk Exposure</v>
      </c>
      <c r="T1475" t="str" cm="1">
        <f t="array" ref="T1475">_xlfn.IFS(
Loans[[#This Row],[LoanStatus]]="Default","Critical",
OR(Loans[[#This Row],[LoanStatus]]="Watchlist",Loans[[#This Row],[CollateralRisk]]="Undersecured",Loans[[#This Row],[RiskCategory]]="High Risk"),"High",
TRUE,"Normal"
)</f>
        <v>High</v>
      </c>
    </row>
    <row r="1476" spans="1:20" x14ac:dyDescent="0.35">
      <c r="A1476" t="s">
        <v>2271</v>
      </c>
      <c r="B1476" t="s">
        <v>2272</v>
      </c>
      <c r="C1476" t="s">
        <v>181</v>
      </c>
      <c r="D1476" t="s">
        <v>158</v>
      </c>
      <c r="E1476" s="34">
        <v>500000</v>
      </c>
      <c r="F1476" s="29">
        <v>0.1416</v>
      </c>
      <c r="G1476" s="30">
        <v>44390</v>
      </c>
      <c r="H1476">
        <v>24</v>
      </c>
      <c r="I1476">
        <v>10</v>
      </c>
      <c r="J1476" s="34">
        <v>445000</v>
      </c>
      <c r="K1476" t="s">
        <v>171</v>
      </c>
      <c r="L1476" s="34">
        <f>PMT(Loans[[#This Row],[InterestRate]]/12,Loans[[#This Row],[LoanTenureMonths]],-Loans[[#This Row],[LoanAmount]])</f>
        <v>24044.252040866264</v>
      </c>
      <c r="M1476" s="30">
        <f>EDATE(Loans[[#This Row],[LoanStartDate]],Loans[[#This Row],[LoanTenureMonths]])</f>
        <v>45120</v>
      </c>
      <c r="N1476" s="33">
        <f>IF(Loans[[#This Row],[LoanAmount]]=0,0,Loans[[#This Row],[CollateralValue]]/Loans[[#This Row],[LoanAmount]])</f>
        <v>0.89</v>
      </c>
      <c r="O1476" t="str">
        <f>IF(Loans[[#This Row],[CollateralCoverageRatio]]&lt;1,"Undersecured","Secured")</f>
        <v>Undersecured</v>
      </c>
      <c r="P1476" t="str">
        <f>_xlfn.XLOOKUP(Loans[[#This Row],[BranchCode]],BranchesTbl[BranchCode],BranchesTbl[BranchName])</f>
        <v>Kitale</v>
      </c>
      <c r="Q1476">
        <f>_xlfn.XLOOKUP(Loans[[#This Row],[CustomerID]],CustomerTbl[CustomerID],CustomerTbl[RiskScore])</f>
        <v>425</v>
      </c>
      <c r="R1476" t="str">
        <f>IFERROR(INDEX(RiskTbl[Risk_Category],MATCH(Loans[[#This Row],[RiskScore]],RiskTbl[Score_Min],1)),"Unknown")</f>
        <v>High Risk</v>
      </c>
      <c r="S1476" t="str">
        <f>IF(OR(Loans[[#This Row],[LoanStatus]]="Default",Loans[[#This Row],[LoanStatus]]="Watchlist",Loans[[#This Row],[CollateralRisk]]="Undersecured",Loans[[#This Row],[RiskCategory]]="High Risk"),"High Risk Exposure","Normal")</f>
        <v>High Risk Exposure</v>
      </c>
      <c r="T1476" t="str" cm="1">
        <f t="array" ref="T1476">_xlfn.IFS(
Loans[[#This Row],[LoanStatus]]="Default","Critical",
OR(Loans[[#This Row],[LoanStatus]]="Watchlist",Loans[[#This Row],[CollateralRisk]]="Undersecured",Loans[[#This Row],[RiskCategory]]="High Risk"),"High",
TRUE,"Normal"
)</f>
        <v>High</v>
      </c>
    </row>
    <row r="1477" spans="1:20" x14ac:dyDescent="0.35">
      <c r="A1477" t="s">
        <v>2273</v>
      </c>
      <c r="B1477" t="s">
        <v>1096</v>
      </c>
      <c r="C1477" t="s">
        <v>184</v>
      </c>
      <c r="D1477" t="s">
        <v>157</v>
      </c>
      <c r="E1477" s="34">
        <v>25000000</v>
      </c>
      <c r="F1477" s="29">
        <v>0.1076</v>
      </c>
      <c r="G1477" s="30">
        <v>44271</v>
      </c>
      <c r="H1477">
        <v>24</v>
      </c>
      <c r="I1477">
        <v>10</v>
      </c>
      <c r="J1477" s="34">
        <v>37250000</v>
      </c>
      <c r="K1477" t="s">
        <v>171</v>
      </c>
      <c r="L1477" s="34">
        <f>PMT(Loans[[#This Row],[InterestRate]]/12,Loans[[#This Row],[LoanTenureMonths]],-Loans[[#This Row],[LoanAmount]])</f>
        <v>1162412.2718263976</v>
      </c>
      <c r="M1477" s="30">
        <f>EDATE(Loans[[#This Row],[LoanStartDate]],Loans[[#This Row],[LoanTenureMonths]])</f>
        <v>45001</v>
      </c>
      <c r="N1477" s="33">
        <f>IF(Loans[[#This Row],[LoanAmount]]=0,0,Loans[[#This Row],[CollateralValue]]/Loans[[#This Row],[LoanAmount]])</f>
        <v>1.49</v>
      </c>
      <c r="O1477" t="str">
        <f>IF(Loans[[#This Row],[CollateralCoverageRatio]]&lt;1,"Undersecured","Secured")</f>
        <v>Secured</v>
      </c>
      <c r="P1477" t="str">
        <f>_xlfn.XLOOKUP(Loans[[#This Row],[BranchCode]],BranchesTbl[BranchCode],BranchesTbl[BranchName])</f>
        <v>Kisumu</v>
      </c>
      <c r="Q1477">
        <f>_xlfn.XLOOKUP(Loans[[#This Row],[CustomerID]],CustomerTbl[CustomerID],CustomerTbl[RiskScore])</f>
        <v>419</v>
      </c>
      <c r="R1477" t="str">
        <f>IFERROR(INDEX(RiskTbl[Risk_Category],MATCH(Loans[[#This Row],[RiskScore]],RiskTbl[Score_Min],1)),"Unknown")</f>
        <v>High Risk</v>
      </c>
      <c r="S1477" t="str">
        <f>IF(OR(Loans[[#This Row],[LoanStatus]]="Default",Loans[[#This Row],[LoanStatus]]="Watchlist",Loans[[#This Row],[CollateralRisk]]="Undersecured",Loans[[#This Row],[RiskCategory]]="High Risk"),"High Risk Exposure","Normal")</f>
        <v>High Risk Exposure</v>
      </c>
      <c r="T1477" t="str" cm="1">
        <f t="array" ref="T1477">_xlfn.IFS(
Loans[[#This Row],[LoanStatus]]="Default","Critical",
OR(Loans[[#This Row],[LoanStatus]]="Watchlist",Loans[[#This Row],[CollateralRisk]]="Undersecured",Loans[[#This Row],[RiskCategory]]="High Risk"),"High",
TRUE,"Normal"
)</f>
        <v>High</v>
      </c>
    </row>
    <row r="1478" spans="1:20" x14ac:dyDescent="0.35">
      <c r="A1478" t="s">
        <v>2274</v>
      </c>
      <c r="B1478" t="s">
        <v>216</v>
      </c>
      <c r="C1478" t="s">
        <v>181</v>
      </c>
      <c r="D1478" t="s">
        <v>157</v>
      </c>
      <c r="E1478" s="34">
        <v>80000000</v>
      </c>
      <c r="F1478" s="29">
        <v>9.0700000000000003E-2</v>
      </c>
      <c r="G1478" s="30">
        <v>44621</v>
      </c>
      <c r="H1478">
        <v>24</v>
      </c>
      <c r="I1478">
        <v>10</v>
      </c>
      <c r="J1478" s="34">
        <v>53600000</v>
      </c>
      <c r="K1478" t="s">
        <v>171</v>
      </c>
      <c r="L1478" s="34">
        <f>PMT(Loans[[#This Row],[InterestRate]]/12,Loans[[#This Row],[LoanTenureMonths]],-Loans[[#This Row],[LoanAmount]])</f>
        <v>3657349.3006739016</v>
      </c>
      <c r="M1478" s="30">
        <f>EDATE(Loans[[#This Row],[LoanStartDate]],Loans[[#This Row],[LoanTenureMonths]])</f>
        <v>45352</v>
      </c>
      <c r="N1478" s="33">
        <f>IF(Loans[[#This Row],[LoanAmount]]=0,0,Loans[[#This Row],[CollateralValue]]/Loans[[#This Row],[LoanAmount]])</f>
        <v>0.67</v>
      </c>
      <c r="O1478" t="str">
        <f>IF(Loans[[#This Row],[CollateralCoverageRatio]]&lt;1,"Undersecured","Secured")</f>
        <v>Undersecured</v>
      </c>
      <c r="P1478" t="str">
        <f>_xlfn.XLOOKUP(Loans[[#This Row],[BranchCode]],BranchesTbl[BranchCode],BranchesTbl[BranchName])</f>
        <v>Kitale</v>
      </c>
      <c r="Q1478">
        <f>_xlfn.XLOOKUP(Loans[[#This Row],[CustomerID]],CustomerTbl[CustomerID],CustomerTbl[RiskScore])</f>
        <v>327</v>
      </c>
      <c r="R1478" t="str">
        <f>IFERROR(INDEX(RiskTbl[Risk_Category],MATCH(Loans[[#This Row],[RiskScore]],RiskTbl[Score_Min],1)),"Unknown")</f>
        <v>High Risk</v>
      </c>
      <c r="S1478" t="str">
        <f>IF(OR(Loans[[#This Row],[LoanStatus]]="Default",Loans[[#This Row],[LoanStatus]]="Watchlist",Loans[[#This Row],[CollateralRisk]]="Undersecured",Loans[[#This Row],[RiskCategory]]="High Risk"),"High Risk Exposure","Normal")</f>
        <v>High Risk Exposure</v>
      </c>
      <c r="T1478" t="str" cm="1">
        <f t="array" ref="T1478">_xlfn.IFS(
Loans[[#This Row],[LoanStatus]]="Default","Critical",
OR(Loans[[#This Row],[LoanStatus]]="Watchlist",Loans[[#This Row],[CollateralRisk]]="Undersecured",Loans[[#This Row],[RiskCategory]]="High Risk"),"High",
TRUE,"Normal"
)</f>
        <v>High</v>
      </c>
    </row>
    <row r="1479" spans="1:20" x14ac:dyDescent="0.35">
      <c r="A1479" t="s">
        <v>2275</v>
      </c>
      <c r="B1479" t="s">
        <v>887</v>
      </c>
      <c r="C1479" t="s">
        <v>239</v>
      </c>
      <c r="D1479" t="s">
        <v>156</v>
      </c>
      <c r="E1479" s="34">
        <v>3000000</v>
      </c>
      <c r="F1479" s="29">
        <v>0.1953</v>
      </c>
      <c r="G1479" s="30">
        <v>44017</v>
      </c>
      <c r="H1479">
        <v>36</v>
      </c>
      <c r="I1479">
        <v>90</v>
      </c>
      <c r="J1479" s="34">
        <v>2940000</v>
      </c>
      <c r="K1479" t="s">
        <v>199</v>
      </c>
      <c r="L1479" s="34">
        <f>PMT(Loans[[#This Row],[InterestRate]]/12,Loans[[#This Row],[LoanTenureMonths]],-Loans[[#This Row],[LoanAmount]])</f>
        <v>110773.61745417913</v>
      </c>
      <c r="M1479" s="30">
        <f>EDATE(Loans[[#This Row],[LoanStartDate]],Loans[[#This Row],[LoanTenureMonths]])</f>
        <v>45112</v>
      </c>
      <c r="N1479" s="33">
        <f>IF(Loans[[#This Row],[LoanAmount]]=0,0,Loans[[#This Row],[CollateralValue]]/Loans[[#This Row],[LoanAmount]])</f>
        <v>0.98</v>
      </c>
      <c r="O1479" t="str">
        <f>IF(Loans[[#This Row],[CollateralCoverageRatio]]&lt;1,"Undersecured","Secured")</f>
        <v>Undersecured</v>
      </c>
      <c r="P1479" t="str">
        <f>_xlfn.XLOOKUP(Loans[[#This Row],[BranchCode]],BranchesTbl[BranchCode],BranchesTbl[BranchName])</f>
        <v>Machakos</v>
      </c>
      <c r="Q1479">
        <f>_xlfn.XLOOKUP(Loans[[#This Row],[CustomerID]],CustomerTbl[CustomerID],CustomerTbl[RiskScore])</f>
        <v>391</v>
      </c>
      <c r="R1479" t="str">
        <f>IFERROR(INDEX(RiskTbl[Risk_Category],MATCH(Loans[[#This Row],[RiskScore]],RiskTbl[Score_Min],1)),"Unknown")</f>
        <v>High Risk</v>
      </c>
      <c r="S1479" t="str">
        <f>IF(OR(Loans[[#This Row],[LoanStatus]]="Default",Loans[[#This Row],[LoanStatus]]="Watchlist",Loans[[#This Row],[CollateralRisk]]="Undersecured",Loans[[#This Row],[RiskCategory]]="High Risk"),"High Risk Exposure","Normal")</f>
        <v>High Risk Exposure</v>
      </c>
      <c r="T1479" t="str" cm="1">
        <f t="array" ref="T1479">_xlfn.IFS(
Loans[[#This Row],[LoanStatus]]="Default","Critical",
OR(Loans[[#This Row],[LoanStatus]]="Watchlist",Loans[[#This Row],[CollateralRisk]]="Undersecured",Loans[[#This Row],[RiskCategory]]="High Risk"),"High",
TRUE,"Normal"
)</f>
        <v>High</v>
      </c>
    </row>
    <row r="1480" spans="1:20" x14ac:dyDescent="0.35">
      <c r="A1480" t="s">
        <v>2276</v>
      </c>
      <c r="B1480" t="s">
        <v>914</v>
      </c>
      <c r="C1480" t="s">
        <v>190</v>
      </c>
      <c r="D1480" t="s">
        <v>155</v>
      </c>
      <c r="E1480" s="34">
        <v>100000</v>
      </c>
      <c r="F1480" s="29">
        <v>0.2445</v>
      </c>
      <c r="G1480" s="30">
        <v>45002</v>
      </c>
      <c r="H1480">
        <v>12</v>
      </c>
      <c r="I1480">
        <v>45</v>
      </c>
      <c r="J1480" s="34">
        <v>0</v>
      </c>
      <c r="K1480" t="s">
        <v>199</v>
      </c>
      <c r="L1480" s="34">
        <f>PMT(Loans[[#This Row],[InterestRate]]/12,Loans[[#This Row],[LoanTenureMonths]],-Loans[[#This Row],[LoanAmount]])</f>
        <v>9477.750499109261</v>
      </c>
      <c r="M1480" s="30">
        <f>EDATE(Loans[[#This Row],[LoanStartDate]],Loans[[#This Row],[LoanTenureMonths]])</f>
        <v>45368</v>
      </c>
      <c r="N1480" s="33">
        <f>IF(Loans[[#This Row],[LoanAmount]]=0,0,Loans[[#This Row],[CollateralValue]]/Loans[[#This Row],[LoanAmount]])</f>
        <v>0</v>
      </c>
      <c r="O1480" t="str">
        <f>IF(Loans[[#This Row],[CollateralCoverageRatio]]&lt;1,"Undersecured","Secured")</f>
        <v>Undersecured</v>
      </c>
      <c r="P1480" t="str">
        <f>_xlfn.XLOOKUP(Loans[[#This Row],[BranchCode]],BranchesTbl[BranchCode],BranchesTbl[BranchName])</f>
        <v>Nyeri</v>
      </c>
      <c r="Q1480">
        <f>_xlfn.XLOOKUP(Loans[[#This Row],[CustomerID]],CustomerTbl[CustomerID],CustomerTbl[RiskScore])</f>
        <v>595</v>
      </c>
      <c r="R1480" t="str">
        <f>IFERROR(INDEX(RiskTbl[Risk_Category],MATCH(Loans[[#This Row],[RiskScore]],RiskTbl[Score_Min],1)),"Unknown")</f>
        <v>Medium Risk</v>
      </c>
      <c r="S1480" t="str">
        <f>IF(OR(Loans[[#This Row],[LoanStatus]]="Default",Loans[[#This Row],[LoanStatus]]="Watchlist",Loans[[#This Row],[CollateralRisk]]="Undersecured",Loans[[#This Row],[RiskCategory]]="High Risk"),"High Risk Exposure","Normal")</f>
        <v>High Risk Exposure</v>
      </c>
      <c r="T1480" t="str" cm="1">
        <f t="array" ref="T1480">_xlfn.IFS(
Loans[[#This Row],[LoanStatus]]="Default","Critical",
OR(Loans[[#This Row],[LoanStatus]]="Watchlist",Loans[[#This Row],[CollateralRisk]]="Undersecured",Loans[[#This Row],[RiskCategory]]="High Risk"),"High",
TRUE,"Normal"
)</f>
        <v>High</v>
      </c>
    </row>
    <row r="1481" spans="1:20" x14ac:dyDescent="0.35">
      <c r="A1481" t="s">
        <v>2277</v>
      </c>
      <c r="B1481" t="s">
        <v>1615</v>
      </c>
      <c r="C1481" t="s">
        <v>181</v>
      </c>
      <c r="D1481" t="s">
        <v>156</v>
      </c>
      <c r="E1481" s="34">
        <v>1000000</v>
      </c>
      <c r="F1481" s="29">
        <v>0.1925</v>
      </c>
      <c r="G1481" s="30">
        <v>44361</v>
      </c>
      <c r="H1481">
        <v>12</v>
      </c>
      <c r="I1481">
        <v>0</v>
      </c>
      <c r="J1481" s="34">
        <v>1030000</v>
      </c>
      <c r="K1481" t="s">
        <v>171</v>
      </c>
      <c r="L1481" s="34">
        <f>PMT(Loans[[#This Row],[InterestRate]]/12,Loans[[#This Row],[LoanTenureMonths]],-Loans[[#This Row],[LoanAmount]])</f>
        <v>92275.934381630475</v>
      </c>
      <c r="M1481" s="30">
        <f>EDATE(Loans[[#This Row],[LoanStartDate]],Loans[[#This Row],[LoanTenureMonths]])</f>
        <v>44726</v>
      </c>
      <c r="N1481" s="33">
        <f>IF(Loans[[#This Row],[LoanAmount]]=0,0,Loans[[#This Row],[CollateralValue]]/Loans[[#This Row],[LoanAmount]])</f>
        <v>1.03</v>
      </c>
      <c r="O1481" t="str">
        <f>IF(Loans[[#This Row],[CollateralCoverageRatio]]&lt;1,"Undersecured","Secured")</f>
        <v>Secured</v>
      </c>
      <c r="P1481" t="str">
        <f>_xlfn.XLOOKUP(Loans[[#This Row],[BranchCode]],BranchesTbl[BranchCode],BranchesTbl[BranchName])</f>
        <v>Kitale</v>
      </c>
      <c r="Q1481">
        <f>_xlfn.XLOOKUP(Loans[[#This Row],[CustomerID]],CustomerTbl[CustomerID],CustomerTbl[RiskScore])</f>
        <v>834</v>
      </c>
      <c r="R1481" t="str">
        <f>IFERROR(INDEX(RiskTbl[Risk_Category],MATCH(Loans[[#This Row],[RiskScore]],RiskTbl[Score_Min],1)),"Unknown")</f>
        <v>Prime</v>
      </c>
      <c r="S1481" t="str">
        <f>IF(OR(Loans[[#This Row],[LoanStatus]]="Default",Loans[[#This Row],[LoanStatus]]="Watchlist",Loans[[#This Row],[CollateralRisk]]="Undersecured",Loans[[#This Row],[RiskCategory]]="High Risk"),"High Risk Exposure","Normal")</f>
        <v>Normal</v>
      </c>
      <c r="T1481" t="str" cm="1">
        <f t="array" ref="T1481">_xlfn.IFS(
Loans[[#This Row],[LoanStatus]]="Default","Critical",
OR(Loans[[#This Row],[LoanStatus]]="Watchlist",Loans[[#This Row],[CollateralRisk]]="Undersecured",Loans[[#This Row],[RiskCategory]]="High Risk"),"High",
TRUE,"Normal"
)</f>
        <v>Normal</v>
      </c>
    </row>
    <row r="1482" spans="1:20" x14ac:dyDescent="0.35">
      <c r="A1482" t="s">
        <v>2278</v>
      </c>
      <c r="B1482" t="s">
        <v>918</v>
      </c>
      <c r="C1482" t="s">
        <v>270</v>
      </c>
      <c r="D1482" t="s">
        <v>156</v>
      </c>
      <c r="E1482" s="34">
        <v>6000000</v>
      </c>
      <c r="F1482" s="29">
        <v>0.16289999999999999</v>
      </c>
      <c r="G1482" s="30">
        <v>45325</v>
      </c>
      <c r="H1482">
        <v>24</v>
      </c>
      <c r="I1482">
        <v>5</v>
      </c>
      <c r="J1482" s="34">
        <v>8700000</v>
      </c>
      <c r="K1482" t="s">
        <v>171</v>
      </c>
      <c r="L1482" s="34">
        <f>PMT(Loans[[#This Row],[InterestRate]]/12,Loans[[#This Row],[LoanTenureMonths]],-Loans[[#This Row],[LoanAmount]])</f>
        <v>294610.72980312479</v>
      </c>
      <c r="M1482" s="30">
        <f>EDATE(Loans[[#This Row],[LoanStartDate]],Loans[[#This Row],[LoanTenureMonths]])</f>
        <v>46056</v>
      </c>
      <c r="N1482" s="33">
        <f>IF(Loans[[#This Row],[LoanAmount]]=0,0,Loans[[#This Row],[CollateralValue]]/Loans[[#This Row],[LoanAmount]])</f>
        <v>1.45</v>
      </c>
      <c r="O1482" t="str">
        <f>IF(Loans[[#This Row],[CollateralCoverageRatio]]&lt;1,"Undersecured","Secured")</f>
        <v>Secured</v>
      </c>
      <c r="P1482" t="str">
        <f>_xlfn.XLOOKUP(Loans[[#This Row],[BranchCode]],BranchesTbl[BranchCode],BranchesTbl[BranchName])</f>
        <v>Nakuru</v>
      </c>
      <c r="Q1482">
        <f>_xlfn.XLOOKUP(Loans[[#This Row],[CustomerID]],CustomerTbl[CustomerID],CustomerTbl[RiskScore])</f>
        <v>731</v>
      </c>
      <c r="R1482" t="str">
        <f>IFERROR(INDEX(RiskTbl[Risk_Category],MATCH(Loans[[#This Row],[RiskScore]],RiskTbl[Score_Min],1)),"Unknown")</f>
        <v>Low Risk</v>
      </c>
      <c r="S1482" t="str">
        <f>IF(OR(Loans[[#This Row],[LoanStatus]]="Default",Loans[[#This Row],[LoanStatus]]="Watchlist",Loans[[#This Row],[CollateralRisk]]="Undersecured",Loans[[#This Row],[RiskCategory]]="High Risk"),"High Risk Exposure","Normal")</f>
        <v>Normal</v>
      </c>
      <c r="T1482" t="str" cm="1">
        <f t="array" ref="T1482">_xlfn.IFS(
Loans[[#This Row],[LoanStatus]]="Default","Critical",
OR(Loans[[#This Row],[LoanStatus]]="Watchlist",Loans[[#This Row],[CollateralRisk]]="Undersecured",Loans[[#This Row],[RiskCategory]]="High Risk"),"High",
TRUE,"Normal"
)</f>
        <v>Normal</v>
      </c>
    </row>
    <row r="1483" spans="1:20" x14ac:dyDescent="0.35">
      <c r="A1483" t="s">
        <v>2279</v>
      </c>
      <c r="B1483" t="s">
        <v>2280</v>
      </c>
      <c r="C1483" t="s">
        <v>170</v>
      </c>
      <c r="D1483" t="s">
        <v>157</v>
      </c>
      <c r="E1483" s="34">
        <v>6000000</v>
      </c>
      <c r="F1483" s="29">
        <v>0.1158</v>
      </c>
      <c r="G1483" s="30">
        <v>45421</v>
      </c>
      <c r="H1483">
        <v>72</v>
      </c>
      <c r="I1483">
        <v>0</v>
      </c>
      <c r="J1483" s="34">
        <v>4500000</v>
      </c>
      <c r="K1483" t="s">
        <v>171</v>
      </c>
      <c r="L1483" s="34">
        <f>PMT(Loans[[#This Row],[InterestRate]]/12,Loans[[#This Row],[LoanTenureMonths]],-Loans[[#This Row],[LoanAmount]])</f>
        <v>115994.82342244248</v>
      </c>
      <c r="M1483" s="30">
        <f>EDATE(Loans[[#This Row],[LoanStartDate]],Loans[[#This Row],[LoanTenureMonths]])</f>
        <v>47612</v>
      </c>
      <c r="N1483" s="33">
        <f>IF(Loans[[#This Row],[LoanAmount]]=0,0,Loans[[#This Row],[CollateralValue]]/Loans[[#This Row],[LoanAmount]])</f>
        <v>0.75</v>
      </c>
      <c r="O1483" t="str">
        <f>IF(Loans[[#This Row],[CollateralCoverageRatio]]&lt;1,"Undersecured","Secured")</f>
        <v>Undersecured</v>
      </c>
      <c r="P1483" t="str">
        <f>_xlfn.XLOOKUP(Loans[[#This Row],[BranchCode]],BranchesTbl[BranchCode],BranchesTbl[BranchName])</f>
        <v>Thika</v>
      </c>
      <c r="Q1483">
        <f>_xlfn.XLOOKUP(Loans[[#This Row],[CustomerID]],CustomerTbl[CustomerID],CustomerTbl[RiskScore])</f>
        <v>734</v>
      </c>
      <c r="R1483" t="str">
        <f>IFERROR(INDEX(RiskTbl[Risk_Category],MATCH(Loans[[#This Row],[RiskScore]],RiskTbl[Score_Min],1)),"Unknown")</f>
        <v>Low Risk</v>
      </c>
      <c r="S1483" t="str">
        <f>IF(OR(Loans[[#This Row],[LoanStatus]]="Default",Loans[[#This Row],[LoanStatus]]="Watchlist",Loans[[#This Row],[CollateralRisk]]="Undersecured",Loans[[#This Row],[RiskCategory]]="High Risk"),"High Risk Exposure","Normal")</f>
        <v>High Risk Exposure</v>
      </c>
      <c r="T1483" t="str" cm="1">
        <f t="array" ref="T1483">_xlfn.IFS(
Loans[[#This Row],[LoanStatus]]="Default","Critical",
OR(Loans[[#This Row],[LoanStatus]]="Watchlist",Loans[[#This Row],[CollateralRisk]]="Undersecured",Loans[[#This Row],[RiskCategory]]="High Risk"),"High",
TRUE,"Normal"
)</f>
        <v>High</v>
      </c>
    </row>
    <row r="1484" spans="1:20" x14ac:dyDescent="0.35">
      <c r="A1484" t="s">
        <v>2281</v>
      </c>
      <c r="B1484" t="s">
        <v>2282</v>
      </c>
      <c r="C1484" t="s">
        <v>174</v>
      </c>
      <c r="D1484" t="s">
        <v>156</v>
      </c>
      <c r="E1484" s="34">
        <v>6000000</v>
      </c>
      <c r="F1484" s="29">
        <v>0.14599999999999999</v>
      </c>
      <c r="G1484" s="30">
        <v>45498</v>
      </c>
      <c r="H1484">
        <v>36</v>
      </c>
      <c r="I1484">
        <v>5</v>
      </c>
      <c r="J1484" s="34">
        <v>6540000</v>
      </c>
      <c r="K1484" t="s">
        <v>171</v>
      </c>
      <c r="L1484" s="34">
        <f>PMT(Loans[[#This Row],[InterestRate]]/12,Loans[[#This Row],[LoanTenureMonths]],-Loans[[#This Row],[LoanAmount]])</f>
        <v>206818.60467510956</v>
      </c>
      <c r="M1484" s="30">
        <f>EDATE(Loans[[#This Row],[LoanStartDate]],Loans[[#This Row],[LoanTenureMonths]])</f>
        <v>46593</v>
      </c>
      <c r="N1484" s="33">
        <f>IF(Loans[[#This Row],[LoanAmount]]=0,0,Loans[[#This Row],[CollateralValue]]/Loans[[#This Row],[LoanAmount]])</f>
        <v>1.0900000000000001</v>
      </c>
      <c r="O1484" t="str">
        <f>IF(Loans[[#This Row],[CollateralCoverageRatio]]&lt;1,"Undersecured","Secured")</f>
        <v>Secured</v>
      </c>
      <c r="P1484" t="str">
        <f>_xlfn.XLOOKUP(Loans[[#This Row],[BranchCode]],BranchesTbl[BranchCode],BranchesTbl[BranchName])</f>
        <v>Westlands</v>
      </c>
      <c r="Q1484">
        <f>_xlfn.XLOOKUP(Loans[[#This Row],[CustomerID]],CustomerTbl[CustomerID],CustomerTbl[RiskScore])</f>
        <v>467</v>
      </c>
      <c r="R1484" t="str">
        <f>IFERROR(INDEX(RiskTbl[Risk_Category],MATCH(Loans[[#This Row],[RiskScore]],RiskTbl[Score_Min],1)),"Unknown")</f>
        <v>High Risk</v>
      </c>
      <c r="S1484" t="str">
        <f>IF(OR(Loans[[#This Row],[LoanStatus]]="Default",Loans[[#This Row],[LoanStatus]]="Watchlist",Loans[[#This Row],[CollateralRisk]]="Undersecured",Loans[[#This Row],[RiskCategory]]="High Risk"),"High Risk Exposure","Normal")</f>
        <v>High Risk Exposure</v>
      </c>
      <c r="T1484" t="str" cm="1">
        <f t="array" ref="T1484">_xlfn.IFS(
Loans[[#This Row],[LoanStatus]]="Default","Critical",
OR(Loans[[#This Row],[LoanStatus]]="Watchlist",Loans[[#This Row],[CollateralRisk]]="Undersecured",Loans[[#This Row],[RiskCategory]]="High Risk"),"High",
TRUE,"Normal"
)</f>
        <v>High</v>
      </c>
    </row>
    <row r="1485" spans="1:20" x14ac:dyDescent="0.35">
      <c r="A1485" t="s">
        <v>2283</v>
      </c>
      <c r="B1485" t="s">
        <v>829</v>
      </c>
      <c r="C1485" t="s">
        <v>239</v>
      </c>
      <c r="D1485" t="s">
        <v>158</v>
      </c>
      <c r="E1485" s="34">
        <v>500000</v>
      </c>
      <c r="F1485" s="29">
        <v>0.17829999999999999</v>
      </c>
      <c r="G1485" s="30">
        <v>43876</v>
      </c>
      <c r="H1485">
        <v>72</v>
      </c>
      <c r="I1485">
        <v>0</v>
      </c>
      <c r="J1485" s="34">
        <v>310000</v>
      </c>
      <c r="K1485" t="s">
        <v>171</v>
      </c>
      <c r="L1485" s="34">
        <f>PMT(Loans[[#This Row],[InterestRate]]/12,Loans[[#This Row],[LoanTenureMonths]],-Loans[[#This Row],[LoanAmount]])</f>
        <v>11355.896568024378</v>
      </c>
      <c r="M1485" s="30">
        <f>EDATE(Loans[[#This Row],[LoanStartDate]],Loans[[#This Row],[LoanTenureMonths]])</f>
        <v>46068</v>
      </c>
      <c r="N1485" s="33">
        <f>IF(Loans[[#This Row],[LoanAmount]]=0,0,Loans[[#This Row],[CollateralValue]]/Loans[[#This Row],[LoanAmount]])</f>
        <v>0.62</v>
      </c>
      <c r="O1485" t="str">
        <f>IF(Loans[[#This Row],[CollateralCoverageRatio]]&lt;1,"Undersecured","Secured")</f>
        <v>Undersecured</v>
      </c>
      <c r="P1485" t="str">
        <f>_xlfn.XLOOKUP(Loans[[#This Row],[BranchCode]],BranchesTbl[BranchCode],BranchesTbl[BranchName])</f>
        <v>Machakos</v>
      </c>
      <c r="Q1485">
        <f>_xlfn.XLOOKUP(Loans[[#This Row],[CustomerID]],CustomerTbl[CustomerID],CustomerTbl[RiskScore])</f>
        <v>580</v>
      </c>
      <c r="R1485" t="str">
        <f>IFERROR(INDEX(RiskTbl[Risk_Category],MATCH(Loans[[#This Row],[RiskScore]],RiskTbl[Score_Min],1)),"Unknown")</f>
        <v>Medium Risk</v>
      </c>
      <c r="S1485" t="str">
        <f>IF(OR(Loans[[#This Row],[LoanStatus]]="Default",Loans[[#This Row],[LoanStatus]]="Watchlist",Loans[[#This Row],[CollateralRisk]]="Undersecured",Loans[[#This Row],[RiskCategory]]="High Risk"),"High Risk Exposure","Normal")</f>
        <v>High Risk Exposure</v>
      </c>
      <c r="T1485" t="str" cm="1">
        <f t="array" ref="T1485">_xlfn.IFS(
Loans[[#This Row],[LoanStatus]]="Default","Critical",
OR(Loans[[#This Row],[LoanStatus]]="Watchlist",Loans[[#This Row],[CollateralRisk]]="Undersecured",Loans[[#This Row],[RiskCategory]]="High Risk"),"High",
TRUE,"Normal"
)</f>
        <v>High</v>
      </c>
    </row>
    <row r="1486" spans="1:20" x14ac:dyDescent="0.35">
      <c r="A1486" t="s">
        <v>2284</v>
      </c>
      <c r="B1486" t="s">
        <v>455</v>
      </c>
      <c r="C1486" t="s">
        <v>177</v>
      </c>
      <c r="D1486" t="s">
        <v>156</v>
      </c>
      <c r="E1486" s="34">
        <v>1000000</v>
      </c>
      <c r="F1486" s="29">
        <v>0.14330000000000001</v>
      </c>
      <c r="G1486" s="30">
        <v>43846</v>
      </c>
      <c r="H1486">
        <v>48</v>
      </c>
      <c r="I1486">
        <v>20</v>
      </c>
      <c r="J1486" s="34">
        <v>830000</v>
      </c>
      <c r="K1486" t="s">
        <v>171</v>
      </c>
      <c r="L1486" s="34">
        <f>PMT(Loans[[#This Row],[InterestRate]]/12,Loans[[#This Row],[LoanTenureMonths]],-Loans[[#This Row],[LoanAmount]])</f>
        <v>27492.302701821453</v>
      </c>
      <c r="M1486" s="30">
        <f>EDATE(Loans[[#This Row],[LoanStartDate]],Loans[[#This Row],[LoanTenureMonths]])</f>
        <v>45307</v>
      </c>
      <c r="N1486" s="33">
        <f>IF(Loans[[#This Row],[LoanAmount]]=0,0,Loans[[#This Row],[CollateralValue]]/Loans[[#This Row],[LoanAmount]])</f>
        <v>0.83</v>
      </c>
      <c r="O1486" t="str">
        <f>IF(Loans[[#This Row],[CollateralCoverageRatio]]&lt;1,"Undersecured","Secured")</f>
        <v>Undersecured</v>
      </c>
      <c r="P1486" t="str">
        <f>_xlfn.XLOOKUP(Loans[[#This Row],[BranchCode]],BranchesTbl[BranchCode],BranchesTbl[BranchName])</f>
        <v>Naivasha</v>
      </c>
      <c r="Q1486">
        <f>_xlfn.XLOOKUP(Loans[[#This Row],[CustomerID]],CustomerTbl[CustomerID],CustomerTbl[RiskScore])</f>
        <v>597</v>
      </c>
      <c r="R1486" t="str">
        <f>IFERROR(INDEX(RiskTbl[Risk_Category],MATCH(Loans[[#This Row],[RiskScore]],RiskTbl[Score_Min],1)),"Unknown")</f>
        <v>Medium Risk</v>
      </c>
      <c r="S1486" t="str">
        <f>IF(OR(Loans[[#This Row],[LoanStatus]]="Default",Loans[[#This Row],[LoanStatus]]="Watchlist",Loans[[#This Row],[CollateralRisk]]="Undersecured",Loans[[#This Row],[RiskCategory]]="High Risk"),"High Risk Exposure","Normal")</f>
        <v>High Risk Exposure</v>
      </c>
      <c r="T1486" t="str" cm="1">
        <f t="array" ref="T1486">_xlfn.IFS(
Loans[[#This Row],[LoanStatus]]="Default","Critical",
OR(Loans[[#This Row],[LoanStatus]]="Watchlist",Loans[[#This Row],[CollateralRisk]]="Undersecured",Loans[[#This Row],[RiskCategory]]="High Risk"),"High",
TRUE,"Normal"
)</f>
        <v>High</v>
      </c>
    </row>
    <row r="1487" spans="1:20" x14ac:dyDescent="0.35">
      <c r="A1487" t="s">
        <v>2285</v>
      </c>
      <c r="B1487" t="s">
        <v>1364</v>
      </c>
      <c r="C1487" t="s">
        <v>267</v>
      </c>
      <c r="D1487" t="s">
        <v>155</v>
      </c>
      <c r="E1487" s="34">
        <v>250000</v>
      </c>
      <c r="F1487" s="29">
        <v>0.20979999999999999</v>
      </c>
      <c r="G1487" s="30">
        <v>44449</v>
      </c>
      <c r="H1487">
        <v>60</v>
      </c>
      <c r="I1487">
        <v>5</v>
      </c>
      <c r="J1487" s="34">
        <v>0</v>
      </c>
      <c r="K1487" t="s">
        <v>171</v>
      </c>
      <c r="L1487" s="34">
        <f>PMT(Loans[[#This Row],[InterestRate]]/12,Loans[[#This Row],[LoanTenureMonths]],-Loans[[#This Row],[LoanAmount]])</f>
        <v>6760.5276274923508</v>
      </c>
      <c r="M1487" s="30">
        <f>EDATE(Loans[[#This Row],[LoanStartDate]],Loans[[#This Row],[LoanTenureMonths]])</f>
        <v>46275</v>
      </c>
      <c r="N1487" s="33">
        <f>IF(Loans[[#This Row],[LoanAmount]]=0,0,Loans[[#This Row],[CollateralValue]]/Loans[[#This Row],[LoanAmount]])</f>
        <v>0</v>
      </c>
      <c r="O1487" t="str">
        <f>IF(Loans[[#This Row],[CollateralCoverageRatio]]&lt;1,"Undersecured","Secured")</f>
        <v>Undersecured</v>
      </c>
      <c r="P1487" t="str">
        <f>_xlfn.XLOOKUP(Loans[[#This Row],[BranchCode]],BranchesTbl[BranchCode],BranchesTbl[BranchName])</f>
        <v>Malindi</v>
      </c>
      <c r="Q1487">
        <f>_xlfn.XLOOKUP(Loans[[#This Row],[CustomerID]],CustomerTbl[CustomerID],CustomerTbl[RiskScore])</f>
        <v>325</v>
      </c>
      <c r="R1487" t="str">
        <f>IFERROR(INDEX(RiskTbl[Risk_Category],MATCH(Loans[[#This Row],[RiskScore]],RiskTbl[Score_Min],1)),"Unknown")</f>
        <v>High Risk</v>
      </c>
      <c r="S1487" t="str">
        <f>IF(OR(Loans[[#This Row],[LoanStatus]]="Default",Loans[[#This Row],[LoanStatus]]="Watchlist",Loans[[#This Row],[CollateralRisk]]="Undersecured",Loans[[#This Row],[RiskCategory]]="High Risk"),"High Risk Exposure","Normal")</f>
        <v>High Risk Exposure</v>
      </c>
      <c r="T1487" t="str" cm="1">
        <f t="array" ref="T1487">_xlfn.IFS(
Loans[[#This Row],[LoanStatus]]="Default","Critical",
OR(Loans[[#This Row],[LoanStatus]]="Watchlist",Loans[[#This Row],[CollateralRisk]]="Undersecured",Loans[[#This Row],[RiskCategory]]="High Risk"),"High",
TRUE,"Normal"
)</f>
        <v>High</v>
      </c>
    </row>
    <row r="1488" spans="1:20" x14ac:dyDescent="0.35">
      <c r="A1488" t="s">
        <v>2286</v>
      </c>
      <c r="B1488" t="s">
        <v>1569</v>
      </c>
      <c r="C1488" t="s">
        <v>184</v>
      </c>
      <c r="D1488" t="s">
        <v>158</v>
      </c>
      <c r="E1488" s="34">
        <v>1000000</v>
      </c>
      <c r="F1488" s="29">
        <v>0.16089999999999999</v>
      </c>
      <c r="G1488" s="30">
        <v>44493</v>
      </c>
      <c r="H1488">
        <v>24</v>
      </c>
      <c r="I1488">
        <v>5</v>
      </c>
      <c r="J1488" s="34">
        <v>960000</v>
      </c>
      <c r="K1488" t="s">
        <v>171</v>
      </c>
      <c r="L1488" s="34">
        <f>PMT(Loans[[#This Row],[InterestRate]]/12,Loans[[#This Row],[LoanTenureMonths]],-Loans[[#This Row],[LoanAmount]])</f>
        <v>49006.124237864227</v>
      </c>
      <c r="M1488" s="30">
        <f>EDATE(Loans[[#This Row],[LoanStartDate]],Loans[[#This Row],[LoanTenureMonths]])</f>
        <v>45223</v>
      </c>
      <c r="N1488" s="33">
        <f>IF(Loans[[#This Row],[LoanAmount]]=0,0,Loans[[#This Row],[CollateralValue]]/Loans[[#This Row],[LoanAmount]])</f>
        <v>0.96</v>
      </c>
      <c r="O1488" t="str">
        <f>IF(Loans[[#This Row],[CollateralCoverageRatio]]&lt;1,"Undersecured","Secured")</f>
        <v>Undersecured</v>
      </c>
      <c r="P1488" t="str">
        <f>_xlfn.XLOOKUP(Loans[[#This Row],[BranchCode]],BranchesTbl[BranchCode],BranchesTbl[BranchName])</f>
        <v>Kisumu</v>
      </c>
      <c r="Q1488">
        <f>_xlfn.XLOOKUP(Loans[[#This Row],[CustomerID]],CustomerTbl[CustomerID],CustomerTbl[RiskScore])</f>
        <v>621</v>
      </c>
      <c r="R1488" t="str">
        <f>IFERROR(INDEX(RiskTbl[Risk_Category],MATCH(Loans[[#This Row],[RiskScore]],RiskTbl[Score_Min],1)),"Unknown")</f>
        <v>Medium Risk</v>
      </c>
      <c r="S1488" t="str">
        <f>IF(OR(Loans[[#This Row],[LoanStatus]]="Default",Loans[[#This Row],[LoanStatus]]="Watchlist",Loans[[#This Row],[CollateralRisk]]="Undersecured",Loans[[#This Row],[RiskCategory]]="High Risk"),"High Risk Exposure","Normal")</f>
        <v>High Risk Exposure</v>
      </c>
      <c r="T1488" t="str" cm="1">
        <f t="array" ref="T1488">_xlfn.IFS(
Loans[[#This Row],[LoanStatus]]="Default","Critical",
OR(Loans[[#This Row],[LoanStatus]]="Watchlist",Loans[[#This Row],[CollateralRisk]]="Undersecured",Loans[[#This Row],[RiskCategory]]="High Risk"),"High",
TRUE,"Normal"
)</f>
        <v>High</v>
      </c>
    </row>
    <row r="1489" spans="1:20" x14ac:dyDescent="0.35">
      <c r="A1489" t="s">
        <v>2287</v>
      </c>
      <c r="B1489" t="s">
        <v>2288</v>
      </c>
      <c r="C1489" t="s">
        <v>187</v>
      </c>
      <c r="D1489" t="s">
        <v>156</v>
      </c>
      <c r="E1489" s="34">
        <v>1000000</v>
      </c>
      <c r="F1489" s="29">
        <v>0.16950000000000001</v>
      </c>
      <c r="G1489" s="30">
        <v>45463</v>
      </c>
      <c r="H1489">
        <v>24</v>
      </c>
      <c r="I1489">
        <v>45</v>
      </c>
      <c r="J1489" s="34">
        <v>1120000</v>
      </c>
      <c r="K1489" t="s">
        <v>199</v>
      </c>
      <c r="L1489" s="34">
        <f>PMT(Loans[[#This Row],[InterestRate]]/12,Loans[[#This Row],[LoanTenureMonths]],-Loans[[#This Row],[LoanAmount]])</f>
        <v>49418.242597476805</v>
      </c>
      <c r="M1489" s="30">
        <f>EDATE(Loans[[#This Row],[LoanStartDate]],Loans[[#This Row],[LoanTenureMonths]])</f>
        <v>46193</v>
      </c>
      <c r="N1489" s="33">
        <f>IF(Loans[[#This Row],[LoanAmount]]=0,0,Loans[[#This Row],[CollateralValue]]/Loans[[#This Row],[LoanAmount]])</f>
        <v>1.1200000000000001</v>
      </c>
      <c r="O1489" t="str">
        <f>IF(Loans[[#This Row],[CollateralCoverageRatio]]&lt;1,"Undersecured","Secured")</f>
        <v>Secured</v>
      </c>
      <c r="P1489" t="str">
        <f>_xlfn.XLOOKUP(Loans[[#This Row],[BranchCode]],BranchesTbl[BranchCode],BranchesTbl[BranchName])</f>
        <v>Eldoret</v>
      </c>
      <c r="Q1489">
        <f>_xlfn.XLOOKUP(Loans[[#This Row],[CustomerID]],CustomerTbl[CustomerID],CustomerTbl[RiskScore])</f>
        <v>763</v>
      </c>
      <c r="R1489" t="str">
        <f>IFERROR(INDEX(RiskTbl[Risk_Category],MATCH(Loans[[#This Row],[RiskScore]],RiskTbl[Score_Min],1)),"Unknown")</f>
        <v>Very Low Risk</v>
      </c>
      <c r="S1489" t="str">
        <f>IF(OR(Loans[[#This Row],[LoanStatus]]="Default",Loans[[#This Row],[LoanStatus]]="Watchlist",Loans[[#This Row],[CollateralRisk]]="Undersecured",Loans[[#This Row],[RiskCategory]]="High Risk"),"High Risk Exposure","Normal")</f>
        <v>High Risk Exposure</v>
      </c>
      <c r="T1489" t="str" cm="1">
        <f t="array" ref="T1489">_xlfn.IFS(
Loans[[#This Row],[LoanStatus]]="Default","Critical",
OR(Loans[[#This Row],[LoanStatus]]="Watchlist",Loans[[#This Row],[CollateralRisk]]="Undersecured",Loans[[#This Row],[RiskCategory]]="High Risk"),"High",
TRUE,"Normal"
)</f>
        <v>High</v>
      </c>
    </row>
    <row r="1490" spans="1:20" x14ac:dyDescent="0.35">
      <c r="A1490" t="s">
        <v>2289</v>
      </c>
      <c r="B1490" t="s">
        <v>629</v>
      </c>
      <c r="C1490" t="s">
        <v>239</v>
      </c>
      <c r="D1490" t="s">
        <v>157</v>
      </c>
      <c r="E1490" s="34">
        <v>6000000</v>
      </c>
      <c r="F1490" s="29">
        <v>0.11559999999999999</v>
      </c>
      <c r="G1490" s="30">
        <v>45905</v>
      </c>
      <c r="H1490">
        <v>48</v>
      </c>
      <c r="I1490">
        <v>10</v>
      </c>
      <c r="J1490" s="34">
        <v>3540000</v>
      </c>
      <c r="K1490" t="s">
        <v>171</v>
      </c>
      <c r="L1490" s="34">
        <f>PMT(Loans[[#This Row],[InterestRate]]/12,Loans[[#This Row],[LoanTenureMonths]],-Loans[[#This Row],[LoanAmount]])</f>
        <v>156709.90433332999</v>
      </c>
      <c r="M1490" s="30">
        <f>EDATE(Loans[[#This Row],[LoanStartDate]],Loans[[#This Row],[LoanTenureMonths]])</f>
        <v>47366</v>
      </c>
      <c r="N1490" s="33">
        <f>IF(Loans[[#This Row],[LoanAmount]]=0,0,Loans[[#This Row],[CollateralValue]]/Loans[[#This Row],[LoanAmount]])</f>
        <v>0.59</v>
      </c>
      <c r="O1490" t="str">
        <f>IF(Loans[[#This Row],[CollateralCoverageRatio]]&lt;1,"Undersecured","Secured")</f>
        <v>Undersecured</v>
      </c>
      <c r="P1490" t="str">
        <f>_xlfn.XLOOKUP(Loans[[#This Row],[BranchCode]],BranchesTbl[BranchCode],BranchesTbl[BranchName])</f>
        <v>Machakos</v>
      </c>
      <c r="Q1490">
        <f>_xlfn.XLOOKUP(Loans[[#This Row],[CustomerID]],CustomerTbl[CustomerID],CustomerTbl[RiskScore])</f>
        <v>746</v>
      </c>
      <c r="R1490" t="str">
        <f>IFERROR(INDEX(RiskTbl[Risk_Category],MATCH(Loans[[#This Row],[RiskScore]],RiskTbl[Score_Min],1)),"Unknown")</f>
        <v>Very Low Risk</v>
      </c>
      <c r="S1490" t="str">
        <f>IF(OR(Loans[[#This Row],[LoanStatus]]="Default",Loans[[#This Row],[LoanStatus]]="Watchlist",Loans[[#This Row],[CollateralRisk]]="Undersecured",Loans[[#This Row],[RiskCategory]]="High Risk"),"High Risk Exposure","Normal")</f>
        <v>High Risk Exposure</v>
      </c>
      <c r="T1490" t="str" cm="1">
        <f t="array" ref="T1490">_xlfn.IFS(
Loans[[#This Row],[LoanStatus]]="Default","Critical",
OR(Loans[[#This Row],[LoanStatus]]="Watchlist",Loans[[#This Row],[CollateralRisk]]="Undersecured",Loans[[#This Row],[RiskCategory]]="High Risk"),"High",
TRUE,"Normal"
)</f>
        <v>High</v>
      </c>
    </row>
    <row r="1491" spans="1:20" x14ac:dyDescent="0.35">
      <c r="A1491" t="s">
        <v>2290</v>
      </c>
      <c r="B1491" t="s">
        <v>249</v>
      </c>
      <c r="C1491" t="s">
        <v>184</v>
      </c>
      <c r="D1491" t="s">
        <v>156</v>
      </c>
      <c r="E1491" s="34">
        <v>1000000</v>
      </c>
      <c r="F1491" s="29">
        <v>0.20039999999999999</v>
      </c>
      <c r="G1491" s="30">
        <v>45853</v>
      </c>
      <c r="H1491">
        <v>60</v>
      </c>
      <c r="I1491">
        <v>0</v>
      </c>
      <c r="J1491" s="34">
        <v>1460000</v>
      </c>
      <c r="K1491" t="s">
        <v>171</v>
      </c>
      <c r="L1491" s="34">
        <f>PMT(Loans[[#This Row],[InterestRate]]/12,Loans[[#This Row],[LoanTenureMonths]],-Loans[[#This Row],[LoanAmount]])</f>
        <v>26516.145245032094</v>
      </c>
      <c r="M1491" s="30">
        <f>EDATE(Loans[[#This Row],[LoanStartDate]],Loans[[#This Row],[LoanTenureMonths]])</f>
        <v>47679</v>
      </c>
      <c r="N1491" s="33">
        <f>IF(Loans[[#This Row],[LoanAmount]]=0,0,Loans[[#This Row],[CollateralValue]]/Loans[[#This Row],[LoanAmount]])</f>
        <v>1.46</v>
      </c>
      <c r="O1491" t="str">
        <f>IF(Loans[[#This Row],[CollateralCoverageRatio]]&lt;1,"Undersecured","Secured")</f>
        <v>Secured</v>
      </c>
      <c r="P1491" t="str">
        <f>_xlfn.XLOOKUP(Loans[[#This Row],[BranchCode]],BranchesTbl[BranchCode],BranchesTbl[BranchName])</f>
        <v>Kisumu</v>
      </c>
      <c r="Q1491">
        <f>_xlfn.XLOOKUP(Loans[[#This Row],[CustomerID]],CustomerTbl[CustomerID],CustomerTbl[RiskScore])</f>
        <v>639</v>
      </c>
      <c r="R1491" t="str">
        <f>IFERROR(INDEX(RiskTbl[Risk_Category],MATCH(Loans[[#This Row],[RiskScore]],RiskTbl[Score_Min],1)),"Unknown")</f>
        <v>Medium Risk</v>
      </c>
      <c r="S1491" t="str">
        <f>IF(OR(Loans[[#This Row],[LoanStatus]]="Default",Loans[[#This Row],[LoanStatus]]="Watchlist",Loans[[#This Row],[CollateralRisk]]="Undersecured",Loans[[#This Row],[RiskCategory]]="High Risk"),"High Risk Exposure","Normal")</f>
        <v>Normal</v>
      </c>
      <c r="T1491" t="str" cm="1">
        <f t="array" ref="T1491">_xlfn.IFS(
Loans[[#This Row],[LoanStatus]]="Default","Critical",
OR(Loans[[#This Row],[LoanStatus]]="Watchlist",Loans[[#This Row],[CollateralRisk]]="Undersecured",Loans[[#This Row],[RiskCategory]]="High Risk"),"High",
TRUE,"Normal"
)</f>
        <v>Normal</v>
      </c>
    </row>
    <row r="1492" spans="1:20" x14ac:dyDescent="0.35">
      <c r="A1492" t="s">
        <v>2291</v>
      </c>
      <c r="B1492" t="s">
        <v>1808</v>
      </c>
      <c r="C1492" t="s">
        <v>239</v>
      </c>
      <c r="D1492" t="s">
        <v>156</v>
      </c>
      <c r="E1492" s="34">
        <v>6000000</v>
      </c>
      <c r="F1492" s="29">
        <v>0.14419999999999999</v>
      </c>
      <c r="G1492" s="30">
        <v>44848</v>
      </c>
      <c r="H1492">
        <v>60</v>
      </c>
      <c r="I1492">
        <v>0</v>
      </c>
      <c r="J1492" s="34">
        <v>8760000</v>
      </c>
      <c r="K1492" t="s">
        <v>171</v>
      </c>
      <c r="L1492" s="34">
        <f>PMT(Loans[[#This Row],[InterestRate]]/12,Loans[[#This Row],[LoanTenureMonths]],-Loans[[#This Row],[LoanAmount]])</f>
        <v>140919.40372874131</v>
      </c>
      <c r="M1492" s="30">
        <f>EDATE(Loans[[#This Row],[LoanStartDate]],Loans[[#This Row],[LoanTenureMonths]])</f>
        <v>46674</v>
      </c>
      <c r="N1492" s="33">
        <f>IF(Loans[[#This Row],[LoanAmount]]=0,0,Loans[[#This Row],[CollateralValue]]/Loans[[#This Row],[LoanAmount]])</f>
        <v>1.46</v>
      </c>
      <c r="O1492" t="str">
        <f>IF(Loans[[#This Row],[CollateralCoverageRatio]]&lt;1,"Undersecured","Secured")</f>
        <v>Secured</v>
      </c>
      <c r="P1492" t="str">
        <f>_xlfn.XLOOKUP(Loans[[#This Row],[BranchCode]],BranchesTbl[BranchCode],BranchesTbl[BranchName])</f>
        <v>Machakos</v>
      </c>
      <c r="Q1492">
        <f>_xlfn.XLOOKUP(Loans[[#This Row],[CustomerID]],CustomerTbl[CustomerID],CustomerTbl[RiskScore])</f>
        <v>688</v>
      </c>
      <c r="R1492" t="str">
        <f>IFERROR(INDEX(RiskTbl[Risk_Category],MATCH(Loans[[#This Row],[RiskScore]],RiskTbl[Score_Min],1)),"Unknown")</f>
        <v>Low Risk</v>
      </c>
      <c r="S1492" t="str">
        <f>IF(OR(Loans[[#This Row],[LoanStatus]]="Default",Loans[[#This Row],[LoanStatus]]="Watchlist",Loans[[#This Row],[CollateralRisk]]="Undersecured",Loans[[#This Row],[RiskCategory]]="High Risk"),"High Risk Exposure","Normal")</f>
        <v>Normal</v>
      </c>
      <c r="T1492" t="str" cm="1">
        <f t="array" ref="T1492">_xlfn.IFS(
Loans[[#This Row],[LoanStatus]]="Default","Critical",
OR(Loans[[#This Row],[LoanStatus]]="Watchlist",Loans[[#This Row],[CollateralRisk]]="Undersecured",Loans[[#This Row],[RiskCategory]]="High Risk"),"High",
TRUE,"Normal"
)</f>
        <v>Normal</v>
      </c>
    </row>
    <row r="1493" spans="1:20" x14ac:dyDescent="0.35">
      <c r="A1493" t="s">
        <v>2292</v>
      </c>
      <c r="B1493" t="s">
        <v>2293</v>
      </c>
      <c r="C1493" t="s">
        <v>232</v>
      </c>
      <c r="D1493" t="s">
        <v>157</v>
      </c>
      <c r="E1493" s="34">
        <v>6000000</v>
      </c>
      <c r="F1493" s="29">
        <v>0.12529999999999999</v>
      </c>
      <c r="G1493" s="30">
        <v>44671</v>
      </c>
      <c r="H1493">
        <v>24</v>
      </c>
      <c r="I1493">
        <v>45</v>
      </c>
      <c r="J1493" s="34">
        <v>5400000</v>
      </c>
      <c r="K1493" t="s">
        <v>199</v>
      </c>
      <c r="L1493" s="34">
        <f>PMT(Loans[[#This Row],[InterestRate]]/12,Loans[[#This Row],[LoanTenureMonths]],-Loans[[#This Row],[LoanAmount]])</f>
        <v>283928.15984983795</v>
      </c>
      <c r="M1493" s="30">
        <f>EDATE(Loans[[#This Row],[LoanStartDate]],Loans[[#This Row],[LoanTenureMonths]])</f>
        <v>45402</v>
      </c>
      <c r="N1493" s="33">
        <f>IF(Loans[[#This Row],[LoanAmount]]=0,0,Loans[[#This Row],[CollateralValue]]/Loans[[#This Row],[LoanAmount]])</f>
        <v>0.9</v>
      </c>
      <c r="O1493" t="str">
        <f>IF(Loans[[#This Row],[CollateralCoverageRatio]]&lt;1,"Undersecured","Secured")</f>
        <v>Undersecured</v>
      </c>
      <c r="P1493" t="str">
        <f>_xlfn.XLOOKUP(Loans[[#This Row],[BranchCode]],BranchesTbl[BranchCode],BranchesTbl[BranchName])</f>
        <v>Upper Hill</v>
      </c>
      <c r="Q1493">
        <f>_xlfn.XLOOKUP(Loans[[#This Row],[CustomerID]],CustomerTbl[CustomerID],CustomerTbl[RiskScore])</f>
        <v>549</v>
      </c>
      <c r="R1493" t="str">
        <f>IFERROR(INDEX(RiskTbl[Risk_Category],MATCH(Loans[[#This Row],[RiskScore]],RiskTbl[Score_Min],1)),"Unknown")</f>
        <v>High Risk</v>
      </c>
      <c r="S1493" t="str">
        <f>IF(OR(Loans[[#This Row],[LoanStatus]]="Default",Loans[[#This Row],[LoanStatus]]="Watchlist",Loans[[#This Row],[CollateralRisk]]="Undersecured",Loans[[#This Row],[RiskCategory]]="High Risk"),"High Risk Exposure","Normal")</f>
        <v>High Risk Exposure</v>
      </c>
      <c r="T1493" t="str" cm="1">
        <f t="array" ref="T1493">_xlfn.IFS(
Loans[[#This Row],[LoanStatus]]="Default","Critical",
OR(Loans[[#This Row],[LoanStatus]]="Watchlist",Loans[[#This Row],[CollateralRisk]]="Undersecured",Loans[[#This Row],[RiskCategory]]="High Risk"),"High",
TRUE,"Normal"
)</f>
        <v>High</v>
      </c>
    </row>
    <row r="1494" spans="1:20" x14ac:dyDescent="0.35">
      <c r="A1494" t="s">
        <v>2294</v>
      </c>
      <c r="B1494" t="s">
        <v>2244</v>
      </c>
      <c r="C1494" t="s">
        <v>196</v>
      </c>
      <c r="D1494" t="s">
        <v>155</v>
      </c>
      <c r="E1494" s="34">
        <v>500000</v>
      </c>
      <c r="F1494" s="29">
        <v>0.2722</v>
      </c>
      <c r="G1494" s="30">
        <v>44389</v>
      </c>
      <c r="H1494">
        <v>72</v>
      </c>
      <c r="I1494">
        <v>120</v>
      </c>
      <c r="J1494" s="34">
        <v>0</v>
      </c>
      <c r="K1494" t="s">
        <v>178</v>
      </c>
      <c r="L1494" s="34">
        <f>PMT(Loans[[#This Row],[InterestRate]]/12,Loans[[#This Row],[LoanTenureMonths]],-Loans[[#This Row],[LoanAmount]])</f>
        <v>14157.619674115202</v>
      </c>
      <c r="M1494" s="30">
        <f>EDATE(Loans[[#This Row],[LoanStartDate]],Loans[[#This Row],[LoanTenureMonths]])</f>
        <v>46580</v>
      </c>
      <c r="N1494" s="33">
        <f>IF(Loans[[#This Row],[LoanAmount]]=0,0,Loans[[#This Row],[CollateralValue]]/Loans[[#This Row],[LoanAmount]])</f>
        <v>0</v>
      </c>
      <c r="O1494" t="str">
        <f>IF(Loans[[#This Row],[CollateralCoverageRatio]]&lt;1,"Undersecured","Secured")</f>
        <v>Undersecured</v>
      </c>
      <c r="P1494" t="str">
        <f>_xlfn.XLOOKUP(Loans[[#This Row],[BranchCode]],BranchesTbl[BranchCode],BranchesTbl[BranchName])</f>
        <v>Karen</v>
      </c>
      <c r="Q1494">
        <f>_xlfn.XLOOKUP(Loans[[#This Row],[CustomerID]],CustomerTbl[CustomerID],CustomerTbl[RiskScore])</f>
        <v>625</v>
      </c>
      <c r="R1494" t="str">
        <f>IFERROR(INDEX(RiskTbl[Risk_Category],MATCH(Loans[[#This Row],[RiskScore]],RiskTbl[Score_Min],1)),"Unknown")</f>
        <v>Medium Risk</v>
      </c>
      <c r="S1494" t="str">
        <f>IF(OR(Loans[[#This Row],[LoanStatus]]="Default",Loans[[#This Row],[LoanStatus]]="Watchlist",Loans[[#This Row],[CollateralRisk]]="Undersecured",Loans[[#This Row],[RiskCategory]]="High Risk"),"High Risk Exposure","Normal")</f>
        <v>High Risk Exposure</v>
      </c>
      <c r="T1494" t="str" cm="1">
        <f t="array" ref="T1494">_xlfn.IFS(
Loans[[#This Row],[LoanStatus]]="Default","Critical",
OR(Loans[[#This Row],[LoanStatus]]="Watchlist",Loans[[#This Row],[CollateralRisk]]="Undersecured",Loans[[#This Row],[RiskCategory]]="High Risk"),"High",
TRUE,"Normal"
)</f>
        <v>Critical</v>
      </c>
    </row>
    <row r="1495" spans="1:20" x14ac:dyDescent="0.35">
      <c r="A1495" t="s">
        <v>2295</v>
      </c>
      <c r="B1495" t="s">
        <v>1377</v>
      </c>
      <c r="C1495" t="s">
        <v>187</v>
      </c>
      <c r="D1495" t="s">
        <v>158</v>
      </c>
      <c r="E1495" s="34">
        <v>6000000</v>
      </c>
      <c r="F1495" s="29">
        <v>0.19189999999999999</v>
      </c>
      <c r="G1495" s="30">
        <v>45970</v>
      </c>
      <c r="H1495">
        <v>36</v>
      </c>
      <c r="I1495">
        <v>0</v>
      </c>
      <c r="J1495" s="34">
        <v>8520000</v>
      </c>
      <c r="K1495" t="s">
        <v>171</v>
      </c>
      <c r="L1495" s="34">
        <f>PMT(Loans[[#This Row],[InterestRate]]/12,Loans[[#This Row],[LoanTenureMonths]],-Loans[[#This Row],[LoanAmount]])</f>
        <v>220512.92706548003</v>
      </c>
      <c r="M1495" s="30">
        <f>EDATE(Loans[[#This Row],[LoanStartDate]],Loans[[#This Row],[LoanTenureMonths]])</f>
        <v>47066</v>
      </c>
      <c r="N1495" s="33">
        <f>IF(Loans[[#This Row],[LoanAmount]]=0,0,Loans[[#This Row],[CollateralValue]]/Loans[[#This Row],[LoanAmount]])</f>
        <v>1.42</v>
      </c>
      <c r="O1495" t="str">
        <f>IF(Loans[[#This Row],[CollateralCoverageRatio]]&lt;1,"Undersecured","Secured")</f>
        <v>Secured</v>
      </c>
      <c r="P1495" t="str">
        <f>_xlfn.XLOOKUP(Loans[[#This Row],[BranchCode]],BranchesTbl[BranchCode],BranchesTbl[BranchName])</f>
        <v>Eldoret</v>
      </c>
      <c r="Q1495">
        <f>_xlfn.XLOOKUP(Loans[[#This Row],[CustomerID]],CustomerTbl[CustomerID],CustomerTbl[RiskScore])</f>
        <v>682</v>
      </c>
      <c r="R1495" t="str">
        <f>IFERROR(INDEX(RiskTbl[Risk_Category],MATCH(Loans[[#This Row],[RiskScore]],RiskTbl[Score_Min],1)),"Unknown")</f>
        <v>Low Risk</v>
      </c>
      <c r="S1495" t="str">
        <f>IF(OR(Loans[[#This Row],[LoanStatus]]="Default",Loans[[#This Row],[LoanStatus]]="Watchlist",Loans[[#This Row],[CollateralRisk]]="Undersecured",Loans[[#This Row],[RiskCategory]]="High Risk"),"High Risk Exposure","Normal")</f>
        <v>Normal</v>
      </c>
      <c r="T1495" t="str" cm="1">
        <f t="array" ref="T1495">_xlfn.IFS(
Loans[[#This Row],[LoanStatus]]="Default","Critical",
OR(Loans[[#This Row],[LoanStatus]]="Watchlist",Loans[[#This Row],[CollateralRisk]]="Undersecured",Loans[[#This Row],[RiskCategory]]="High Risk"),"High",
TRUE,"Normal"
)</f>
        <v>Normal</v>
      </c>
    </row>
    <row r="1496" spans="1:20" x14ac:dyDescent="0.35">
      <c r="A1496" t="s">
        <v>2296</v>
      </c>
      <c r="B1496" t="s">
        <v>1683</v>
      </c>
      <c r="C1496" t="s">
        <v>184</v>
      </c>
      <c r="D1496" t="s">
        <v>158</v>
      </c>
      <c r="E1496" s="34">
        <v>3000000</v>
      </c>
      <c r="F1496" s="29">
        <v>0.14360000000000001</v>
      </c>
      <c r="G1496" s="30">
        <v>45724</v>
      </c>
      <c r="H1496">
        <v>60</v>
      </c>
      <c r="I1496">
        <v>90</v>
      </c>
      <c r="J1496" s="34">
        <v>3870000</v>
      </c>
      <c r="K1496" t="s">
        <v>199</v>
      </c>
      <c r="L1496" s="34">
        <f>PMT(Loans[[#This Row],[InterestRate]]/12,Loans[[#This Row],[LoanTenureMonths]],-Loans[[#This Row],[LoanAmount]])</f>
        <v>70365.927467078247</v>
      </c>
      <c r="M1496" s="30">
        <f>EDATE(Loans[[#This Row],[LoanStartDate]],Loans[[#This Row],[LoanTenureMonths]])</f>
        <v>47550</v>
      </c>
      <c r="N1496" s="33">
        <f>IF(Loans[[#This Row],[LoanAmount]]=0,0,Loans[[#This Row],[CollateralValue]]/Loans[[#This Row],[LoanAmount]])</f>
        <v>1.29</v>
      </c>
      <c r="O1496" t="str">
        <f>IF(Loans[[#This Row],[CollateralCoverageRatio]]&lt;1,"Undersecured","Secured")</f>
        <v>Secured</v>
      </c>
      <c r="P1496" t="str">
        <f>_xlfn.XLOOKUP(Loans[[#This Row],[BranchCode]],BranchesTbl[BranchCode],BranchesTbl[BranchName])</f>
        <v>Kisumu</v>
      </c>
      <c r="Q1496">
        <f>_xlfn.XLOOKUP(Loans[[#This Row],[CustomerID]],CustomerTbl[CustomerID],CustomerTbl[RiskScore])</f>
        <v>322</v>
      </c>
      <c r="R1496" t="str">
        <f>IFERROR(INDEX(RiskTbl[Risk_Category],MATCH(Loans[[#This Row],[RiskScore]],RiskTbl[Score_Min],1)),"Unknown")</f>
        <v>High Risk</v>
      </c>
      <c r="S1496" t="str">
        <f>IF(OR(Loans[[#This Row],[LoanStatus]]="Default",Loans[[#This Row],[LoanStatus]]="Watchlist",Loans[[#This Row],[CollateralRisk]]="Undersecured",Loans[[#This Row],[RiskCategory]]="High Risk"),"High Risk Exposure","Normal")</f>
        <v>High Risk Exposure</v>
      </c>
      <c r="T1496" t="str" cm="1">
        <f t="array" ref="T1496">_xlfn.IFS(
Loans[[#This Row],[LoanStatus]]="Default","Critical",
OR(Loans[[#This Row],[LoanStatus]]="Watchlist",Loans[[#This Row],[CollateralRisk]]="Undersecured",Loans[[#This Row],[RiskCategory]]="High Risk"),"High",
TRUE,"Normal"
)</f>
        <v>High</v>
      </c>
    </row>
    <row r="1497" spans="1:20" x14ac:dyDescent="0.35">
      <c r="A1497" t="s">
        <v>2297</v>
      </c>
      <c r="B1497" t="s">
        <v>728</v>
      </c>
      <c r="C1497" t="s">
        <v>190</v>
      </c>
      <c r="D1497" t="s">
        <v>158</v>
      </c>
      <c r="E1497" s="34">
        <v>6000000</v>
      </c>
      <c r="F1497" s="29">
        <v>0.19600000000000001</v>
      </c>
      <c r="G1497" s="30">
        <v>45421</v>
      </c>
      <c r="H1497">
        <v>36</v>
      </c>
      <c r="I1497">
        <v>45</v>
      </c>
      <c r="J1497" s="34">
        <v>6900000</v>
      </c>
      <c r="K1497" t="s">
        <v>199</v>
      </c>
      <c r="L1497" s="34">
        <f>PMT(Loans[[#This Row],[InterestRate]]/12,Loans[[#This Row],[LoanTenureMonths]],-Loans[[#This Row],[LoanAmount]])</f>
        <v>221760.51909576164</v>
      </c>
      <c r="M1497" s="30">
        <f>EDATE(Loans[[#This Row],[LoanStartDate]],Loans[[#This Row],[LoanTenureMonths]])</f>
        <v>46516</v>
      </c>
      <c r="N1497" s="33">
        <f>IF(Loans[[#This Row],[LoanAmount]]=0,0,Loans[[#This Row],[CollateralValue]]/Loans[[#This Row],[LoanAmount]])</f>
        <v>1.1499999999999999</v>
      </c>
      <c r="O1497" t="str">
        <f>IF(Loans[[#This Row],[CollateralCoverageRatio]]&lt;1,"Undersecured","Secured")</f>
        <v>Secured</v>
      </c>
      <c r="P1497" t="str">
        <f>_xlfn.XLOOKUP(Loans[[#This Row],[BranchCode]],BranchesTbl[BranchCode],BranchesTbl[BranchName])</f>
        <v>Nyeri</v>
      </c>
      <c r="Q1497">
        <f>_xlfn.XLOOKUP(Loans[[#This Row],[CustomerID]],CustomerTbl[CustomerID],CustomerTbl[RiskScore])</f>
        <v>811</v>
      </c>
      <c r="R1497" t="str">
        <f>IFERROR(INDEX(RiskTbl[Risk_Category],MATCH(Loans[[#This Row],[RiskScore]],RiskTbl[Score_Min],1)),"Unknown")</f>
        <v>Prime</v>
      </c>
      <c r="S1497" t="str">
        <f>IF(OR(Loans[[#This Row],[LoanStatus]]="Default",Loans[[#This Row],[LoanStatus]]="Watchlist",Loans[[#This Row],[CollateralRisk]]="Undersecured",Loans[[#This Row],[RiskCategory]]="High Risk"),"High Risk Exposure","Normal")</f>
        <v>High Risk Exposure</v>
      </c>
      <c r="T1497" t="str" cm="1">
        <f t="array" ref="T1497">_xlfn.IFS(
Loans[[#This Row],[LoanStatus]]="Default","Critical",
OR(Loans[[#This Row],[LoanStatus]]="Watchlist",Loans[[#This Row],[CollateralRisk]]="Undersecured",Loans[[#This Row],[RiskCategory]]="High Risk"),"High",
TRUE,"Normal"
)</f>
        <v>High</v>
      </c>
    </row>
    <row r="1498" spans="1:20" x14ac:dyDescent="0.35">
      <c r="A1498" t="s">
        <v>2298</v>
      </c>
      <c r="B1498" t="s">
        <v>1419</v>
      </c>
      <c r="C1498" t="s">
        <v>184</v>
      </c>
      <c r="D1498" t="s">
        <v>155</v>
      </c>
      <c r="E1498" s="34">
        <v>500000</v>
      </c>
      <c r="F1498" s="29">
        <v>0.20730000000000001</v>
      </c>
      <c r="G1498" s="30">
        <v>45085</v>
      </c>
      <c r="H1498">
        <v>60</v>
      </c>
      <c r="I1498">
        <v>20</v>
      </c>
      <c r="J1498" s="34">
        <v>0</v>
      </c>
      <c r="K1498" t="s">
        <v>171</v>
      </c>
      <c r="L1498" s="34">
        <f>PMT(Loans[[#This Row],[InterestRate]]/12,Loans[[#This Row],[LoanTenureMonths]],-Loans[[#This Row],[LoanAmount]])</f>
        <v>13450.84980546652</v>
      </c>
      <c r="M1498" s="30">
        <f>EDATE(Loans[[#This Row],[LoanStartDate]],Loans[[#This Row],[LoanTenureMonths]])</f>
        <v>46912</v>
      </c>
      <c r="N1498" s="33">
        <f>IF(Loans[[#This Row],[LoanAmount]]=0,0,Loans[[#This Row],[CollateralValue]]/Loans[[#This Row],[LoanAmount]])</f>
        <v>0</v>
      </c>
      <c r="O1498" t="str">
        <f>IF(Loans[[#This Row],[CollateralCoverageRatio]]&lt;1,"Undersecured","Secured")</f>
        <v>Undersecured</v>
      </c>
      <c r="P1498" t="str">
        <f>_xlfn.XLOOKUP(Loans[[#This Row],[BranchCode]],BranchesTbl[BranchCode],BranchesTbl[BranchName])</f>
        <v>Kisumu</v>
      </c>
      <c r="Q1498">
        <f>_xlfn.XLOOKUP(Loans[[#This Row],[CustomerID]],CustomerTbl[CustomerID],CustomerTbl[RiskScore])</f>
        <v>459</v>
      </c>
      <c r="R1498" t="str">
        <f>IFERROR(INDEX(RiskTbl[Risk_Category],MATCH(Loans[[#This Row],[RiskScore]],RiskTbl[Score_Min],1)),"Unknown")</f>
        <v>High Risk</v>
      </c>
      <c r="S1498" t="str">
        <f>IF(OR(Loans[[#This Row],[LoanStatus]]="Default",Loans[[#This Row],[LoanStatus]]="Watchlist",Loans[[#This Row],[CollateralRisk]]="Undersecured",Loans[[#This Row],[RiskCategory]]="High Risk"),"High Risk Exposure","Normal")</f>
        <v>High Risk Exposure</v>
      </c>
      <c r="T1498" t="str" cm="1">
        <f t="array" ref="T1498">_xlfn.IFS(
Loans[[#This Row],[LoanStatus]]="Default","Critical",
OR(Loans[[#This Row],[LoanStatus]]="Watchlist",Loans[[#This Row],[CollateralRisk]]="Undersecured",Loans[[#This Row],[RiskCategory]]="High Risk"),"High",
TRUE,"Normal"
)</f>
        <v>High</v>
      </c>
    </row>
    <row r="1499" spans="1:20" x14ac:dyDescent="0.35">
      <c r="A1499" t="s">
        <v>2299</v>
      </c>
      <c r="B1499" t="s">
        <v>355</v>
      </c>
      <c r="C1499" t="s">
        <v>270</v>
      </c>
      <c r="D1499" t="s">
        <v>156</v>
      </c>
      <c r="E1499" s="34">
        <v>6000000</v>
      </c>
      <c r="F1499" s="29">
        <v>0.14430000000000001</v>
      </c>
      <c r="G1499" s="30">
        <v>43966</v>
      </c>
      <c r="H1499">
        <v>48</v>
      </c>
      <c r="I1499">
        <v>20</v>
      </c>
      <c r="J1499" s="34">
        <v>3240000</v>
      </c>
      <c r="K1499" t="s">
        <v>171</v>
      </c>
      <c r="L1499" s="34">
        <f>PMT(Loans[[#This Row],[InterestRate]]/12,Loans[[#This Row],[LoanTenureMonths]],-Loans[[#This Row],[LoanAmount]])</f>
        <v>165256.00000430344</v>
      </c>
      <c r="M1499" s="30">
        <f>EDATE(Loans[[#This Row],[LoanStartDate]],Loans[[#This Row],[LoanTenureMonths]])</f>
        <v>45427</v>
      </c>
      <c r="N1499" s="33">
        <f>IF(Loans[[#This Row],[LoanAmount]]=0,0,Loans[[#This Row],[CollateralValue]]/Loans[[#This Row],[LoanAmount]])</f>
        <v>0.54</v>
      </c>
      <c r="O1499" t="str">
        <f>IF(Loans[[#This Row],[CollateralCoverageRatio]]&lt;1,"Undersecured","Secured")</f>
        <v>Undersecured</v>
      </c>
      <c r="P1499" t="str">
        <f>_xlfn.XLOOKUP(Loans[[#This Row],[BranchCode]],BranchesTbl[BranchCode],BranchesTbl[BranchName])</f>
        <v>Nakuru</v>
      </c>
      <c r="Q1499">
        <f>_xlfn.XLOOKUP(Loans[[#This Row],[CustomerID]],CustomerTbl[CustomerID],CustomerTbl[RiskScore])</f>
        <v>712</v>
      </c>
      <c r="R1499" t="str">
        <f>IFERROR(INDEX(RiskTbl[Risk_Category],MATCH(Loans[[#This Row],[RiskScore]],RiskTbl[Score_Min],1)),"Unknown")</f>
        <v>Low Risk</v>
      </c>
      <c r="S1499" t="str">
        <f>IF(OR(Loans[[#This Row],[LoanStatus]]="Default",Loans[[#This Row],[LoanStatus]]="Watchlist",Loans[[#This Row],[CollateralRisk]]="Undersecured",Loans[[#This Row],[RiskCategory]]="High Risk"),"High Risk Exposure","Normal")</f>
        <v>High Risk Exposure</v>
      </c>
      <c r="T1499" t="str" cm="1">
        <f t="array" ref="T1499">_xlfn.IFS(
Loans[[#This Row],[LoanStatus]]="Default","Critical",
OR(Loans[[#This Row],[LoanStatus]]="Watchlist",Loans[[#This Row],[CollateralRisk]]="Undersecured",Loans[[#This Row],[RiskCategory]]="High Risk"),"High",
TRUE,"Normal"
)</f>
        <v>High</v>
      </c>
    </row>
    <row r="1500" spans="1:20" x14ac:dyDescent="0.35">
      <c r="A1500" t="s">
        <v>2300</v>
      </c>
      <c r="B1500" t="s">
        <v>2301</v>
      </c>
      <c r="C1500" t="s">
        <v>184</v>
      </c>
      <c r="D1500" t="s">
        <v>156</v>
      </c>
      <c r="E1500" s="34">
        <v>1000000</v>
      </c>
      <c r="F1500" s="29">
        <v>0.22600000000000001</v>
      </c>
      <c r="G1500" s="30">
        <v>44958</v>
      </c>
      <c r="H1500">
        <v>36</v>
      </c>
      <c r="I1500">
        <v>90</v>
      </c>
      <c r="J1500" s="34">
        <v>670000</v>
      </c>
      <c r="K1500" t="s">
        <v>199</v>
      </c>
      <c r="L1500" s="34">
        <f>PMT(Loans[[#This Row],[InterestRate]]/12,Loans[[#This Row],[LoanTenureMonths]],-Loans[[#This Row],[LoanAmount]])</f>
        <v>38501.549560325562</v>
      </c>
      <c r="M1500" s="30">
        <f>EDATE(Loans[[#This Row],[LoanStartDate]],Loans[[#This Row],[LoanTenureMonths]])</f>
        <v>46054</v>
      </c>
      <c r="N1500" s="33">
        <f>IF(Loans[[#This Row],[LoanAmount]]=0,0,Loans[[#This Row],[CollateralValue]]/Loans[[#This Row],[LoanAmount]])</f>
        <v>0.67</v>
      </c>
      <c r="O1500" t="str">
        <f>IF(Loans[[#This Row],[CollateralCoverageRatio]]&lt;1,"Undersecured","Secured")</f>
        <v>Undersecured</v>
      </c>
      <c r="P1500" t="str">
        <f>_xlfn.XLOOKUP(Loans[[#This Row],[BranchCode]],BranchesTbl[BranchCode],BranchesTbl[BranchName])</f>
        <v>Kisumu</v>
      </c>
      <c r="Q1500">
        <f>_xlfn.XLOOKUP(Loans[[#This Row],[CustomerID]],CustomerTbl[CustomerID],CustomerTbl[RiskScore])</f>
        <v>777</v>
      </c>
      <c r="R1500" t="str">
        <f>IFERROR(INDEX(RiskTbl[Risk_Category],MATCH(Loans[[#This Row],[RiskScore]],RiskTbl[Score_Min],1)),"Unknown")</f>
        <v>Very Low Risk</v>
      </c>
      <c r="S1500" t="str">
        <f>IF(OR(Loans[[#This Row],[LoanStatus]]="Default",Loans[[#This Row],[LoanStatus]]="Watchlist",Loans[[#This Row],[CollateralRisk]]="Undersecured",Loans[[#This Row],[RiskCategory]]="High Risk"),"High Risk Exposure","Normal")</f>
        <v>High Risk Exposure</v>
      </c>
      <c r="T1500" t="str" cm="1">
        <f t="array" ref="T1500">_xlfn.IFS(
Loans[[#This Row],[LoanStatus]]="Default","Critical",
OR(Loans[[#This Row],[LoanStatus]]="Watchlist",Loans[[#This Row],[CollateralRisk]]="Undersecured",Loans[[#This Row],[RiskCategory]]="High Risk"),"High",
TRUE,"Normal"
)</f>
        <v>High</v>
      </c>
    </row>
    <row r="1501" spans="1:20" x14ac:dyDescent="0.35">
      <c r="A1501" t="s">
        <v>2302</v>
      </c>
      <c r="B1501" t="s">
        <v>2303</v>
      </c>
      <c r="C1501" t="s">
        <v>184</v>
      </c>
      <c r="D1501" t="s">
        <v>157</v>
      </c>
      <c r="E1501" s="34">
        <v>25000000</v>
      </c>
      <c r="F1501" s="29">
        <v>0.1079</v>
      </c>
      <c r="G1501" s="30">
        <v>44356</v>
      </c>
      <c r="H1501">
        <v>72</v>
      </c>
      <c r="I1501">
        <v>0</v>
      </c>
      <c r="J1501" s="34">
        <v>25000000</v>
      </c>
      <c r="K1501" t="s">
        <v>171</v>
      </c>
      <c r="L1501" s="34">
        <f>PMT(Loans[[#This Row],[InterestRate]]/12,Loans[[#This Row],[LoanTenureMonths]],-Loans[[#This Row],[LoanAmount]])</f>
        <v>473167.32449005626</v>
      </c>
      <c r="M1501" s="30">
        <f>EDATE(Loans[[#This Row],[LoanStartDate]],Loans[[#This Row],[LoanTenureMonths]])</f>
        <v>46547</v>
      </c>
      <c r="N1501" s="33">
        <f>IF(Loans[[#This Row],[LoanAmount]]=0,0,Loans[[#This Row],[CollateralValue]]/Loans[[#This Row],[LoanAmount]])</f>
        <v>1</v>
      </c>
      <c r="O1501" t="str">
        <f>IF(Loans[[#This Row],[CollateralCoverageRatio]]&lt;1,"Undersecured","Secured")</f>
        <v>Secured</v>
      </c>
      <c r="P1501" t="str">
        <f>_xlfn.XLOOKUP(Loans[[#This Row],[BranchCode]],BranchesTbl[BranchCode],BranchesTbl[BranchName])</f>
        <v>Kisumu</v>
      </c>
      <c r="Q1501">
        <f>_xlfn.XLOOKUP(Loans[[#This Row],[CustomerID]],CustomerTbl[CustomerID],CustomerTbl[RiskScore])</f>
        <v>510</v>
      </c>
      <c r="R1501" t="str">
        <f>IFERROR(INDEX(RiskTbl[Risk_Category],MATCH(Loans[[#This Row],[RiskScore]],RiskTbl[Score_Min],1)),"Unknown")</f>
        <v>High Risk</v>
      </c>
      <c r="S1501" t="str">
        <f>IF(OR(Loans[[#This Row],[LoanStatus]]="Default",Loans[[#This Row],[LoanStatus]]="Watchlist",Loans[[#This Row],[CollateralRisk]]="Undersecured",Loans[[#This Row],[RiskCategory]]="High Risk"),"High Risk Exposure","Normal")</f>
        <v>High Risk Exposure</v>
      </c>
      <c r="T1501" t="str" cm="1">
        <f t="array" ref="T1501">_xlfn.IFS(
Loans[[#This Row],[LoanStatus]]="Default","Critical",
OR(Loans[[#This Row],[LoanStatus]]="Watchlist",Loans[[#This Row],[CollateralRisk]]="Undersecured",Loans[[#This Row],[RiskCategory]]="High Risk"),"High",
TRUE,"Normal"
)</f>
        <v>High</v>
      </c>
    </row>
    <row r="1502" spans="1:20" x14ac:dyDescent="0.35">
      <c r="A1502" t="s">
        <v>2304</v>
      </c>
      <c r="B1502" t="s">
        <v>371</v>
      </c>
      <c r="C1502" t="s">
        <v>187</v>
      </c>
      <c r="D1502" t="s">
        <v>157</v>
      </c>
      <c r="E1502" s="34">
        <v>80000000</v>
      </c>
      <c r="F1502" s="29">
        <v>9.5500000000000002E-2</v>
      </c>
      <c r="G1502" s="30">
        <v>45820</v>
      </c>
      <c r="H1502">
        <v>24</v>
      </c>
      <c r="I1502">
        <v>0</v>
      </c>
      <c r="J1502" s="34">
        <v>60800000</v>
      </c>
      <c r="K1502" t="s">
        <v>171</v>
      </c>
      <c r="L1502" s="34">
        <f>PMT(Loans[[#This Row],[InterestRate]]/12,Loans[[#This Row],[LoanTenureMonths]],-Loans[[#This Row],[LoanAmount]])</f>
        <v>3675000.4493001029</v>
      </c>
      <c r="M1502" s="30">
        <f>EDATE(Loans[[#This Row],[LoanStartDate]],Loans[[#This Row],[LoanTenureMonths]])</f>
        <v>46550</v>
      </c>
      <c r="N1502" s="33">
        <f>IF(Loans[[#This Row],[LoanAmount]]=0,0,Loans[[#This Row],[CollateralValue]]/Loans[[#This Row],[LoanAmount]])</f>
        <v>0.76</v>
      </c>
      <c r="O1502" t="str">
        <f>IF(Loans[[#This Row],[CollateralCoverageRatio]]&lt;1,"Undersecured","Secured")</f>
        <v>Undersecured</v>
      </c>
      <c r="P1502" t="str">
        <f>_xlfn.XLOOKUP(Loans[[#This Row],[BranchCode]],BranchesTbl[BranchCode],BranchesTbl[BranchName])</f>
        <v>Eldoret</v>
      </c>
      <c r="Q1502">
        <f>_xlfn.XLOOKUP(Loans[[#This Row],[CustomerID]],CustomerTbl[CustomerID],CustomerTbl[RiskScore])</f>
        <v>426</v>
      </c>
      <c r="R1502" t="str">
        <f>IFERROR(INDEX(RiskTbl[Risk_Category],MATCH(Loans[[#This Row],[RiskScore]],RiskTbl[Score_Min],1)),"Unknown")</f>
        <v>High Risk</v>
      </c>
      <c r="S1502" t="str">
        <f>IF(OR(Loans[[#This Row],[LoanStatus]]="Default",Loans[[#This Row],[LoanStatus]]="Watchlist",Loans[[#This Row],[CollateralRisk]]="Undersecured",Loans[[#This Row],[RiskCategory]]="High Risk"),"High Risk Exposure","Normal")</f>
        <v>High Risk Exposure</v>
      </c>
      <c r="T1502" t="str" cm="1">
        <f t="array" ref="T1502">_xlfn.IFS(
Loans[[#This Row],[LoanStatus]]="Default","Critical",
OR(Loans[[#This Row],[LoanStatus]]="Watchlist",Loans[[#This Row],[CollateralRisk]]="Undersecured",Loans[[#This Row],[RiskCategory]]="High Risk"),"High",
TRUE,"Normal"
)</f>
        <v>High</v>
      </c>
    </row>
    <row r="1503" spans="1:20" x14ac:dyDescent="0.35">
      <c r="A1503" t="s">
        <v>2305</v>
      </c>
      <c r="B1503" t="s">
        <v>2306</v>
      </c>
      <c r="C1503" t="s">
        <v>267</v>
      </c>
      <c r="D1503" t="s">
        <v>157</v>
      </c>
      <c r="E1503" s="34">
        <v>6000000</v>
      </c>
      <c r="F1503" s="29">
        <v>0.12620000000000001</v>
      </c>
      <c r="G1503" s="30">
        <v>45730</v>
      </c>
      <c r="H1503">
        <v>36</v>
      </c>
      <c r="I1503">
        <v>10</v>
      </c>
      <c r="J1503" s="34">
        <v>6120000</v>
      </c>
      <c r="K1503" t="s">
        <v>171</v>
      </c>
      <c r="L1503" s="34">
        <f>PMT(Loans[[#This Row],[InterestRate]]/12,Loans[[#This Row],[LoanTenureMonths]],-Loans[[#This Row],[LoanAmount]])</f>
        <v>201067.27087434975</v>
      </c>
      <c r="M1503" s="30">
        <f>EDATE(Loans[[#This Row],[LoanStartDate]],Loans[[#This Row],[LoanTenureMonths]])</f>
        <v>46826</v>
      </c>
      <c r="N1503" s="33">
        <f>IF(Loans[[#This Row],[LoanAmount]]=0,0,Loans[[#This Row],[CollateralValue]]/Loans[[#This Row],[LoanAmount]])</f>
        <v>1.02</v>
      </c>
      <c r="O1503" t="str">
        <f>IF(Loans[[#This Row],[CollateralCoverageRatio]]&lt;1,"Undersecured","Secured")</f>
        <v>Secured</v>
      </c>
      <c r="P1503" t="str">
        <f>_xlfn.XLOOKUP(Loans[[#This Row],[BranchCode]],BranchesTbl[BranchCode],BranchesTbl[BranchName])</f>
        <v>Malindi</v>
      </c>
      <c r="Q1503">
        <f>_xlfn.XLOOKUP(Loans[[#This Row],[CustomerID]],CustomerTbl[CustomerID],CustomerTbl[RiskScore])</f>
        <v>683</v>
      </c>
      <c r="R1503" t="str">
        <f>IFERROR(INDEX(RiskTbl[Risk_Category],MATCH(Loans[[#This Row],[RiskScore]],RiskTbl[Score_Min],1)),"Unknown")</f>
        <v>Low Risk</v>
      </c>
      <c r="S1503" t="str">
        <f>IF(OR(Loans[[#This Row],[LoanStatus]]="Default",Loans[[#This Row],[LoanStatus]]="Watchlist",Loans[[#This Row],[CollateralRisk]]="Undersecured",Loans[[#This Row],[RiskCategory]]="High Risk"),"High Risk Exposure","Normal")</f>
        <v>Normal</v>
      </c>
      <c r="T1503" t="str" cm="1">
        <f t="array" ref="T1503">_xlfn.IFS(
Loans[[#This Row],[LoanStatus]]="Default","Critical",
OR(Loans[[#This Row],[LoanStatus]]="Watchlist",Loans[[#This Row],[CollateralRisk]]="Undersecured",Loans[[#This Row],[RiskCategory]]="High Risk"),"High",
TRUE,"Normal"
)</f>
        <v>Normal</v>
      </c>
    </row>
    <row r="1504" spans="1:20" x14ac:dyDescent="0.35">
      <c r="A1504" t="s">
        <v>2307</v>
      </c>
      <c r="B1504" t="s">
        <v>1127</v>
      </c>
      <c r="C1504" t="s">
        <v>184</v>
      </c>
      <c r="D1504" t="s">
        <v>158</v>
      </c>
      <c r="E1504" s="34">
        <v>3000000</v>
      </c>
      <c r="F1504" s="29">
        <v>0.1216</v>
      </c>
      <c r="G1504" s="30">
        <v>44415</v>
      </c>
      <c r="H1504">
        <v>60</v>
      </c>
      <c r="I1504">
        <v>0</v>
      </c>
      <c r="J1504" s="34">
        <v>1830000</v>
      </c>
      <c r="K1504" t="s">
        <v>171</v>
      </c>
      <c r="L1504" s="34">
        <f>PMT(Loans[[#This Row],[InterestRate]]/12,Loans[[#This Row],[LoanTenureMonths]],-Loans[[#This Row],[LoanAmount]])</f>
        <v>66976.156182723571</v>
      </c>
      <c r="M1504" s="30">
        <f>EDATE(Loans[[#This Row],[LoanStartDate]],Loans[[#This Row],[LoanTenureMonths]])</f>
        <v>46241</v>
      </c>
      <c r="N1504" s="33">
        <f>IF(Loans[[#This Row],[LoanAmount]]=0,0,Loans[[#This Row],[CollateralValue]]/Loans[[#This Row],[LoanAmount]])</f>
        <v>0.61</v>
      </c>
      <c r="O1504" t="str">
        <f>IF(Loans[[#This Row],[CollateralCoverageRatio]]&lt;1,"Undersecured","Secured")</f>
        <v>Undersecured</v>
      </c>
      <c r="P1504" t="str">
        <f>_xlfn.XLOOKUP(Loans[[#This Row],[BranchCode]],BranchesTbl[BranchCode],BranchesTbl[BranchName])</f>
        <v>Kisumu</v>
      </c>
      <c r="Q1504">
        <f>_xlfn.XLOOKUP(Loans[[#This Row],[CustomerID]],CustomerTbl[CustomerID],CustomerTbl[RiskScore])</f>
        <v>466</v>
      </c>
      <c r="R1504" t="str">
        <f>IFERROR(INDEX(RiskTbl[Risk_Category],MATCH(Loans[[#This Row],[RiskScore]],RiskTbl[Score_Min],1)),"Unknown")</f>
        <v>High Risk</v>
      </c>
      <c r="S1504" t="str">
        <f>IF(OR(Loans[[#This Row],[LoanStatus]]="Default",Loans[[#This Row],[LoanStatus]]="Watchlist",Loans[[#This Row],[CollateralRisk]]="Undersecured",Loans[[#This Row],[RiskCategory]]="High Risk"),"High Risk Exposure","Normal")</f>
        <v>High Risk Exposure</v>
      </c>
      <c r="T1504" t="str" cm="1">
        <f t="array" ref="T1504">_xlfn.IFS(
Loans[[#This Row],[LoanStatus]]="Default","Critical",
OR(Loans[[#This Row],[LoanStatus]]="Watchlist",Loans[[#This Row],[CollateralRisk]]="Undersecured",Loans[[#This Row],[RiskCategory]]="High Risk"),"High",
TRUE,"Normal"
)</f>
        <v>High</v>
      </c>
    </row>
    <row r="1505" spans="1:20" x14ac:dyDescent="0.35">
      <c r="A1505" t="s">
        <v>2308</v>
      </c>
      <c r="B1505" t="s">
        <v>2238</v>
      </c>
      <c r="C1505" t="s">
        <v>232</v>
      </c>
      <c r="D1505" t="s">
        <v>155</v>
      </c>
      <c r="E1505" s="34">
        <v>1000000</v>
      </c>
      <c r="F1505" s="29">
        <v>0.23350000000000001</v>
      </c>
      <c r="G1505" s="30">
        <v>44100</v>
      </c>
      <c r="H1505">
        <v>48</v>
      </c>
      <c r="I1505">
        <v>120</v>
      </c>
      <c r="J1505" s="34">
        <v>0</v>
      </c>
      <c r="K1505" t="s">
        <v>178</v>
      </c>
      <c r="L1505" s="34">
        <f>PMT(Loans[[#This Row],[InterestRate]]/12,Loans[[#This Row],[LoanTenureMonths]],-Loans[[#This Row],[LoanAmount]])</f>
        <v>32243.535682328456</v>
      </c>
      <c r="M1505" s="30">
        <f>EDATE(Loans[[#This Row],[LoanStartDate]],Loans[[#This Row],[LoanTenureMonths]])</f>
        <v>45561</v>
      </c>
      <c r="N1505" s="33">
        <f>IF(Loans[[#This Row],[LoanAmount]]=0,0,Loans[[#This Row],[CollateralValue]]/Loans[[#This Row],[LoanAmount]])</f>
        <v>0</v>
      </c>
      <c r="O1505" t="str">
        <f>IF(Loans[[#This Row],[CollateralCoverageRatio]]&lt;1,"Undersecured","Secured")</f>
        <v>Undersecured</v>
      </c>
      <c r="P1505" t="str">
        <f>_xlfn.XLOOKUP(Loans[[#This Row],[BranchCode]],BranchesTbl[BranchCode],BranchesTbl[BranchName])</f>
        <v>Upper Hill</v>
      </c>
      <c r="Q1505">
        <f>_xlfn.XLOOKUP(Loans[[#This Row],[CustomerID]],CustomerTbl[CustomerID],CustomerTbl[RiskScore])</f>
        <v>567</v>
      </c>
      <c r="R1505" t="str">
        <f>IFERROR(INDEX(RiskTbl[Risk_Category],MATCH(Loans[[#This Row],[RiskScore]],RiskTbl[Score_Min],1)),"Unknown")</f>
        <v>High Risk</v>
      </c>
      <c r="S1505" t="str">
        <f>IF(OR(Loans[[#This Row],[LoanStatus]]="Default",Loans[[#This Row],[LoanStatus]]="Watchlist",Loans[[#This Row],[CollateralRisk]]="Undersecured",Loans[[#This Row],[RiskCategory]]="High Risk"),"High Risk Exposure","Normal")</f>
        <v>High Risk Exposure</v>
      </c>
      <c r="T1505" t="str" cm="1">
        <f t="array" ref="T1505">_xlfn.IFS(
Loans[[#This Row],[LoanStatus]]="Default","Critical",
OR(Loans[[#This Row],[LoanStatus]]="Watchlist",Loans[[#This Row],[CollateralRisk]]="Undersecured",Loans[[#This Row],[RiskCategory]]="High Risk"),"High",
TRUE,"Normal"
)</f>
        <v>Critical</v>
      </c>
    </row>
    <row r="1506" spans="1:20" x14ac:dyDescent="0.35">
      <c r="A1506" t="s">
        <v>2309</v>
      </c>
      <c r="B1506" t="s">
        <v>2310</v>
      </c>
      <c r="C1506" t="s">
        <v>184</v>
      </c>
      <c r="D1506" t="s">
        <v>156</v>
      </c>
      <c r="E1506" s="34">
        <v>1000000</v>
      </c>
      <c r="F1506" s="29">
        <v>0.20230000000000001</v>
      </c>
      <c r="G1506" s="30">
        <v>45376</v>
      </c>
      <c r="H1506">
        <v>72</v>
      </c>
      <c r="I1506">
        <v>5</v>
      </c>
      <c r="J1506" s="34">
        <v>1030000</v>
      </c>
      <c r="K1506" t="s">
        <v>171</v>
      </c>
      <c r="L1506" s="34">
        <f>PMT(Loans[[#This Row],[InterestRate]]/12,Loans[[#This Row],[LoanTenureMonths]],-Loans[[#This Row],[LoanAmount]])</f>
        <v>24086.333267918213</v>
      </c>
      <c r="M1506" s="30">
        <f>EDATE(Loans[[#This Row],[LoanStartDate]],Loans[[#This Row],[LoanTenureMonths]])</f>
        <v>47567</v>
      </c>
      <c r="N1506" s="33">
        <f>IF(Loans[[#This Row],[LoanAmount]]=0,0,Loans[[#This Row],[CollateralValue]]/Loans[[#This Row],[LoanAmount]])</f>
        <v>1.03</v>
      </c>
      <c r="O1506" t="str">
        <f>IF(Loans[[#This Row],[CollateralCoverageRatio]]&lt;1,"Undersecured","Secured")</f>
        <v>Secured</v>
      </c>
      <c r="P1506" t="str">
        <f>_xlfn.XLOOKUP(Loans[[#This Row],[BranchCode]],BranchesTbl[BranchCode],BranchesTbl[BranchName])</f>
        <v>Kisumu</v>
      </c>
      <c r="Q1506">
        <f>_xlfn.XLOOKUP(Loans[[#This Row],[CustomerID]],CustomerTbl[CustomerID],CustomerTbl[RiskScore])</f>
        <v>715</v>
      </c>
      <c r="R1506" t="str">
        <f>IFERROR(INDEX(RiskTbl[Risk_Category],MATCH(Loans[[#This Row],[RiskScore]],RiskTbl[Score_Min],1)),"Unknown")</f>
        <v>Low Risk</v>
      </c>
      <c r="S1506" t="str">
        <f>IF(OR(Loans[[#This Row],[LoanStatus]]="Default",Loans[[#This Row],[LoanStatus]]="Watchlist",Loans[[#This Row],[CollateralRisk]]="Undersecured",Loans[[#This Row],[RiskCategory]]="High Risk"),"High Risk Exposure","Normal")</f>
        <v>Normal</v>
      </c>
      <c r="T1506" t="str" cm="1">
        <f t="array" ref="T1506">_xlfn.IFS(
Loans[[#This Row],[LoanStatus]]="Default","Critical",
OR(Loans[[#This Row],[LoanStatus]]="Watchlist",Loans[[#This Row],[CollateralRisk]]="Undersecured",Loans[[#This Row],[RiskCategory]]="High Risk"),"High",
TRUE,"Normal"
)</f>
        <v>Normal</v>
      </c>
    </row>
    <row r="1507" spans="1:20" x14ac:dyDescent="0.35">
      <c r="A1507" t="s">
        <v>2311</v>
      </c>
      <c r="B1507" t="s">
        <v>569</v>
      </c>
      <c r="C1507" t="s">
        <v>170</v>
      </c>
      <c r="D1507" t="s">
        <v>158</v>
      </c>
      <c r="E1507" s="34">
        <v>3000000</v>
      </c>
      <c r="F1507" s="29">
        <v>0.1739</v>
      </c>
      <c r="G1507" s="30">
        <v>45419</v>
      </c>
      <c r="H1507">
        <v>12</v>
      </c>
      <c r="I1507">
        <v>0</v>
      </c>
      <c r="J1507" s="34">
        <v>2880000</v>
      </c>
      <c r="K1507" t="s">
        <v>171</v>
      </c>
      <c r="L1507" s="34">
        <f>PMT(Loans[[#This Row],[InterestRate]]/12,Loans[[#This Row],[LoanTenureMonths]],-Loans[[#This Row],[LoanAmount]])</f>
        <v>274169.80781512096</v>
      </c>
      <c r="M1507" s="30">
        <f>EDATE(Loans[[#This Row],[LoanStartDate]],Loans[[#This Row],[LoanTenureMonths]])</f>
        <v>45784</v>
      </c>
      <c r="N1507" s="33">
        <f>IF(Loans[[#This Row],[LoanAmount]]=0,0,Loans[[#This Row],[CollateralValue]]/Loans[[#This Row],[LoanAmount]])</f>
        <v>0.96</v>
      </c>
      <c r="O1507" t="str">
        <f>IF(Loans[[#This Row],[CollateralCoverageRatio]]&lt;1,"Undersecured","Secured")</f>
        <v>Undersecured</v>
      </c>
      <c r="P1507" t="str">
        <f>_xlfn.XLOOKUP(Loans[[#This Row],[BranchCode]],BranchesTbl[BranchCode],BranchesTbl[BranchName])</f>
        <v>Thika</v>
      </c>
      <c r="Q1507">
        <f>_xlfn.XLOOKUP(Loans[[#This Row],[CustomerID]],CustomerTbl[CustomerID],CustomerTbl[RiskScore])</f>
        <v>347</v>
      </c>
      <c r="R1507" t="str">
        <f>IFERROR(INDEX(RiskTbl[Risk_Category],MATCH(Loans[[#This Row],[RiskScore]],RiskTbl[Score_Min],1)),"Unknown")</f>
        <v>High Risk</v>
      </c>
      <c r="S1507" t="str">
        <f>IF(OR(Loans[[#This Row],[LoanStatus]]="Default",Loans[[#This Row],[LoanStatus]]="Watchlist",Loans[[#This Row],[CollateralRisk]]="Undersecured",Loans[[#This Row],[RiskCategory]]="High Risk"),"High Risk Exposure","Normal")</f>
        <v>High Risk Exposure</v>
      </c>
      <c r="T1507" t="str" cm="1">
        <f t="array" ref="T1507">_xlfn.IFS(
Loans[[#This Row],[LoanStatus]]="Default","Critical",
OR(Loans[[#This Row],[LoanStatus]]="Watchlist",Loans[[#This Row],[CollateralRisk]]="Undersecured",Loans[[#This Row],[RiskCategory]]="High Risk"),"High",
TRUE,"Normal"
)</f>
        <v>High</v>
      </c>
    </row>
    <row r="1508" spans="1:20" x14ac:dyDescent="0.35">
      <c r="A1508" t="s">
        <v>2312</v>
      </c>
      <c r="B1508" t="s">
        <v>1360</v>
      </c>
      <c r="C1508" t="s">
        <v>270</v>
      </c>
      <c r="D1508" t="s">
        <v>158</v>
      </c>
      <c r="E1508" s="34">
        <v>6000000</v>
      </c>
      <c r="F1508" s="29">
        <v>0.1409</v>
      </c>
      <c r="G1508" s="30">
        <v>44625</v>
      </c>
      <c r="H1508">
        <v>12</v>
      </c>
      <c r="I1508">
        <v>0</v>
      </c>
      <c r="J1508" s="34">
        <v>3000000</v>
      </c>
      <c r="K1508" t="s">
        <v>171</v>
      </c>
      <c r="L1508" s="34">
        <f>PMT(Loans[[#This Row],[InterestRate]]/12,Loans[[#This Row],[LoanTenureMonths]],-Loans[[#This Row],[LoanAmount]])</f>
        <v>538976.81861579441</v>
      </c>
      <c r="M1508" s="30">
        <f>EDATE(Loans[[#This Row],[LoanStartDate]],Loans[[#This Row],[LoanTenureMonths]])</f>
        <v>44990</v>
      </c>
      <c r="N1508" s="33">
        <f>IF(Loans[[#This Row],[LoanAmount]]=0,0,Loans[[#This Row],[CollateralValue]]/Loans[[#This Row],[LoanAmount]])</f>
        <v>0.5</v>
      </c>
      <c r="O1508" t="str">
        <f>IF(Loans[[#This Row],[CollateralCoverageRatio]]&lt;1,"Undersecured","Secured")</f>
        <v>Undersecured</v>
      </c>
      <c r="P1508" t="str">
        <f>_xlfn.XLOOKUP(Loans[[#This Row],[BranchCode]],BranchesTbl[BranchCode],BranchesTbl[BranchName])</f>
        <v>Nakuru</v>
      </c>
      <c r="Q1508">
        <f>_xlfn.XLOOKUP(Loans[[#This Row],[CustomerID]],CustomerTbl[CustomerID],CustomerTbl[RiskScore])</f>
        <v>734</v>
      </c>
      <c r="R1508" t="str">
        <f>IFERROR(INDEX(RiskTbl[Risk_Category],MATCH(Loans[[#This Row],[RiskScore]],RiskTbl[Score_Min],1)),"Unknown")</f>
        <v>Low Risk</v>
      </c>
      <c r="S1508" t="str">
        <f>IF(OR(Loans[[#This Row],[LoanStatus]]="Default",Loans[[#This Row],[LoanStatus]]="Watchlist",Loans[[#This Row],[CollateralRisk]]="Undersecured",Loans[[#This Row],[RiskCategory]]="High Risk"),"High Risk Exposure","Normal")</f>
        <v>High Risk Exposure</v>
      </c>
      <c r="T1508" t="str" cm="1">
        <f t="array" ref="T1508">_xlfn.IFS(
Loans[[#This Row],[LoanStatus]]="Default","Critical",
OR(Loans[[#This Row],[LoanStatus]]="Watchlist",Loans[[#This Row],[CollateralRisk]]="Undersecured",Loans[[#This Row],[RiskCategory]]="High Risk"),"High",
TRUE,"Normal"
)</f>
        <v>High</v>
      </c>
    </row>
    <row r="1509" spans="1:20" x14ac:dyDescent="0.35">
      <c r="A1509" t="s">
        <v>2313</v>
      </c>
      <c r="B1509" t="s">
        <v>1220</v>
      </c>
      <c r="C1509" t="s">
        <v>206</v>
      </c>
      <c r="D1509" t="s">
        <v>158</v>
      </c>
      <c r="E1509" s="34">
        <v>1000000</v>
      </c>
      <c r="F1509" s="29">
        <v>0.12659999999999999</v>
      </c>
      <c r="G1509" s="30">
        <v>44842</v>
      </c>
      <c r="H1509">
        <v>48</v>
      </c>
      <c r="I1509">
        <v>0</v>
      </c>
      <c r="J1509" s="34">
        <v>1060000</v>
      </c>
      <c r="K1509" t="s">
        <v>171</v>
      </c>
      <c r="L1509" s="34">
        <f>PMT(Loans[[#This Row],[InterestRate]]/12,Loans[[#This Row],[LoanTenureMonths]],-Loans[[#This Row],[LoanAmount]])</f>
        <v>26659.053007971255</v>
      </c>
      <c r="M1509" s="30">
        <f>EDATE(Loans[[#This Row],[LoanStartDate]],Loans[[#This Row],[LoanTenureMonths]])</f>
        <v>46303</v>
      </c>
      <c r="N1509" s="33">
        <f>IF(Loans[[#This Row],[LoanAmount]]=0,0,Loans[[#This Row],[CollateralValue]]/Loans[[#This Row],[LoanAmount]])</f>
        <v>1.06</v>
      </c>
      <c r="O1509" t="str">
        <f>IF(Loans[[#This Row],[CollateralCoverageRatio]]&lt;1,"Undersecured","Secured")</f>
        <v>Secured</v>
      </c>
      <c r="P1509" t="str">
        <f>_xlfn.XLOOKUP(Loans[[#This Row],[BranchCode]],BranchesTbl[BranchCode],BranchesTbl[BranchName])</f>
        <v>Nyahururu</v>
      </c>
      <c r="Q1509">
        <f>_xlfn.XLOOKUP(Loans[[#This Row],[CustomerID]],CustomerTbl[CustomerID],CustomerTbl[RiskScore])</f>
        <v>463</v>
      </c>
      <c r="R1509" t="str">
        <f>IFERROR(INDEX(RiskTbl[Risk_Category],MATCH(Loans[[#This Row],[RiskScore]],RiskTbl[Score_Min],1)),"Unknown")</f>
        <v>High Risk</v>
      </c>
      <c r="S1509" t="str">
        <f>IF(OR(Loans[[#This Row],[LoanStatus]]="Default",Loans[[#This Row],[LoanStatus]]="Watchlist",Loans[[#This Row],[CollateralRisk]]="Undersecured",Loans[[#This Row],[RiskCategory]]="High Risk"),"High Risk Exposure","Normal")</f>
        <v>High Risk Exposure</v>
      </c>
      <c r="T1509" t="str" cm="1">
        <f t="array" ref="T1509">_xlfn.IFS(
Loans[[#This Row],[LoanStatus]]="Default","Critical",
OR(Loans[[#This Row],[LoanStatus]]="Watchlist",Loans[[#This Row],[CollateralRisk]]="Undersecured",Loans[[#This Row],[RiskCategory]]="High Risk"),"High",
TRUE,"Normal"
)</f>
        <v>High</v>
      </c>
    </row>
    <row r="1510" spans="1:20" x14ac:dyDescent="0.35">
      <c r="A1510" t="s">
        <v>2314</v>
      </c>
      <c r="B1510" t="s">
        <v>1403</v>
      </c>
      <c r="C1510" t="s">
        <v>190</v>
      </c>
      <c r="D1510" t="s">
        <v>156</v>
      </c>
      <c r="E1510" s="34">
        <v>1000000</v>
      </c>
      <c r="F1510" s="29">
        <v>0.19600000000000001</v>
      </c>
      <c r="G1510" s="30">
        <v>44510</v>
      </c>
      <c r="H1510">
        <v>36</v>
      </c>
      <c r="I1510">
        <v>20</v>
      </c>
      <c r="J1510" s="34">
        <v>1340000</v>
      </c>
      <c r="K1510" t="s">
        <v>171</v>
      </c>
      <c r="L1510" s="34">
        <f>PMT(Loans[[#This Row],[InterestRate]]/12,Loans[[#This Row],[LoanTenureMonths]],-Loans[[#This Row],[LoanAmount]])</f>
        <v>36960.086515960276</v>
      </c>
      <c r="M1510" s="30">
        <f>EDATE(Loans[[#This Row],[LoanStartDate]],Loans[[#This Row],[LoanTenureMonths]])</f>
        <v>45606</v>
      </c>
      <c r="N1510" s="33">
        <f>IF(Loans[[#This Row],[LoanAmount]]=0,0,Loans[[#This Row],[CollateralValue]]/Loans[[#This Row],[LoanAmount]])</f>
        <v>1.34</v>
      </c>
      <c r="O1510" t="str">
        <f>IF(Loans[[#This Row],[CollateralCoverageRatio]]&lt;1,"Undersecured","Secured")</f>
        <v>Secured</v>
      </c>
      <c r="P1510" t="str">
        <f>_xlfn.XLOOKUP(Loans[[#This Row],[BranchCode]],BranchesTbl[BranchCode],BranchesTbl[BranchName])</f>
        <v>Nyeri</v>
      </c>
      <c r="Q1510">
        <f>_xlfn.XLOOKUP(Loans[[#This Row],[CustomerID]],CustomerTbl[CustomerID],CustomerTbl[RiskScore])</f>
        <v>544</v>
      </c>
      <c r="R1510" t="str">
        <f>IFERROR(INDEX(RiskTbl[Risk_Category],MATCH(Loans[[#This Row],[RiskScore]],RiskTbl[Score_Min],1)),"Unknown")</f>
        <v>High Risk</v>
      </c>
      <c r="S1510" t="str">
        <f>IF(OR(Loans[[#This Row],[LoanStatus]]="Default",Loans[[#This Row],[LoanStatus]]="Watchlist",Loans[[#This Row],[CollateralRisk]]="Undersecured",Loans[[#This Row],[RiskCategory]]="High Risk"),"High Risk Exposure","Normal")</f>
        <v>High Risk Exposure</v>
      </c>
      <c r="T1510" t="str" cm="1">
        <f t="array" ref="T1510">_xlfn.IFS(
Loans[[#This Row],[LoanStatus]]="Default","Critical",
OR(Loans[[#This Row],[LoanStatus]]="Watchlist",Loans[[#This Row],[CollateralRisk]]="Undersecured",Loans[[#This Row],[RiskCategory]]="High Risk"),"High",
TRUE,"Normal"
)</f>
        <v>High</v>
      </c>
    </row>
    <row r="1511" spans="1:20" x14ac:dyDescent="0.35">
      <c r="A1511" t="s">
        <v>2315</v>
      </c>
      <c r="B1511" t="s">
        <v>1083</v>
      </c>
      <c r="C1511" t="s">
        <v>170</v>
      </c>
      <c r="D1511" t="s">
        <v>155</v>
      </c>
      <c r="E1511" s="34">
        <v>1000000</v>
      </c>
      <c r="F1511" s="29">
        <v>0.18079999999999999</v>
      </c>
      <c r="G1511" s="30">
        <v>45636</v>
      </c>
      <c r="H1511">
        <v>48</v>
      </c>
      <c r="I1511">
        <v>5</v>
      </c>
      <c r="J1511" s="34">
        <v>0</v>
      </c>
      <c r="K1511" t="s">
        <v>171</v>
      </c>
      <c r="L1511" s="34">
        <f>PMT(Loans[[#This Row],[InterestRate]]/12,Loans[[#This Row],[LoanTenureMonths]],-Loans[[#This Row],[LoanAmount]])</f>
        <v>29416.819626553504</v>
      </c>
      <c r="M1511" s="30">
        <f>EDATE(Loans[[#This Row],[LoanStartDate]],Loans[[#This Row],[LoanTenureMonths]])</f>
        <v>47097</v>
      </c>
      <c r="N1511" s="33">
        <f>IF(Loans[[#This Row],[LoanAmount]]=0,0,Loans[[#This Row],[CollateralValue]]/Loans[[#This Row],[LoanAmount]])</f>
        <v>0</v>
      </c>
      <c r="O1511" t="str">
        <f>IF(Loans[[#This Row],[CollateralCoverageRatio]]&lt;1,"Undersecured","Secured")</f>
        <v>Undersecured</v>
      </c>
      <c r="P1511" t="str">
        <f>_xlfn.XLOOKUP(Loans[[#This Row],[BranchCode]],BranchesTbl[BranchCode],BranchesTbl[BranchName])</f>
        <v>Thika</v>
      </c>
      <c r="Q1511">
        <f>_xlfn.XLOOKUP(Loans[[#This Row],[CustomerID]],CustomerTbl[CustomerID],CustomerTbl[RiskScore])</f>
        <v>707</v>
      </c>
      <c r="R1511" t="str">
        <f>IFERROR(INDEX(RiskTbl[Risk_Category],MATCH(Loans[[#This Row],[RiskScore]],RiskTbl[Score_Min],1)),"Unknown")</f>
        <v>Low Risk</v>
      </c>
      <c r="S1511" t="str">
        <f>IF(OR(Loans[[#This Row],[LoanStatus]]="Default",Loans[[#This Row],[LoanStatus]]="Watchlist",Loans[[#This Row],[CollateralRisk]]="Undersecured",Loans[[#This Row],[RiskCategory]]="High Risk"),"High Risk Exposure","Normal")</f>
        <v>High Risk Exposure</v>
      </c>
      <c r="T1511" t="str" cm="1">
        <f t="array" ref="T1511">_xlfn.IFS(
Loans[[#This Row],[LoanStatus]]="Default","Critical",
OR(Loans[[#This Row],[LoanStatus]]="Watchlist",Loans[[#This Row],[CollateralRisk]]="Undersecured",Loans[[#This Row],[RiskCategory]]="High Risk"),"High",
TRUE,"Normal"
)</f>
        <v>High</v>
      </c>
    </row>
    <row r="1512" spans="1:20" x14ac:dyDescent="0.35">
      <c r="A1512" t="s">
        <v>2316</v>
      </c>
      <c r="B1512" t="s">
        <v>651</v>
      </c>
      <c r="C1512" t="s">
        <v>219</v>
      </c>
      <c r="D1512" t="s">
        <v>157</v>
      </c>
      <c r="E1512" s="34">
        <v>25000000</v>
      </c>
      <c r="F1512" s="29">
        <v>0.1195</v>
      </c>
      <c r="G1512" s="30">
        <v>44989</v>
      </c>
      <c r="H1512">
        <v>60</v>
      </c>
      <c r="I1512">
        <v>0</v>
      </c>
      <c r="J1512" s="34">
        <v>15500000</v>
      </c>
      <c r="K1512" t="s">
        <v>171</v>
      </c>
      <c r="L1512" s="34">
        <f>PMT(Loans[[#This Row],[InterestRate]]/12,Loans[[#This Row],[LoanTenureMonths]],-Loans[[#This Row],[LoanAmount]])</f>
        <v>555479.73242055206</v>
      </c>
      <c r="M1512" s="30">
        <f>EDATE(Loans[[#This Row],[LoanStartDate]],Loans[[#This Row],[LoanTenureMonths]])</f>
        <v>46816</v>
      </c>
      <c r="N1512" s="33">
        <f>IF(Loans[[#This Row],[LoanAmount]]=0,0,Loans[[#This Row],[CollateralValue]]/Loans[[#This Row],[LoanAmount]])</f>
        <v>0.62</v>
      </c>
      <c r="O1512" t="str">
        <f>IF(Loans[[#This Row],[CollateralCoverageRatio]]&lt;1,"Undersecured","Secured")</f>
        <v>Undersecured</v>
      </c>
      <c r="P1512" t="str">
        <f>_xlfn.XLOOKUP(Loans[[#This Row],[BranchCode]],BranchesTbl[BranchCode],BranchesTbl[BranchName])</f>
        <v>Meru</v>
      </c>
      <c r="Q1512">
        <f>_xlfn.XLOOKUP(Loans[[#This Row],[CustomerID]],CustomerTbl[CustomerID],CustomerTbl[RiskScore])</f>
        <v>539</v>
      </c>
      <c r="R1512" t="str">
        <f>IFERROR(INDEX(RiskTbl[Risk_Category],MATCH(Loans[[#This Row],[RiskScore]],RiskTbl[Score_Min],1)),"Unknown")</f>
        <v>High Risk</v>
      </c>
      <c r="S1512" t="str">
        <f>IF(OR(Loans[[#This Row],[LoanStatus]]="Default",Loans[[#This Row],[LoanStatus]]="Watchlist",Loans[[#This Row],[CollateralRisk]]="Undersecured",Loans[[#This Row],[RiskCategory]]="High Risk"),"High Risk Exposure","Normal")</f>
        <v>High Risk Exposure</v>
      </c>
      <c r="T1512" t="str" cm="1">
        <f t="array" ref="T1512">_xlfn.IFS(
Loans[[#This Row],[LoanStatus]]="Default","Critical",
OR(Loans[[#This Row],[LoanStatus]]="Watchlist",Loans[[#This Row],[CollateralRisk]]="Undersecured",Loans[[#This Row],[RiskCategory]]="High Risk"),"High",
TRUE,"Normal"
)</f>
        <v>High</v>
      </c>
    </row>
    <row r="1513" spans="1:20" x14ac:dyDescent="0.35">
      <c r="A1513" t="s">
        <v>2317</v>
      </c>
      <c r="B1513" t="s">
        <v>661</v>
      </c>
      <c r="C1513" t="s">
        <v>232</v>
      </c>
      <c r="D1513" t="s">
        <v>156</v>
      </c>
      <c r="E1513" s="34">
        <v>1000000</v>
      </c>
      <c r="F1513" s="29">
        <v>0.182</v>
      </c>
      <c r="G1513" s="30">
        <v>44995</v>
      </c>
      <c r="H1513">
        <v>72</v>
      </c>
      <c r="I1513">
        <v>0</v>
      </c>
      <c r="J1513" s="34">
        <v>1320000</v>
      </c>
      <c r="K1513" t="s">
        <v>171</v>
      </c>
      <c r="L1513" s="34">
        <f>PMT(Loans[[#This Row],[InterestRate]]/12,Loans[[#This Row],[LoanTenureMonths]],-Loans[[#This Row],[LoanAmount]])</f>
        <v>22920.998885874207</v>
      </c>
      <c r="M1513" s="30">
        <f>EDATE(Loans[[#This Row],[LoanStartDate]],Loans[[#This Row],[LoanTenureMonths]])</f>
        <v>47187</v>
      </c>
      <c r="N1513" s="33">
        <f>IF(Loans[[#This Row],[LoanAmount]]=0,0,Loans[[#This Row],[CollateralValue]]/Loans[[#This Row],[LoanAmount]])</f>
        <v>1.32</v>
      </c>
      <c r="O1513" t="str">
        <f>IF(Loans[[#This Row],[CollateralCoverageRatio]]&lt;1,"Undersecured","Secured")</f>
        <v>Secured</v>
      </c>
      <c r="P1513" t="str">
        <f>_xlfn.XLOOKUP(Loans[[#This Row],[BranchCode]],BranchesTbl[BranchCode],BranchesTbl[BranchName])</f>
        <v>Upper Hill</v>
      </c>
      <c r="Q1513">
        <f>_xlfn.XLOOKUP(Loans[[#This Row],[CustomerID]],CustomerTbl[CustomerID],CustomerTbl[RiskScore])</f>
        <v>732</v>
      </c>
      <c r="R1513" t="str">
        <f>IFERROR(INDEX(RiskTbl[Risk_Category],MATCH(Loans[[#This Row],[RiskScore]],RiskTbl[Score_Min],1)),"Unknown")</f>
        <v>Low Risk</v>
      </c>
      <c r="S1513" t="str">
        <f>IF(OR(Loans[[#This Row],[LoanStatus]]="Default",Loans[[#This Row],[LoanStatus]]="Watchlist",Loans[[#This Row],[CollateralRisk]]="Undersecured",Loans[[#This Row],[RiskCategory]]="High Risk"),"High Risk Exposure","Normal")</f>
        <v>Normal</v>
      </c>
      <c r="T1513" t="str" cm="1">
        <f t="array" ref="T1513">_xlfn.IFS(
Loans[[#This Row],[LoanStatus]]="Default","Critical",
OR(Loans[[#This Row],[LoanStatus]]="Watchlist",Loans[[#This Row],[CollateralRisk]]="Undersecured",Loans[[#This Row],[RiskCategory]]="High Risk"),"High",
TRUE,"Normal"
)</f>
        <v>Normal</v>
      </c>
    </row>
    <row r="1514" spans="1:20" x14ac:dyDescent="0.35">
      <c r="A1514" t="s">
        <v>2318</v>
      </c>
      <c r="B1514" t="s">
        <v>1121</v>
      </c>
      <c r="C1514" t="s">
        <v>196</v>
      </c>
      <c r="D1514" t="s">
        <v>156</v>
      </c>
      <c r="E1514" s="34">
        <v>25000000</v>
      </c>
      <c r="F1514" s="29">
        <v>0.23769999999999999</v>
      </c>
      <c r="G1514" s="30">
        <v>45127</v>
      </c>
      <c r="H1514">
        <v>12</v>
      </c>
      <c r="I1514">
        <v>0</v>
      </c>
      <c r="J1514" s="34">
        <v>29250000</v>
      </c>
      <c r="K1514" t="s">
        <v>171</v>
      </c>
      <c r="L1514" s="34">
        <f>PMT(Loans[[#This Row],[InterestRate]]/12,Loans[[#This Row],[LoanTenureMonths]],-Loans[[#This Row],[LoanAmount]])</f>
        <v>2361208.1333462247</v>
      </c>
      <c r="M1514" s="30">
        <f>EDATE(Loans[[#This Row],[LoanStartDate]],Loans[[#This Row],[LoanTenureMonths]])</f>
        <v>45493</v>
      </c>
      <c r="N1514" s="33">
        <f>IF(Loans[[#This Row],[LoanAmount]]=0,0,Loans[[#This Row],[CollateralValue]]/Loans[[#This Row],[LoanAmount]])</f>
        <v>1.17</v>
      </c>
      <c r="O1514" t="str">
        <f>IF(Loans[[#This Row],[CollateralCoverageRatio]]&lt;1,"Undersecured","Secured")</f>
        <v>Secured</v>
      </c>
      <c r="P1514" t="str">
        <f>_xlfn.XLOOKUP(Loans[[#This Row],[BranchCode]],BranchesTbl[BranchCode],BranchesTbl[BranchName])</f>
        <v>Karen</v>
      </c>
      <c r="Q1514">
        <f>_xlfn.XLOOKUP(Loans[[#This Row],[CustomerID]],CustomerTbl[CustomerID],CustomerTbl[RiskScore])</f>
        <v>313</v>
      </c>
      <c r="R1514" t="str">
        <f>IFERROR(INDEX(RiskTbl[Risk_Category],MATCH(Loans[[#This Row],[RiskScore]],RiskTbl[Score_Min],1)),"Unknown")</f>
        <v>High Risk</v>
      </c>
      <c r="S1514" t="str">
        <f>IF(OR(Loans[[#This Row],[LoanStatus]]="Default",Loans[[#This Row],[LoanStatus]]="Watchlist",Loans[[#This Row],[CollateralRisk]]="Undersecured",Loans[[#This Row],[RiskCategory]]="High Risk"),"High Risk Exposure","Normal")</f>
        <v>High Risk Exposure</v>
      </c>
      <c r="T1514" t="str" cm="1">
        <f t="array" ref="T1514">_xlfn.IFS(
Loans[[#This Row],[LoanStatus]]="Default","Critical",
OR(Loans[[#This Row],[LoanStatus]]="Watchlist",Loans[[#This Row],[CollateralRisk]]="Undersecured",Loans[[#This Row],[RiskCategory]]="High Risk"),"High",
TRUE,"Normal"
)</f>
        <v>High</v>
      </c>
    </row>
    <row r="1515" spans="1:20" x14ac:dyDescent="0.35">
      <c r="A1515" t="s">
        <v>2319</v>
      </c>
      <c r="B1515" t="s">
        <v>1997</v>
      </c>
      <c r="C1515" t="s">
        <v>170</v>
      </c>
      <c r="D1515" t="s">
        <v>157</v>
      </c>
      <c r="E1515" s="34">
        <v>6000000</v>
      </c>
      <c r="F1515" s="29">
        <v>0.1086</v>
      </c>
      <c r="G1515" s="30">
        <v>44115</v>
      </c>
      <c r="H1515">
        <v>12</v>
      </c>
      <c r="I1515">
        <v>0</v>
      </c>
      <c r="J1515" s="34">
        <v>7200000</v>
      </c>
      <c r="K1515" t="s">
        <v>171</v>
      </c>
      <c r="L1515" s="34">
        <f>PMT(Loans[[#This Row],[InterestRate]]/12,Loans[[#This Row],[LoanTenureMonths]],-Loans[[#This Row],[LoanAmount]])</f>
        <v>529898.2121512841</v>
      </c>
      <c r="M1515" s="30">
        <f>EDATE(Loans[[#This Row],[LoanStartDate]],Loans[[#This Row],[LoanTenureMonths]])</f>
        <v>44480</v>
      </c>
      <c r="N1515" s="33">
        <f>IF(Loans[[#This Row],[LoanAmount]]=0,0,Loans[[#This Row],[CollateralValue]]/Loans[[#This Row],[LoanAmount]])</f>
        <v>1.2</v>
      </c>
      <c r="O1515" t="str">
        <f>IF(Loans[[#This Row],[CollateralCoverageRatio]]&lt;1,"Undersecured","Secured")</f>
        <v>Secured</v>
      </c>
      <c r="P1515" t="str">
        <f>_xlfn.XLOOKUP(Loans[[#This Row],[BranchCode]],BranchesTbl[BranchCode],BranchesTbl[BranchName])</f>
        <v>Thika</v>
      </c>
      <c r="Q1515">
        <f>_xlfn.XLOOKUP(Loans[[#This Row],[CustomerID]],CustomerTbl[CustomerID],CustomerTbl[RiskScore])</f>
        <v>474</v>
      </c>
      <c r="R1515" t="str">
        <f>IFERROR(INDEX(RiskTbl[Risk_Category],MATCH(Loans[[#This Row],[RiskScore]],RiskTbl[Score_Min],1)),"Unknown")</f>
        <v>High Risk</v>
      </c>
      <c r="S1515" t="str">
        <f>IF(OR(Loans[[#This Row],[LoanStatus]]="Default",Loans[[#This Row],[LoanStatus]]="Watchlist",Loans[[#This Row],[CollateralRisk]]="Undersecured",Loans[[#This Row],[RiskCategory]]="High Risk"),"High Risk Exposure","Normal")</f>
        <v>High Risk Exposure</v>
      </c>
      <c r="T1515" t="str" cm="1">
        <f t="array" ref="T1515">_xlfn.IFS(
Loans[[#This Row],[LoanStatus]]="Default","Critical",
OR(Loans[[#This Row],[LoanStatus]]="Watchlist",Loans[[#This Row],[CollateralRisk]]="Undersecured",Loans[[#This Row],[RiskCategory]]="High Risk"),"High",
TRUE,"Normal"
)</f>
        <v>High</v>
      </c>
    </row>
    <row r="1516" spans="1:20" x14ac:dyDescent="0.35">
      <c r="A1516" t="s">
        <v>2320</v>
      </c>
      <c r="B1516" t="s">
        <v>1246</v>
      </c>
      <c r="C1516" t="s">
        <v>174</v>
      </c>
      <c r="D1516" t="s">
        <v>156</v>
      </c>
      <c r="E1516" s="34">
        <v>1000000</v>
      </c>
      <c r="F1516" s="29">
        <v>0.20910000000000001</v>
      </c>
      <c r="G1516" s="30">
        <v>45593</v>
      </c>
      <c r="H1516">
        <v>24</v>
      </c>
      <c r="I1516">
        <v>0</v>
      </c>
      <c r="J1516" s="34">
        <v>1030000</v>
      </c>
      <c r="K1516" t="s">
        <v>171</v>
      </c>
      <c r="L1516" s="34">
        <f>PMT(Loans[[#This Row],[InterestRate]]/12,Loans[[#This Row],[LoanTenureMonths]],-Loans[[#This Row],[LoanAmount]])</f>
        <v>51341.455760227611</v>
      </c>
      <c r="M1516" s="30">
        <f>EDATE(Loans[[#This Row],[LoanStartDate]],Loans[[#This Row],[LoanTenureMonths]])</f>
        <v>46323</v>
      </c>
      <c r="N1516" s="33">
        <f>IF(Loans[[#This Row],[LoanAmount]]=0,0,Loans[[#This Row],[CollateralValue]]/Loans[[#This Row],[LoanAmount]])</f>
        <v>1.03</v>
      </c>
      <c r="O1516" t="str">
        <f>IF(Loans[[#This Row],[CollateralCoverageRatio]]&lt;1,"Undersecured","Secured")</f>
        <v>Secured</v>
      </c>
      <c r="P1516" t="str">
        <f>_xlfn.XLOOKUP(Loans[[#This Row],[BranchCode]],BranchesTbl[BranchCode],BranchesTbl[BranchName])</f>
        <v>Westlands</v>
      </c>
      <c r="Q1516">
        <f>_xlfn.XLOOKUP(Loans[[#This Row],[CustomerID]],CustomerTbl[CustomerID],CustomerTbl[RiskScore])</f>
        <v>309</v>
      </c>
      <c r="R1516" t="str">
        <f>IFERROR(INDEX(RiskTbl[Risk_Category],MATCH(Loans[[#This Row],[RiskScore]],RiskTbl[Score_Min],1)),"Unknown")</f>
        <v>High Risk</v>
      </c>
      <c r="S1516" t="str">
        <f>IF(OR(Loans[[#This Row],[LoanStatus]]="Default",Loans[[#This Row],[LoanStatus]]="Watchlist",Loans[[#This Row],[CollateralRisk]]="Undersecured",Loans[[#This Row],[RiskCategory]]="High Risk"),"High Risk Exposure","Normal")</f>
        <v>High Risk Exposure</v>
      </c>
      <c r="T1516" t="str" cm="1">
        <f t="array" ref="T1516">_xlfn.IFS(
Loans[[#This Row],[LoanStatus]]="Default","Critical",
OR(Loans[[#This Row],[LoanStatus]]="Watchlist",Loans[[#This Row],[CollateralRisk]]="Undersecured",Loans[[#This Row],[RiskCategory]]="High Risk"),"High",
TRUE,"Normal"
)</f>
        <v>High</v>
      </c>
    </row>
    <row r="1517" spans="1:20" x14ac:dyDescent="0.35">
      <c r="A1517" t="s">
        <v>2321</v>
      </c>
      <c r="B1517" t="s">
        <v>1098</v>
      </c>
      <c r="C1517" t="s">
        <v>193</v>
      </c>
      <c r="D1517" t="s">
        <v>157</v>
      </c>
      <c r="E1517" s="34">
        <v>25000000</v>
      </c>
      <c r="F1517" s="29">
        <v>9.8100000000000007E-2</v>
      </c>
      <c r="G1517" s="30">
        <v>45163</v>
      </c>
      <c r="H1517">
        <v>60</v>
      </c>
      <c r="I1517">
        <v>20</v>
      </c>
      <c r="J1517" s="34">
        <v>15500000</v>
      </c>
      <c r="K1517" t="s">
        <v>171</v>
      </c>
      <c r="L1517" s="34">
        <f>PMT(Loans[[#This Row],[InterestRate]]/12,Loans[[#This Row],[LoanTenureMonths]],-Loans[[#This Row],[LoanAmount]])</f>
        <v>528841.94369854196</v>
      </c>
      <c r="M1517" s="30">
        <f>EDATE(Loans[[#This Row],[LoanStartDate]],Loans[[#This Row],[LoanTenureMonths]])</f>
        <v>46990</v>
      </c>
      <c r="N1517" s="33">
        <f>IF(Loans[[#This Row],[LoanAmount]]=0,0,Loans[[#This Row],[CollateralValue]]/Loans[[#This Row],[LoanAmount]])</f>
        <v>0.62</v>
      </c>
      <c r="O1517" t="str">
        <f>IF(Loans[[#This Row],[CollateralCoverageRatio]]&lt;1,"Undersecured","Secured")</f>
        <v>Undersecured</v>
      </c>
      <c r="P1517" t="str">
        <f>_xlfn.XLOOKUP(Loans[[#This Row],[BranchCode]],BranchesTbl[BranchCode],BranchesTbl[BranchName])</f>
        <v>Mombasa</v>
      </c>
      <c r="Q1517">
        <f>_xlfn.XLOOKUP(Loans[[#This Row],[CustomerID]],CustomerTbl[CustomerID],CustomerTbl[RiskScore])</f>
        <v>839</v>
      </c>
      <c r="R1517" t="str">
        <f>IFERROR(INDEX(RiskTbl[Risk_Category],MATCH(Loans[[#This Row],[RiskScore]],RiskTbl[Score_Min],1)),"Unknown")</f>
        <v>Prime</v>
      </c>
      <c r="S1517" t="str">
        <f>IF(OR(Loans[[#This Row],[LoanStatus]]="Default",Loans[[#This Row],[LoanStatus]]="Watchlist",Loans[[#This Row],[CollateralRisk]]="Undersecured",Loans[[#This Row],[RiskCategory]]="High Risk"),"High Risk Exposure","Normal")</f>
        <v>High Risk Exposure</v>
      </c>
      <c r="T1517" t="str" cm="1">
        <f t="array" ref="T1517">_xlfn.IFS(
Loans[[#This Row],[LoanStatus]]="Default","Critical",
OR(Loans[[#This Row],[LoanStatus]]="Watchlist",Loans[[#This Row],[CollateralRisk]]="Undersecured",Loans[[#This Row],[RiskCategory]]="High Risk"),"High",
TRUE,"Normal"
)</f>
        <v>High</v>
      </c>
    </row>
    <row r="1518" spans="1:20" x14ac:dyDescent="0.35">
      <c r="A1518" t="s">
        <v>2322</v>
      </c>
      <c r="B1518" t="s">
        <v>1123</v>
      </c>
      <c r="C1518" t="s">
        <v>181</v>
      </c>
      <c r="D1518" t="s">
        <v>156</v>
      </c>
      <c r="E1518" s="34">
        <v>1000000</v>
      </c>
      <c r="F1518" s="29">
        <v>0.17449999999999999</v>
      </c>
      <c r="G1518" s="30">
        <v>44353</v>
      </c>
      <c r="H1518">
        <v>72</v>
      </c>
      <c r="I1518">
        <v>0</v>
      </c>
      <c r="J1518" s="34">
        <v>1360000</v>
      </c>
      <c r="K1518" t="s">
        <v>171</v>
      </c>
      <c r="L1518" s="34">
        <f>PMT(Loans[[#This Row],[InterestRate]]/12,Loans[[#This Row],[LoanTenureMonths]],-Loans[[#This Row],[LoanAmount]])</f>
        <v>22497.971906154093</v>
      </c>
      <c r="M1518" s="30">
        <f>EDATE(Loans[[#This Row],[LoanStartDate]],Loans[[#This Row],[LoanTenureMonths]])</f>
        <v>46544</v>
      </c>
      <c r="N1518" s="33">
        <f>IF(Loans[[#This Row],[LoanAmount]]=0,0,Loans[[#This Row],[CollateralValue]]/Loans[[#This Row],[LoanAmount]])</f>
        <v>1.36</v>
      </c>
      <c r="O1518" t="str">
        <f>IF(Loans[[#This Row],[CollateralCoverageRatio]]&lt;1,"Undersecured","Secured")</f>
        <v>Secured</v>
      </c>
      <c r="P1518" t="str">
        <f>_xlfn.XLOOKUP(Loans[[#This Row],[BranchCode]],BranchesTbl[BranchCode],BranchesTbl[BranchName])</f>
        <v>Kitale</v>
      </c>
      <c r="Q1518">
        <f>_xlfn.XLOOKUP(Loans[[#This Row],[CustomerID]],CustomerTbl[CustomerID],CustomerTbl[RiskScore])</f>
        <v>545</v>
      </c>
      <c r="R1518" t="str">
        <f>IFERROR(INDEX(RiskTbl[Risk_Category],MATCH(Loans[[#This Row],[RiskScore]],RiskTbl[Score_Min],1)),"Unknown")</f>
        <v>High Risk</v>
      </c>
      <c r="S1518" t="str">
        <f>IF(OR(Loans[[#This Row],[LoanStatus]]="Default",Loans[[#This Row],[LoanStatus]]="Watchlist",Loans[[#This Row],[CollateralRisk]]="Undersecured",Loans[[#This Row],[RiskCategory]]="High Risk"),"High Risk Exposure","Normal")</f>
        <v>High Risk Exposure</v>
      </c>
      <c r="T1518" t="str" cm="1">
        <f t="array" ref="T1518">_xlfn.IFS(
Loans[[#This Row],[LoanStatus]]="Default","Critical",
OR(Loans[[#This Row],[LoanStatus]]="Watchlist",Loans[[#This Row],[CollateralRisk]]="Undersecured",Loans[[#This Row],[RiskCategory]]="High Risk"),"High",
TRUE,"Normal"
)</f>
        <v>High</v>
      </c>
    </row>
    <row r="1519" spans="1:20" x14ac:dyDescent="0.35">
      <c r="A1519" t="s">
        <v>2323</v>
      </c>
      <c r="B1519" t="s">
        <v>490</v>
      </c>
      <c r="C1519" t="s">
        <v>177</v>
      </c>
      <c r="D1519" t="s">
        <v>155</v>
      </c>
      <c r="E1519" s="34">
        <v>500000</v>
      </c>
      <c r="F1519" s="29">
        <v>0.23530000000000001</v>
      </c>
      <c r="G1519" s="30">
        <v>45124</v>
      </c>
      <c r="H1519">
        <v>60</v>
      </c>
      <c r="I1519">
        <v>45</v>
      </c>
      <c r="J1519" s="34">
        <v>0</v>
      </c>
      <c r="K1519" t="s">
        <v>199</v>
      </c>
      <c r="L1519" s="34">
        <f>PMT(Loans[[#This Row],[InterestRate]]/12,Loans[[#This Row],[LoanTenureMonths]],-Loans[[#This Row],[LoanAmount]])</f>
        <v>14247.904300186732</v>
      </c>
      <c r="M1519" s="30">
        <f>EDATE(Loans[[#This Row],[LoanStartDate]],Loans[[#This Row],[LoanTenureMonths]])</f>
        <v>46951</v>
      </c>
      <c r="N1519" s="33">
        <f>IF(Loans[[#This Row],[LoanAmount]]=0,0,Loans[[#This Row],[CollateralValue]]/Loans[[#This Row],[LoanAmount]])</f>
        <v>0</v>
      </c>
      <c r="O1519" t="str">
        <f>IF(Loans[[#This Row],[CollateralCoverageRatio]]&lt;1,"Undersecured","Secured")</f>
        <v>Undersecured</v>
      </c>
      <c r="P1519" t="str">
        <f>_xlfn.XLOOKUP(Loans[[#This Row],[BranchCode]],BranchesTbl[BranchCode],BranchesTbl[BranchName])</f>
        <v>Naivasha</v>
      </c>
      <c r="Q1519">
        <f>_xlfn.XLOOKUP(Loans[[#This Row],[CustomerID]],CustomerTbl[CustomerID],CustomerTbl[RiskScore])</f>
        <v>510</v>
      </c>
      <c r="R1519" t="str">
        <f>IFERROR(INDEX(RiskTbl[Risk_Category],MATCH(Loans[[#This Row],[RiskScore]],RiskTbl[Score_Min],1)),"Unknown")</f>
        <v>High Risk</v>
      </c>
      <c r="S1519" t="str">
        <f>IF(OR(Loans[[#This Row],[LoanStatus]]="Default",Loans[[#This Row],[LoanStatus]]="Watchlist",Loans[[#This Row],[CollateralRisk]]="Undersecured",Loans[[#This Row],[RiskCategory]]="High Risk"),"High Risk Exposure","Normal")</f>
        <v>High Risk Exposure</v>
      </c>
      <c r="T1519" t="str" cm="1">
        <f t="array" ref="T1519">_xlfn.IFS(
Loans[[#This Row],[LoanStatus]]="Default","Critical",
OR(Loans[[#This Row],[LoanStatus]]="Watchlist",Loans[[#This Row],[CollateralRisk]]="Undersecured",Loans[[#This Row],[RiskCategory]]="High Risk"),"High",
TRUE,"Normal"
)</f>
        <v>High</v>
      </c>
    </row>
    <row r="1520" spans="1:20" x14ac:dyDescent="0.35">
      <c r="A1520" t="s">
        <v>2324</v>
      </c>
      <c r="B1520" t="s">
        <v>1506</v>
      </c>
      <c r="C1520" t="s">
        <v>196</v>
      </c>
      <c r="D1520" t="s">
        <v>155</v>
      </c>
      <c r="E1520" s="34">
        <v>1000000</v>
      </c>
      <c r="F1520" s="29">
        <v>0.16239999999999999</v>
      </c>
      <c r="G1520" s="30">
        <v>45233</v>
      </c>
      <c r="H1520">
        <v>12</v>
      </c>
      <c r="I1520">
        <v>0</v>
      </c>
      <c r="J1520" s="34">
        <v>0</v>
      </c>
      <c r="K1520" t="s">
        <v>171</v>
      </c>
      <c r="L1520" s="34">
        <f>PMT(Loans[[#This Row],[InterestRate]]/12,Loans[[#This Row],[LoanTenureMonths]],-Loans[[#This Row],[LoanAmount]])</f>
        <v>90844.469548577865</v>
      </c>
      <c r="M1520" s="30">
        <f>EDATE(Loans[[#This Row],[LoanStartDate]],Loans[[#This Row],[LoanTenureMonths]])</f>
        <v>45599</v>
      </c>
      <c r="N1520" s="33">
        <f>IF(Loans[[#This Row],[LoanAmount]]=0,0,Loans[[#This Row],[CollateralValue]]/Loans[[#This Row],[LoanAmount]])</f>
        <v>0</v>
      </c>
      <c r="O1520" t="str">
        <f>IF(Loans[[#This Row],[CollateralCoverageRatio]]&lt;1,"Undersecured","Secured")</f>
        <v>Undersecured</v>
      </c>
      <c r="P1520" t="str">
        <f>_xlfn.XLOOKUP(Loans[[#This Row],[BranchCode]],BranchesTbl[BranchCode],BranchesTbl[BranchName])</f>
        <v>Karen</v>
      </c>
      <c r="Q1520">
        <f>_xlfn.XLOOKUP(Loans[[#This Row],[CustomerID]],CustomerTbl[CustomerID],CustomerTbl[RiskScore])</f>
        <v>819</v>
      </c>
      <c r="R1520" t="str">
        <f>IFERROR(INDEX(RiskTbl[Risk_Category],MATCH(Loans[[#This Row],[RiskScore]],RiskTbl[Score_Min],1)),"Unknown")</f>
        <v>Prime</v>
      </c>
      <c r="S1520" t="str">
        <f>IF(OR(Loans[[#This Row],[LoanStatus]]="Default",Loans[[#This Row],[LoanStatus]]="Watchlist",Loans[[#This Row],[CollateralRisk]]="Undersecured",Loans[[#This Row],[RiskCategory]]="High Risk"),"High Risk Exposure","Normal")</f>
        <v>High Risk Exposure</v>
      </c>
      <c r="T1520" t="str" cm="1">
        <f t="array" ref="T1520">_xlfn.IFS(
Loans[[#This Row],[LoanStatus]]="Default","Critical",
OR(Loans[[#This Row],[LoanStatus]]="Watchlist",Loans[[#This Row],[CollateralRisk]]="Undersecured",Loans[[#This Row],[RiskCategory]]="High Risk"),"High",
TRUE,"Normal"
)</f>
        <v>High</v>
      </c>
    </row>
    <row r="1521" spans="1:20" x14ac:dyDescent="0.35">
      <c r="A1521" t="s">
        <v>2325</v>
      </c>
      <c r="B1521" t="s">
        <v>2326</v>
      </c>
      <c r="C1521" t="s">
        <v>219</v>
      </c>
      <c r="D1521" t="s">
        <v>155</v>
      </c>
      <c r="E1521" s="34">
        <v>100000</v>
      </c>
      <c r="F1521" s="29">
        <v>0.19500000000000001</v>
      </c>
      <c r="G1521" s="30">
        <v>45632</v>
      </c>
      <c r="H1521">
        <v>72</v>
      </c>
      <c r="I1521">
        <v>0</v>
      </c>
      <c r="J1521" s="34">
        <v>0</v>
      </c>
      <c r="K1521" t="s">
        <v>171</v>
      </c>
      <c r="L1521" s="34">
        <f>PMT(Loans[[#This Row],[InterestRate]]/12,Loans[[#This Row],[LoanTenureMonths]],-Loans[[#This Row],[LoanAmount]])</f>
        <v>2366.388454103831</v>
      </c>
      <c r="M1521" s="30">
        <f>EDATE(Loans[[#This Row],[LoanStartDate]],Loans[[#This Row],[LoanTenureMonths]])</f>
        <v>47823</v>
      </c>
      <c r="N1521" s="33">
        <f>IF(Loans[[#This Row],[LoanAmount]]=0,0,Loans[[#This Row],[CollateralValue]]/Loans[[#This Row],[LoanAmount]])</f>
        <v>0</v>
      </c>
      <c r="O1521" t="str">
        <f>IF(Loans[[#This Row],[CollateralCoverageRatio]]&lt;1,"Undersecured","Secured")</f>
        <v>Undersecured</v>
      </c>
      <c r="P1521" t="str">
        <f>_xlfn.XLOOKUP(Loans[[#This Row],[BranchCode]],BranchesTbl[BranchCode],BranchesTbl[BranchName])</f>
        <v>Meru</v>
      </c>
      <c r="Q1521">
        <f>_xlfn.XLOOKUP(Loans[[#This Row],[CustomerID]],CustomerTbl[CustomerID],CustomerTbl[RiskScore])</f>
        <v>344</v>
      </c>
      <c r="R1521" t="str">
        <f>IFERROR(INDEX(RiskTbl[Risk_Category],MATCH(Loans[[#This Row],[RiskScore]],RiskTbl[Score_Min],1)),"Unknown")</f>
        <v>High Risk</v>
      </c>
      <c r="S1521" t="str">
        <f>IF(OR(Loans[[#This Row],[LoanStatus]]="Default",Loans[[#This Row],[LoanStatus]]="Watchlist",Loans[[#This Row],[CollateralRisk]]="Undersecured",Loans[[#This Row],[RiskCategory]]="High Risk"),"High Risk Exposure","Normal")</f>
        <v>High Risk Exposure</v>
      </c>
      <c r="T1521" t="str" cm="1">
        <f t="array" ref="T1521">_xlfn.IFS(
Loans[[#This Row],[LoanStatus]]="Default","Critical",
OR(Loans[[#This Row],[LoanStatus]]="Watchlist",Loans[[#This Row],[CollateralRisk]]="Undersecured",Loans[[#This Row],[RiskCategory]]="High Risk"),"High",
TRUE,"Normal"
)</f>
        <v>High</v>
      </c>
    </row>
    <row r="1522" spans="1:20" x14ac:dyDescent="0.35">
      <c r="A1522" t="s">
        <v>2327</v>
      </c>
      <c r="B1522" t="s">
        <v>579</v>
      </c>
      <c r="C1522" t="s">
        <v>270</v>
      </c>
      <c r="D1522" t="s">
        <v>158</v>
      </c>
      <c r="E1522" s="34">
        <v>6000000</v>
      </c>
      <c r="F1522" s="29">
        <v>0.1865</v>
      </c>
      <c r="G1522" s="30">
        <v>45586</v>
      </c>
      <c r="H1522">
        <v>60</v>
      </c>
      <c r="I1522">
        <v>10</v>
      </c>
      <c r="J1522" s="34">
        <v>7560000</v>
      </c>
      <c r="K1522" t="s">
        <v>171</v>
      </c>
      <c r="L1522" s="34">
        <f>PMT(Loans[[#This Row],[InterestRate]]/12,Loans[[#This Row],[LoanTenureMonths]],-Loans[[#This Row],[LoanAmount]])</f>
        <v>154490.08981922831</v>
      </c>
      <c r="M1522" s="30">
        <f>EDATE(Loans[[#This Row],[LoanStartDate]],Loans[[#This Row],[LoanTenureMonths]])</f>
        <v>47412</v>
      </c>
      <c r="N1522" s="33">
        <f>IF(Loans[[#This Row],[LoanAmount]]=0,0,Loans[[#This Row],[CollateralValue]]/Loans[[#This Row],[LoanAmount]])</f>
        <v>1.26</v>
      </c>
      <c r="O1522" t="str">
        <f>IF(Loans[[#This Row],[CollateralCoverageRatio]]&lt;1,"Undersecured","Secured")</f>
        <v>Secured</v>
      </c>
      <c r="P1522" t="str">
        <f>_xlfn.XLOOKUP(Loans[[#This Row],[BranchCode]],BranchesTbl[BranchCode],BranchesTbl[BranchName])</f>
        <v>Nakuru</v>
      </c>
      <c r="Q1522">
        <f>_xlfn.XLOOKUP(Loans[[#This Row],[CustomerID]],CustomerTbl[CustomerID],CustomerTbl[RiskScore])</f>
        <v>334</v>
      </c>
      <c r="R1522" t="str">
        <f>IFERROR(INDEX(RiskTbl[Risk_Category],MATCH(Loans[[#This Row],[RiskScore]],RiskTbl[Score_Min],1)),"Unknown")</f>
        <v>High Risk</v>
      </c>
      <c r="S1522" t="str">
        <f>IF(OR(Loans[[#This Row],[LoanStatus]]="Default",Loans[[#This Row],[LoanStatus]]="Watchlist",Loans[[#This Row],[CollateralRisk]]="Undersecured",Loans[[#This Row],[RiskCategory]]="High Risk"),"High Risk Exposure","Normal")</f>
        <v>High Risk Exposure</v>
      </c>
      <c r="T1522" t="str" cm="1">
        <f t="array" ref="T1522">_xlfn.IFS(
Loans[[#This Row],[LoanStatus]]="Default","Critical",
OR(Loans[[#This Row],[LoanStatus]]="Watchlist",Loans[[#This Row],[CollateralRisk]]="Undersecured",Loans[[#This Row],[RiskCategory]]="High Risk"),"High",
TRUE,"Normal"
)</f>
        <v>High</v>
      </c>
    </row>
    <row r="1523" spans="1:20" x14ac:dyDescent="0.35">
      <c r="A1523" t="s">
        <v>2328</v>
      </c>
      <c r="B1523" t="s">
        <v>726</v>
      </c>
      <c r="C1523" t="s">
        <v>232</v>
      </c>
      <c r="D1523" t="s">
        <v>156</v>
      </c>
      <c r="E1523" s="34">
        <v>1000000</v>
      </c>
      <c r="F1523" s="29">
        <v>0.15790000000000001</v>
      </c>
      <c r="G1523" s="30">
        <v>45124</v>
      </c>
      <c r="H1523">
        <v>72</v>
      </c>
      <c r="I1523">
        <v>0</v>
      </c>
      <c r="J1523" s="34">
        <v>840000</v>
      </c>
      <c r="K1523" t="s">
        <v>171</v>
      </c>
      <c r="L1523" s="34">
        <f>PMT(Loans[[#This Row],[InterestRate]]/12,Loans[[#This Row],[LoanTenureMonths]],-Loans[[#This Row],[LoanAmount]])</f>
        <v>21576.38472301792</v>
      </c>
      <c r="M1523" s="30">
        <f>EDATE(Loans[[#This Row],[LoanStartDate]],Loans[[#This Row],[LoanTenureMonths]])</f>
        <v>47316</v>
      </c>
      <c r="N1523" s="33">
        <f>IF(Loans[[#This Row],[LoanAmount]]=0,0,Loans[[#This Row],[CollateralValue]]/Loans[[#This Row],[LoanAmount]])</f>
        <v>0.84</v>
      </c>
      <c r="O1523" t="str">
        <f>IF(Loans[[#This Row],[CollateralCoverageRatio]]&lt;1,"Undersecured","Secured")</f>
        <v>Undersecured</v>
      </c>
      <c r="P1523" t="str">
        <f>_xlfn.XLOOKUP(Loans[[#This Row],[BranchCode]],BranchesTbl[BranchCode],BranchesTbl[BranchName])</f>
        <v>Upper Hill</v>
      </c>
      <c r="Q1523">
        <f>_xlfn.XLOOKUP(Loans[[#This Row],[CustomerID]],CustomerTbl[CustomerID],CustomerTbl[RiskScore])</f>
        <v>571</v>
      </c>
      <c r="R1523" t="str">
        <f>IFERROR(INDEX(RiskTbl[Risk_Category],MATCH(Loans[[#This Row],[RiskScore]],RiskTbl[Score_Min],1)),"Unknown")</f>
        <v>High Risk</v>
      </c>
      <c r="S1523" t="str">
        <f>IF(OR(Loans[[#This Row],[LoanStatus]]="Default",Loans[[#This Row],[LoanStatus]]="Watchlist",Loans[[#This Row],[CollateralRisk]]="Undersecured",Loans[[#This Row],[RiskCategory]]="High Risk"),"High Risk Exposure","Normal")</f>
        <v>High Risk Exposure</v>
      </c>
      <c r="T1523" t="str" cm="1">
        <f t="array" ref="T1523">_xlfn.IFS(
Loans[[#This Row],[LoanStatus]]="Default","Critical",
OR(Loans[[#This Row],[LoanStatus]]="Watchlist",Loans[[#This Row],[CollateralRisk]]="Undersecured",Loans[[#This Row],[RiskCategory]]="High Risk"),"High",
TRUE,"Normal"
)</f>
        <v>High</v>
      </c>
    </row>
    <row r="1524" spans="1:20" x14ac:dyDescent="0.35">
      <c r="A1524" t="s">
        <v>2329</v>
      </c>
      <c r="B1524" t="s">
        <v>2330</v>
      </c>
      <c r="C1524" t="s">
        <v>196</v>
      </c>
      <c r="D1524" t="s">
        <v>158</v>
      </c>
      <c r="E1524" s="34">
        <v>6000000</v>
      </c>
      <c r="F1524" s="29">
        <v>0.1255</v>
      </c>
      <c r="G1524" s="30">
        <v>45387</v>
      </c>
      <c r="H1524">
        <v>48</v>
      </c>
      <c r="I1524">
        <v>45</v>
      </c>
      <c r="J1524" s="34">
        <v>4620000</v>
      </c>
      <c r="K1524" t="s">
        <v>199</v>
      </c>
      <c r="L1524" s="34">
        <f>PMT(Loans[[#This Row],[InterestRate]]/12,Loans[[#This Row],[LoanTenureMonths]],-Loans[[#This Row],[LoanAmount]])</f>
        <v>159628.13183605325</v>
      </c>
      <c r="M1524" s="30">
        <f>EDATE(Loans[[#This Row],[LoanStartDate]],Loans[[#This Row],[LoanTenureMonths]])</f>
        <v>46848</v>
      </c>
      <c r="N1524" s="33">
        <f>IF(Loans[[#This Row],[LoanAmount]]=0,0,Loans[[#This Row],[CollateralValue]]/Loans[[#This Row],[LoanAmount]])</f>
        <v>0.77</v>
      </c>
      <c r="O1524" t="str">
        <f>IF(Loans[[#This Row],[CollateralCoverageRatio]]&lt;1,"Undersecured","Secured")</f>
        <v>Undersecured</v>
      </c>
      <c r="P1524" t="str">
        <f>_xlfn.XLOOKUP(Loans[[#This Row],[BranchCode]],BranchesTbl[BranchCode],BranchesTbl[BranchName])</f>
        <v>Karen</v>
      </c>
      <c r="Q1524">
        <f>_xlfn.XLOOKUP(Loans[[#This Row],[CustomerID]],CustomerTbl[CustomerID],CustomerTbl[RiskScore])</f>
        <v>701</v>
      </c>
      <c r="R1524" t="str">
        <f>IFERROR(INDEX(RiskTbl[Risk_Category],MATCH(Loans[[#This Row],[RiskScore]],RiskTbl[Score_Min],1)),"Unknown")</f>
        <v>Low Risk</v>
      </c>
      <c r="S1524" t="str">
        <f>IF(OR(Loans[[#This Row],[LoanStatus]]="Default",Loans[[#This Row],[LoanStatus]]="Watchlist",Loans[[#This Row],[CollateralRisk]]="Undersecured",Loans[[#This Row],[RiskCategory]]="High Risk"),"High Risk Exposure","Normal")</f>
        <v>High Risk Exposure</v>
      </c>
      <c r="T1524" t="str" cm="1">
        <f t="array" ref="T1524">_xlfn.IFS(
Loans[[#This Row],[LoanStatus]]="Default","Critical",
OR(Loans[[#This Row],[LoanStatus]]="Watchlist",Loans[[#This Row],[CollateralRisk]]="Undersecured",Loans[[#This Row],[RiskCategory]]="High Risk"),"High",
TRUE,"Normal"
)</f>
        <v>High</v>
      </c>
    </row>
    <row r="1525" spans="1:20" x14ac:dyDescent="0.35">
      <c r="A1525" t="s">
        <v>2331</v>
      </c>
      <c r="B1525" t="s">
        <v>210</v>
      </c>
      <c r="C1525" t="s">
        <v>219</v>
      </c>
      <c r="D1525" t="s">
        <v>156</v>
      </c>
      <c r="E1525" s="34">
        <v>3000000</v>
      </c>
      <c r="F1525" s="29">
        <v>0.18190000000000001</v>
      </c>
      <c r="G1525" s="30">
        <v>44472</v>
      </c>
      <c r="H1525">
        <v>36</v>
      </c>
      <c r="I1525">
        <v>20</v>
      </c>
      <c r="J1525" s="34">
        <v>1830000</v>
      </c>
      <c r="K1525" t="s">
        <v>171</v>
      </c>
      <c r="L1525" s="34">
        <f>PMT(Loans[[#This Row],[InterestRate]]/12,Loans[[#This Row],[LoanTenureMonths]],-Loans[[#This Row],[LoanAmount]])</f>
        <v>108743.34080281302</v>
      </c>
      <c r="M1525" s="30">
        <f>EDATE(Loans[[#This Row],[LoanStartDate]],Loans[[#This Row],[LoanTenureMonths]])</f>
        <v>45568</v>
      </c>
      <c r="N1525" s="33">
        <f>IF(Loans[[#This Row],[LoanAmount]]=0,0,Loans[[#This Row],[CollateralValue]]/Loans[[#This Row],[LoanAmount]])</f>
        <v>0.61</v>
      </c>
      <c r="O1525" t="str">
        <f>IF(Loans[[#This Row],[CollateralCoverageRatio]]&lt;1,"Undersecured","Secured")</f>
        <v>Undersecured</v>
      </c>
      <c r="P1525" t="str">
        <f>_xlfn.XLOOKUP(Loans[[#This Row],[BranchCode]],BranchesTbl[BranchCode],BranchesTbl[BranchName])</f>
        <v>Meru</v>
      </c>
      <c r="Q1525">
        <f>_xlfn.XLOOKUP(Loans[[#This Row],[CustomerID]],CustomerTbl[CustomerID],CustomerTbl[RiskScore])</f>
        <v>614</v>
      </c>
      <c r="R1525" t="str">
        <f>IFERROR(INDEX(RiskTbl[Risk_Category],MATCH(Loans[[#This Row],[RiskScore]],RiskTbl[Score_Min],1)),"Unknown")</f>
        <v>Medium Risk</v>
      </c>
      <c r="S1525" t="str">
        <f>IF(OR(Loans[[#This Row],[LoanStatus]]="Default",Loans[[#This Row],[LoanStatus]]="Watchlist",Loans[[#This Row],[CollateralRisk]]="Undersecured",Loans[[#This Row],[RiskCategory]]="High Risk"),"High Risk Exposure","Normal")</f>
        <v>High Risk Exposure</v>
      </c>
      <c r="T1525" t="str" cm="1">
        <f t="array" ref="T1525">_xlfn.IFS(
Loans[[#This Row],[LoanStatus]]="Default","Critical",
OR(Loans[[#This Row],[LoanStatus]]="Watchlist",Loans[[#This Row],[CollateralRisk]]="Undersecured",Loans[[#This Row],[RiskCategory]]="High Risk"),"High",
TRUE,"Normal"
)</f>
        <v>High</v>
      </c>
    </row>
    <row r="1526" spans="1:20" x14ac:dyDescent="0.35">
      <c r="A1526" t="s">
        <v>2332</v>
      </c>
      <c r="B1526" t="s">
        <v>1400</v>
      </c>
      <c r="C1526" t="s">
        <v>196</v>
      </c>
      <c r="D1526" t="s">
        <v>157</v>
      </c>
      <c r="E1526" s="34">
        <v>25000000</v>
      </c>
      <c r="F1526" s="29">
        <v>0.1331</v>
      </c>
      <c r="G1526" s="30">
        <v>45224</v>
      </c>
      <c r="H1526">
        <v>60</v>
      </c>
      <c r="I1526">
        <v>90</v>
      </c>
      <c r="J1526" s="34">
        <v>29250000</v>
      </c>
      <c r="K1526" t="s">
        <v>199</v>
      </c>
      <c r="L1526" s="34">
        <f>PMT(Loans[[#This Row],[InterestRate]]/12,Loans[[#This Row],[LoanTenureMonths]],-Loans[[#This Row],[LoanAmount]])</f>
        <v>572801.99273588869</v>
      </c>
      <c r="M1526" s="30">
        <f>EDATE(Loans[[#This Row],[LoanStartDate]],Loans[[#This Row],[LoanTenureMonths]])</f>
        <v>47051</v>
      </c>
      <c r="N1526" s="33">
        <f>IF(Loans[[#This Row],[LoanAmount]]=0,0,Loans[[#This Row],[CollateralValue]]/Loans[[#This Row],[LoanAmount]])</f>
        <v>1.17</v>
      </c>
      <c r="O1526" t="str">
        <f>IF(Loans[[#This Row],[CollateralCoverageRatio]]&lt;1,"Undersecured","Secured")</f>
        <v>Secured</v>
      </c>
      <c r="P1526" t="str">
        <f>_xlfn.XLOOKUP(Loans[[#This Row],[BranchCode]],BranchesTbl[BranchCode],BranchesTbl[BranchName])</f>
        <v>Karen</v>
      </c>
      <c r="Q1526">
        <f>_xlfn.XLOOKUP(Loans[[#This Row],[CustomerID]],CustomerTbl[CustomerID],CustomerTbl[RiskScore])</f>
        <v>673</v>
      </c>
      <c r="R1526" t="str">
        <f>IFERROR(INDEX(RiskTbl[Risk_Category],MATCH(Loans[[#This Row],[RiskScore]],RiskTbl[Score_Min],1)),"Unknown")</f>
        <v>Low Risk</v>
      </c>
      <c r="S1526" t="str">
        <f>IF(OR(Loans[[#This Row],[LoanStatus]]="Default",Loans[[#This Row],[LoanStatus]]="Watchlist",Loans[[#This Row],[CollateralRisk]]="Undersecured",Loans[[#This Row],[RiskCategory]]="High Risk"),"High Risk Exposure","Normal")</f>
        <v>High Risk Exposure</v>
      </c>
      <c r="T1526" t="str" cm="1">
        <f t="array" ref="T1526">_xlfn.IFS(
Loans[[#This Row],[LoanStatus]]="Default","Critical",
OR(Loans[[#This Row],[LoanStatus]]="Watchlist",Loans[[#This Row],[CollateralRisk]]="Undersecured",Loans[[#This Row],[RiskCategory]]="High Risk"),"High",
TRUE,"Normal"
)</f>
        <v>High</v>
      </c>
    </row>
    <row r="1527" spans="1:20" x14ac:dyDescent="0.35">
      <c r="A1527" t="s">
        <v>2333</v>
      </c>
      <c r="B1527" t="s">
        <v>1750</v>
      </c>
      <c r="C1527" t="s">
        <v>232</v>
      </c>
      <c r="D1527" t="s">
        <v>158</v>
      </c>
      <c r="E1527" s="34">
        <v>500000</v>
      </c>
      <c r="F1527" s="29">
        <v>0.13100000000000001</v>
      </c>
      <c r="G1527" s="30">
        <v>44287</v>
      </c>
      <c r="H1527">
        <v>72</v>
      </c>
      <c r="I1527">
        <v>45</v>
      </c>
      <c r="J1527" s="34">
        <v>515000</v>
      </c>
      <c r="K1527" t="s">
        <v>199</v>
      </c>
      <c r="L1527" s="34">
        <f>PMT(Loans[[#This Row],[InterestRate]]/12,Loans[[#This Row],[LoanTenureMonths]],-Loans[[#This Row],[LoanAmount]])</f>
        <v>10063.461241313707</v>
      </c>
      <c r="M1527" s="30">
        <f>EDATE(Loans[[#This Row],[LoanStartDate]],Loans[[#This Row],[LoanTenureMonths]])</f>
        <v>46478</v>
      </c>
      <c r="N1527" s="33">
        <f>IF(Loans[[#This Row],[LoanAmount]]=0,0,Loans[[#This Row],[CollateralValue]]/Loans[[#This Row],[LoanAmount]])</f>
        <v>1.03</v>
      </c>
      <c r="O1527" t="str">
        <f>IF(Loans[[#This Row],[CollateralCoverageRatio]]&lt;1,"Undersecured","Secured")</f>
        <v>Secured</v>
      </c>
      <c r="P1527" t="str">
        <f>_xlfn.XLOOKUP(Loans[[#This Row],[BranchCode]],BranchesTbl[BranchCode],BranchesTbl[BranchName])</f>
        <v>Upper Hill</v>
      </c>
      <c r="Q1527">
        <f>_xlfn.XLOOKUP(Loans[[#This Row],[CustomerID]],CustomerTbl[CustomerID],CustomerTbl[RiskScore])</f>
        <v>678</v>
      </c>
      <c r="R1527" t="str">
        <f>IFERROR(INDEX(RiskTbl[Risk_Category],MATCH(Loans[[#This Row],[RiskScore]],RiskTbl[Score_Min],1)),"Unknown")</f>
        <v>Low Risk</v>
      </c>
      <c r="S1527" t="str">
        <f>IF(OR(Loans[[#This Row],[LoanStatus]]="Default",Loans[[#This Row],[LoanStatus]]="Watchlist",Loans[[#This Row],[CollateralRisk]]="Undersecured",Loans[[#This Row],[RiskCategory]]="High Risk"),"High Risk Exposure","Normal")</f>
        <v>High Risk Exposure</v>
      </c>
      <c r="T1527" t="str" cm="1">
        <f t="array" ref="T1527">_xlfn.IFS(
Loans[[#This Row],[LoanStatus]]="Default","Critical",
OR(Loans[[#This Row],[LoanStatus]]="Watchlist",Loans[[#This Row],[CollateralRisk]]="Undersecured",Loans[[#This Row],[RiskCategory]]="High Risk"),"High",
TRUE,"Normal"
)</f>
        <v>High</v>
      </c>
    </row>
    <row r="1528" spans="1:20" x14ac:dyDescent="0.35">
      <c r="A1528" t="s">
        <v>2334</v>
      </c>
      <c r="B1528" t="s">
        <v>1975</v>
      </c>
      <c r="C1528" t="s">
        <v>219</v>
      </c>
      <c r="D1528" t="s">
        <v>157</v>
      </c>
      <c r="E1528" s="34">
        <v>25000000</v>
      </c>
      <c r="F1528" s="29">
        <v>0.106</v>
      </c>
      <c r="G1528" s="30">
        <v>45817</v>
      </c>
      <c r="H1528">
        <v>72</v>
      </c>
      <c r="I1528">
        <v>0</v>
      </c>
      <c r="J1528" s="34">
        <v>29000000</v>
      </c>
      <c r="K1528" t="s">
        <v>171</v>
      </c>
      <c r="L1528" s="34">
        <f>PMT(Loans[[#This Row],[InterestRate]]/12,Loans[[#This Row],[LoanTenureMonths]],-Loans[[#This Row],[LoanAmount]])</f>
        <v>470745.84756178426</v>
      </c>
      <c r="M1528" s="30">
        <f>EDATE(Loans[[#This Row],[LoanStartDate]],Loans[[#This Row],[LoanTenureMonths]])</f>
        <v>48008</v>
      </c>
      <c r="N1528" s="33">
        <f>IF(Loans[[#This Row],[LoanAmount]]=0,0,Loans[[#This Row],[CollateralValue]]/Loans[[#This Row],[LoanAmount]])</f>
        <v>1.1599999999999999</v>
      </c>
      <c r="O1528" t="str">
        <f>IF(Loans[[#This Row],[CollateralCoverageRatio]]&lt;1,"Undersecured","Secured")</f>
        <v>Secured</v>
      </c>
      <c r="P1528" t="str">
        <f>_xlfn.XLOOKUP(Loans[[#This Row],[BranchCode]],BranchesTbl[BranchCode],BranchesTbl[BranchName])</f>
        <v>Meru</v>
      </c>
      <c r="Q1528">
        <f>_xlfn.XLOOKUP(Loans[[#This Row],[CustomerID]],CustomerTbl[CustomerID],CustomerTbl[RiskScore])</f>
        <v>316</v>
      </c>
      <c r="R1528" t="str">
        <f>IFERROR(INDEX(RiskTbl[Risk_Category],MATCH(Loans[[#This Row],[RiskScore]],RiskTbl[Score_Min],1)),"Unknown")</f>
        <v>High Risk</v>
      </c>
      <c r="S1528" t="str">
        <f>IF(OR(Loans[[#This Row],[LoanStatus]]="Default",Loans[[#This Row],[LoanStatus]]="Watchlist",Loans[[#This Row],[CollateralRisk]]="Undersecured",Loans[[#This Row],[RiskCategory]]="High Risk"),"High Risk Exposure","Normal")</f>
        <v>High Risk Exposure</v>
      </c>
      <c r="T1528" t="str" cm="1">
        <f t="array" ref="T1528">_xlfn.IFS(
Loans[[#This Row],[LoanStatus]]="Default","Critical",
OR(Loans[[#This Row],[LoanStatus]]="Watchlist",Loans[[#This Row],[CollateralRisk]]="Undersecured",Loans[[#This Row],[RiskCategory]]="High Risk"),"High",
TRUE,"Normal"
)</f>
        <v>High</v>
      </c>
    </row>
    <row r="1529" spans="1:20" x14ac:dyDescent="0.35">
      <c r="A1529" t="s">
        <v>2335</v>
      </c>
      <c r="B1529" t="s">
        <v>292</v>
      </c>
      <c r="C1529" t="s">
        <v>181</v>
      </c>
      <c r="D1529" t="s">
        <v>158</v>
      </c>
      <c r="E1529" s="34">
        <v>3000000</v>
      </c>
      <c r="F1529" s="29">
        <v>0.1578</v>
      </c>
      <c r="G1529" s="30">
        <v>44557</v>
      </c>
      <c r="H1529">
        <v>60</v>
      </c>
      <c r="I1529">
        <v>0</v>
      </c>
      <c r="J1529" s="34">
        <v>1560000</v>
      </c>
      <c r="K1529" t="s">
        <v>171</v>
      </c>
      <c r="L1529" s="34">
        <f>PMT(Loans[[#This Row],[InterestRate]]/12,Loans[[#This Row],[LoanTenureMonths]],-Loans[[#This Row],[LoanAmount]])</f>
        <v>72603.956310604335</v>
      </c>
      <c r="M1529" s="30">
        <f>EDATE(Loans[[#This Row],[LoanStartDate]],Loans[[#This Row],[LoanTenureMonths]])</f>
        <v>46383</v>
      </c>
      <c r="N1529" s="33">
        <f>IF(Loans[[#This Row],[LoanAmount]]=0,0,Loans[[#This Row],[CollateralValue]]/Loans[[#This Row],[LoanAmount]])</f>
        <v>0.52</v>
      </c>
      <c r="O1529" t="str">
        <f>IF(Loans[[#This Row],[CollateralCoverageRatio]]&lt;1,"Undersecured","Secured")</f>
        <v>Undersecured</v>
      </c>
      <c r="P1529" t="str">
        <f>_xlfn.XLOOKUP(Loans[[#This Row],[BranchCode]],BranchesTbl[BranchCode],BranchesTbl[BranchName])</f>
        <v>Kitale</v>
      </c>
      <c r="Q1529">
        <f>_xlfn.XLOOKUP(Loans[[#This Row],[CustomerID]],CustomerTbl[CustomerID],CustomerTbl[RiskScore])</f>
        <v>831</v>
      </c>
      <c r="R1529" t="str">
        <f>IFERROR(INDEX(RiskTbl[Risk_Category],MATCH(Loans[[#This Row],[RiskScore]],RiskTbl[Score_Min],1)),"Unknown")</f>
        <v>Prime</v>
      </c>
      <c r="S1529" t="str">
        <f>IF(OR(Loans[[#This Row],[LoanStatus]]="Default",Loans[[#This Row],[LoanStatus]]="Watchlist",Loans[[#This Row],[CollateralRisk]]="Undersecured",Loans[[#This Row],[RiskCategory]]="High Risk"),"High Risk Exposure","Normal")</f>
        <v>High Risk Exposure</v>
      </c>
      <c r="T1529" t="str" cm="1">
        <f t="array" ref="T1529">_xlfn.IFS(
Loans[[#This Row],[LoanStatus]]="Default","Critical",
OR(Loans[[#This Row],[LoanStatus]]="Watchlist",Loans[[#This Row],[CollateralRisk]]="Undersecured",Loans[[#This Row],[RiskCategory]]="High Risk"),"High",
TRUE,"Normal"
)</f>
        <v>High</v>
      </c>
    </row>
    <row r="1530" spans="1:20" x14ac:dyDescent="0.35">
      <c r="A1530" t="s">
        <v>2336</v>
      </c>
      <c r="B1530" t="s">
        <v>1161</v>
      </c>
      <c r="C1530" t="s">
        <v>267</v>
      </c>
      <c r="D1530" t="s">
        <v>156</v>
      </c>
      <c r="E1530" s="34">
        <v>25000000</v>
      </c>
      <c r="F1530" s="29">
        <v>0.20180000000000001</v>
      </c>
      <c r="G1530" s="30">
        <v>45597</v>
      </c>
      <c r="H1530">
        <v>60</v>
      </c>
      <c r="I1530">
        <v>0</v>
      </c>
      <c r="J1530" s="34">
        <v>22500000</v>
      </c>
      <c r="K1530" t="s">
        <v>171</v>
      </c>
      <c r="L1530" s="34">
        <f>PMT(Loans[[#This Row],[InterestRate]]/12,Loans[[#This Row],[LoanTenureMonths]],-Loans[[#This Row],[LoanAmount]])</f>
        <v>664853.44873081998</v>
      </c>
      <c r="M1530" s="30">
        <f>EDATE(Loans[[#This Row],[LoanStartDate]],Loans[[#This Row],[LoanTenureMonths]])</f>
        <v>47423</v>
      </c>
      <c r="N1530" s="33">
        <f>IF(Loans[[#This Row],[LoanAmount]]=0,0,Loans[[#This Row],[CollateralValue]]/Loans[[#This Row],[LoanAmount]])</f>
        <v>0.9</v>
      </c>
      <c r="O1530" t="str">
        <f>IF(Loans[[#This Row],[CollateralCoverageRatio]]&lt;1,"Undersecured","Secured")</f>
        <v>Undersecured</v>
      </c>
      <c r="P1530" t="str">
        <f>_xlfn.XLOOKUP(Loans[[#This Row],[BranchCode]],BranchesTbl[BranchCode],BranchesTbl[BranchName])</f>
        <v>Malindi</v>
      </c>
      <c r="Q1530">
        <f>_xlfn.XLOOKUP(Loans[[#This Row],[CustomerID]],CustomerTbl[CustomerID],CustomerTbl[RiskScore])</f>
        <v>389</v>
      </c>
      <c r="R1530" t="str">
        <f>IFERROR(INDEX(RiskTbl[Risk_Category],MATCH(Loans[[#This Row],[RiskScore]],RiskTbl[Score_Min],1)),"Unknown")</f>
        <v>High Risk</v>
      </c>
      <c r="S1530" t="str">
        <f>IF(OR(Loans[[#This Row],[LoanStatus]]="Default",Loans[[#This Row],[LoanStatus]]="Watchlist",Loans[[#This Row],[CollateralRisk]]="Undersecured",Loans[[#This Row],[RiskCategory]]="High Risk"),"High Risk Exposure","Normal")</f>
        <v>High Risk Exposure</v>
      </c>
      <c r="T1530" t="str" cm="1">
        <f t="array" ref="T1530">_xlfn.IFS(
Loans[[#This Row],[LoanStatus]]="Default","Critical",
OR(Loans[[#This Row],[LoanStatus]]="Watchlist",Loans[[#This Row],[CollateralRisk]]="Undersecured",Loans[[#This Row],[RiskCategory]]="High Risk"),"High",
TRUE,"Normal"
)</f>
        <v>High</v>
      </c>
    </row>
    <row r="1531" spans="1:20" x14ac:dyDescent="0.35">
      <c r="A1531" t="s">
        <v>2337</v>
      </c>
      <c r="B1531" t="s">
        <v>2338</v>
      </c>
      <c r="C1531" t="s">
        <v>170</v>
      </c>
      <c r="D1531" t="s">
        <v>158</v>
      </c>
      <c r="E1531" s="34">
        <v>500000</v>
      </c>
      <c r="F1531" s="29">
        <v>0.15909999999999999</v>
      </c>
      <c r="G1531" s="30">
        <v>44022</v>
      </c>
      <c r="H1531">
        <v>60</v>
      </c>
      <c r="I1531">
        <v>120</v>
      </c>
      <c r="J1531" s="34">
        <v>365000</v>
      </c>
      <c r="K1531" t="s">
        <v>178</v>
      </c>
      <c r="L1531" s="34">
        <f>PMT(Loans[[#This Row],[InterestRate]]/12,Loans[[#This Row],[LoanTenureMonths]],-Loans[[#This Row],[LoanAmount]])</f>
        <v>12135.131546707968</v>
      </c>
      <c r="M1531" s="30">
        <f>EDATE(Loans[[#This Row],[LoanStartDate]],Loans[[#This Row],[LoanTenureMonths]])</f>
        <v>45848</v>
      </c>
      <c r="N1531" s="33">
        <f>IF(Loans[[#This Row],[LoanAmount]]=0,0,Loans[[#This Row],[CollateralValue]]/Loans[[#This Row],[LoanAmount]])</f>
        <v>0.73</v>
      </c>
      <c r="O1531" t="str">
        <f>IF(Loans[[#This Row],[CollateralCoverageRatio]]&lt;1,"Undersecured","Secured")</f>
        <v>Undersecured</v>
      </c>
      <c r="P1531" t="str">
        <f>_xlfn.XLOOKUP(Loans[[#This Row],[BranchCode]],BranchesTbl[BranchCode],BranchesTbl[BranchName])</f>
        <v>Thika</v>
      </c>
      <c r="Q1531">
        <f>_xlfn.XLOOKUP(Loans[[#This Row],[CustomerID]],CustomerTbl[CustomerID],CustomerTbl[RiskScore])</f>
        <v>322</v>
      </c>
      <c r="R1531" t="str">
        <f>IFERROR(INDEX(RiskTbl[Risk_Category],MATCH(Loans[[#This Row],[RiskScore]],RiskTbl[Score_Min],1)),"Unknown")</f>
        <v>High Risk</v>
      </c>
      <c r="S1531" t="str">
        <f>IF(OR(Loans[[#This Row],[LoanStatus]]="Default",Loans[[#This Row],[LoanStatus]]="Watchlist",Loans[[#This Row],[CollateralRisk]]="Undersecured",Loans[[#This Row],[RiskCategory]]="High Risk"),"High Risk Exposure","Normal")</f>
        <v>High Risk Exposure</v>
      </c>
      <c r="T1531" t="str" cm="1">
        <f t="array" ref="T1531">_xlfn.IFS(
Loans[[#This Row],[LoanStatus]]="Default","Critical",
OR(Loans[[#This Row],[LoanStatus]]="Watchlist",Loans[[#This Row],[CollateralRisk]]="Undersecured",Loans[[#This Row],[RiskCategory]]="High Risk"),"High",
TRUE,"Normal"
)</f>
        <v>Critical</v>
      </c>
    </row>
    <row r="1532" spans="1:20" x14ac:dyDescent="0.35">
      <c r="A1532" t="s">
        <v>2339</v>
      </c>
      <c r="B1532" t="s">
        <v>824</v>
      </c>
      <c r="C1532" t="s">
        <v>170</v>
      </c>
      <c r="D1532" t="s">
        <v>156</v>
      </c>
      <c r="E1532" s="34">
        <v>25000000</v>
      </c>
      <c r="F1532" s="29">
        <v>0.1711</v>
      </c>
      <c r="G1532" s="30">
        <v>45916</v>
      </c>
      <c r="H1532">
        <v>24</v>
      </c>
      <c r="I1532">
        <v>0</v>
      </c>
      <c r="J1532" s="34">
        <v>26500000</v>
      </c>
      <c r="K1532" t="s">
        <v>171</v>
      </c>
      <c r="L1532" s="34">
        <f>PMT(Loans[[#This Row],[InterestRate]]/12,Loans[[#This Row],[LoanTenureMonths]],-Loans[[#This Row],[LoanAmount]])</f>
        <v>1237378.3745011522</v>
      </c>
      <c r="M1532" s="30">
        <f>EDATE(Loans[[#This Row],[LoanStartDate]],Loans[[#This Row],[LoanTenureMonths]])</f>
        <v>46646</v>
      </c>
      <c r="N1532" s="33">
        <f>IF(Loans[[#This Row],[LoanAmount]]=0,0,Loans[[#This Row],[CollateralValue]]/Loans[[#This Row],[LoanAmount]])</f>
        <v>1.06</v>
      </c>
      <c r="O1532" t="str">
        <f>IF(Loans[[#This Row],[CollateralCoverageRatio]]&lt;1,"Undersecured","Secured")</f>
        <v>Secured</v>
      </c>
      <c r="P1532" t="str">
        <f>_xlfn.XLOOKUP(Loans[[#This Row],[BranchCode]],BranchesTbl[BranchCode],BranchesTbl[BranchName])</f>
        <v>Thika</v>
      </c>
      <c r="Q1532">
        <f>_xlfn.XLOOKUP(Loans[[#This Row],[CustomerID]],CustomerTbl[CustomerID],CustomerTbl[RiskScore])</f>
        <v>835</v>
      </c>
      <c r="R1532" t="str">
        <f>IFERROR(INDEX(RiskTbl[Risk_Category],MATCH(Loans[[#This Row],[RiskScore]],RiskTbl[Score_Min],1)),"Unknown")</f>
        <v>Prime</v>
      </c>
      <c r="S1532" t="str">
        <f>IF(OR(Loans[[#This Row],[LoanStatus]]="Default",Loans[[#This Row],[LoanStatus]]="Watchlist",Loans[[#This Row],[CollateralRisk]]="Undersecured",Loans[[#This Row],[RiskCategory]]="High Risk"),"High Risk Exposure","Normal")</f>
        <v>Normal</v>
      </c>
      <c r="T1532" t="str" cm="1">
        <f t="array" ref="T1532">_xlfn.IFS(
Loans[[#This Row],[LoanStatus]]="Default","Critical",
OR(Loans[[#This Row],[LoanStatus]]="Watchlist",Loans[[#This Row],[CollateralRisk]]="Undersecured",Loans[[#This Row],[RiskCategory]]="High Risk"),"High",
TRUE,"Normal"
)</f>
        <v>Normal</v>
      </c>
    </row>
    <row r="1533" spans="1:20" x14ac:dyDescent="0.35">
      <c r="A1533" t="s">
        <v>2340</v>
      </c>
      <c r="B1533" t="s">
        <v>277</v>
      </c>
      <c r="C1533" t="s">
        <v>181</v>
      </c>
      <c r="D1533" t="s">
        <v>155</v>
      </c>
      <c r="E1533" s="34">
        <v>500000</v>
      </c>
      <c r="F1533" s="29">
        <v>0.24340000000000001</v>
      </c>
      <c r="G1533" s="30">
        <v>45586</v>
      </c>
      <c r="H1533">
        <v>72</v>
      </c>
      <c r="I1533">
        <v>0</v>
      </c>
      <c r="J1533" s="34">
        <v>0</v>
      </c>
      <c r="K1533" t="s">
        <v>171</v>
      </c>
      <c r="L1533" s="34">
        <f>PMT(Loans[[#This Row],[InterestRate]]/12,Loans[[#This Row],[LoanTenureMonths]],-Loans[[#This Row],[LoanAmount]])</f>
        <v>13266.805465095385</v>
      </c>
      <c r="M1533" s="30">
        <f>EDATE(Loans[[#This Row],[LoanStartDate]],Loans[[#This Row],[LoanTenureMonths]])</f>
        <v>47777</v>
      </c>
      <c r="N1533" s="33">
        <f>IF(Loans[[#This Row],[LoanAmount]]=0,0,Loans[[#This Row],[CollateralValue]]/Loans[[#This Row],[LoanAmount]])</f>
        <v>0</v>
      </c>
      <c r="O1533" t="str">
        <f>IF(Loans[[#This Row],[CollateralCoverageRatio]]&lt;1,"Undersecured","Secured")</f>
        <v>Undersecured</v>
      </c>
      <c r="P1533" t="str">
        <f>_xlfn.XLOOKUP(Loans[[#This Row],[BranchCode]],BranchesTbl[BranchCode],BranchesTbl[BranchName])</f>
        <v>Kitale</v>
      </c>
      <c r="Q1533">
        <f>_xlfn.XLOOKUP(Loans[[#This Row],[CustomerID]],CustomerTbl[CustomerID],CustomerTbl[RiskScore])</f>
        <v>748</v>
      </c>
      <c r="R1533" t="str">
        <f>IFERROR(INDEX(RiskTbl[Risk_Category],MATCH(Loans[[#This Row],[RiskScore]],RiskTbl[Score_Min],1)),"Unknown")</f>
        <v>Very Low Risk</v>
      </c>
      <c r="S1533" t="str">
        <f>IF(OR(Loans[[#This Row],[LoanStatus]]="Default",Loans[[#This Row],[LoanStatus]]="Watchlist",Loans[[#This Row],[CollateralRisk]]="Undersecured",Loans[[#This Row],[RiskCategory]]="High Risk"),"High Risk Exposure","Normal")</f>
        <v>High Risk Exposure</v>
      </c>
      <c r="T1533" t="str" cm="1">
        <f t="array" ref="T1533">_xlfn.IFS(
Loans[[#This Row],[LoanStatus]]="Default","Critical",
OR(Loans[[#This Row],[LoanStatus]]="Watchlist",Loans[[#This Row],[CollateralRisk]]="Undersecured",Loans[[#This Row],[RiskCategory]]="High Risk"),"High",
TRUE,"Normal"
)</f>
        <v>High</v>
      </c>
    </row>
    <row r="1534" spans="1:20" x14ac:dyDescent="0.35">
      <c r="A1534" t="s">
        <v>2341</v>
      </c>
      <c r="B1534" t="s">
        <v>2229</v>
      </c>
      <c r="C1534" t="s">
        <v>170</v>
      </c>
      <c r="D1534" t="s">
        <v>158</v>
      </c>
      <c r="E1534" s="34">
        <v>500000</v>
      </c>
      <c r="F1534" s="29">
        <v>0.1711</v>
      </c>
      <c r="G1534" s="30">
        <v>45875</v>
      </c>
      <c r="H1534">
        <v>12</v>
      </c>
      <c r="I1534">
        <v>45</v>
      </c>
      <c r="J1534" s="34">
        <v>715000</v>
      </c>
      <c r="K1534" t="s">
        <v>199</v>
      </c>
      <c r="L1534" s="34">
        <f>PMT(Loans[[#This Row],[InterestRate]]/12,Loans[[#This Row],[LoanTenureMonths]],-Loans[[#This Row],[LoanAmount]])</f>
        <v>45628.481345558437</v>
      </c>
      <c r="M1534" s="30">
        <f>EDATE(Loans[[#This Row],[LoanStartDate]],Loans[[#This Row],[LoanTenureMonths]])</f>
        <v>46240</v>
      </c>
      <c r="N1534" s="33">
        <f>IF(Loans[[#This Row],[LoanAmount]]=0,0,Loans[[#This Row],[CollateralValue]]/Loans[[#This Row],[LoanAmount]])</f>
        <v>1.43</v>
      </c>
      <c r="O1534" t="str">
        <f>IF(Loans[[#This Row],[CollateralCoverageRatio]]&lt;1,"Undersecured","Secured")</f>
        <v>Secured</v>
      </c>
      <c r="P1534" t="str">
        <f>_xlfn.XLOOKUP(Loans[[#This Row],[BranchCode]],BranchesTbl[BranchCode],BranchesTbl[BranchName])</f>
        <v>Thika</v>
      </c>
      <c r="Q1534">
        <f>_xlfn.XLOOKUP(Loans[[#This Row],[CustomerID]],CustomerTbl[CustomerID],CustomerTbl[RiskScore])</f>
        <v>777</v>
      </c>
      <c r="R1534" t="str">
        <f>IFERROR(INDEX(RiskTbl[Risk_Category],MATCH(Loans[[#This Row],[RiskScore]],RiskTbl[Score_Min],1)),"Unknown")</f>
        <v>Very Low Risk</v>
      </c>
      <c r="S1534" t="str">
        <f>IF(OR(Loans[[#This Row],[LoanStatus]]="Default",Loans[[#This Row],[LoanStatus]]="Watchlist",Loans[[#This Row],[CollateralRisk]]="Undersecured",Loans[[#This Row],[RiskCategory]]="High Risk"),"High Risk Exposure","Normal")</f>
        <v>High Risk Exposure</v>
      </c>
      <c r="T1534" t="str" cm="1">
        <f t="array" ref="T1534">_xlfn.IFS(
Loans[[#This Row],[LoanStatus]]="Default","Critical",
OR(Loans[[#This Row],[LoanStatus]]="Watchlist",Loans[[#This Row],[CollateralRisk]]="Undersecured",Loans[[#This Row],[RiskCategory]]="High Risk"),"High",
TRUE,"Normal"
)</f>
        <v>High</v>
      </c>
    </row>
    <row r="1535" spans="1:20" x14ac:dyDescent="0.35">
      <c r="A1535" t="s">
        <v>2342</v>
      </c>
      <c r="B1535" t="s">
        <v>549</v>
      </c>
      <c r="C1535" t="s">
        <v>239</v>
      </c>
      <c r="D1535" t="s">
        <v>156</v>
      </c>
      <c r="E1535" s="34">
        <v>6000000</v>
      </c>
      <c r="F1535" s="29">
        <v>0.20749999999999999</v>
      </c>
      <c r="G1535" s="30">
        <v>44504</v>
      </c>
      <c r="H1535">
        <v>48</v>
      </c>
      <c r="I1535">
        <v>0</v>
      </c>
      <c r="J1535" s="34">
        <v>6960000</v>
      </c>
      <c r="K1535" t="s">
        <v>171</v>
      </c>
      <c r="L1535" s="34">
        <f>PMT(Loans[[#This Row],[InterestRate]]/12,Loans[[#This Row],[LoanTenureMonths]],-Loans[[#This Row],[LoanAmount]])</f>
        <v>184988.32100922798</v>
      </c>
      <c r="M1535" s="30">
        <f>EDATE(Loans[[#This Row],[LoanStartDate]],Loans[[#This Row],[LoanTenureMonths]])</f>
        <v>45965</v>
      </c>
      <c r="N1535" s="33">
        <f>IF(Loans[[#This Row],[LoanAmount]]=0,0,Loans[[#This Row],[CollateralValue]]/Loans[[#This Row],[LoanAmount]])</f>
        <v>1.1599999999999999</v>
      </c>
      <c r="O1535" t="str">
        <f>IF(Loans[[#This Row],[CollateralCoverageRatio]]&lt;1,"Undersecured","Secured")</f>
        <v>Secured</v>
      </c>
      <c r="P1535" t="str">
        <f>_xlfn.XLOOKUP(Loans[[#This Row],[BranchCode]],BranchesTbl[BranchCode],BranchesTbl[BranchName])</f>
        <v>Machakos</v>
      </c>
      <c r="Q1535">
        <f>_xlfn.XLOOKUP(Loans[[#This Row],[CustomerID]],CustomerTbl[CustomerID],CustomerTbl[RiskScore])</f>
        <v>841</v>
      </c>
      <c r="R1535" t="str">
        <f>IFERROR(INDEX(RiskTbl[Risk_Category],MATCH(Loans[[#This Row],[RiskScore]],RiskTbl[Score_Min],1)),"Unknown")</f>
        <v>Prime</v>
      </c>
      <c r="S1535" t="str">
        <f>IF(OR(Loans[[#This Row],[LoanStatus]]="Default",Loans[[#This Row],[LoanStatus]]="Watchlist",Loans[[#This Row],[CollateralRisk]]="Undersecured",Loans[[#This Row],[RiskCategory]]="High Risk"),"High Risk Exposure","Normal")</f>
        <v>Normal</v>
      </c>
      <c r="T1535" t="str" cm="1">
        <f t="array" ref="T1535">_xlfn.IFS(
Loans[[#This Row],[LoanStatus]]="Default","Critical",
OR(Loans[[#This Row],[LoanStatus]]="Watchlist",Loans[[#This Row],[CollateralRisk]]="Undersecured",Loans[[#This Row],[RiskCategory]]="High Risk"),"High",
TRUE,"Normal"
)</f>
        <v>Normal</v>
      </c>
    </row>
    <row r="1536" spans="1:20" x14ac:dyDescent="0.35">
      <c r="A1536" t="s">
        <v>2343</v>
      </c>
      <c r="B1536" t="s">
        <v>1256</v>
      </c>
      <c r="C1536" t="s">
        <v>219</v>
      </c>
      <c r="D1536" t="s">
        <v>155</v>
      </c>
      <c r="E1536" s="34">
        <v>500000</v>
      </c>
      <c r="F1536" s="29">
        <v>0.2576</v>
      </c>
      <c r="G1536" s="30">
        <v>44063</v>
      </c>
      <c r="H1536">
        <v>60</v>
      </c>
      <c r="I1536">
        <v>45</v>
      </c>
      <c r="J1536" s="34">
        <v>0</v>
      </c>
      <c r="K1536" t="s">
        <v>199</v>
      </c>
      <c r="L1536" s="34">
        <f>PMT(Loans[[#This Row],[InterestRate]]/12,Loans[[#This Row],[LoanTenureMonths]],-Loans[[#This Row],[LoanAmount]])</f>
        <v>14899.275196640443</v>
      </c>
      <c r="M1536" s="30">
        <f>EDATE(Loans[[#This Row],[LoanStartDate]],Loans[[#This Row],[LoanTenureMonths]])</f>
        <v>45889</v>
      </c>
      <c r="N1536" s="33">
        <f>IF(Loans[[#This Row],[LoanAmount]]=0,0,Loans[[#This Row],[CollateralValue]]/Loans[[#This Row],[LoanAmount]])</f>
        <v>0</v>
      </c>
      <c r="O1536" t="str">
        <f>IF(Loans[[#This Row],[CollateralCoverageRatio]]&lt;1,"Undersecured","Secured")</f>
        <v>Undersecured</v>
      </c>
      <c r="P1536" t="str">
        <f>_xlfn.XLOOKUP(Loans[[#This Row],[BranchCode]],BranchesTbl[BranchCode],BranchesTbl[BranchName])</f>
        <v>Meru</v>
      </c>
      <c r="Q1536">
        <f>_xlfn.XLOOKUP(Loans[[#This Row],[CustomerID]],CustomerTbl[CustomerID],CustomerTbl[RiskScore])</f>
        <v>304</v>
      </c>
      <c r="R1536" t="str">
        <f>IFERROR(INDEX(RiskTbl[Risk_Category],MATCH(Loans[[#This Row],[RiskScore]],RiskTbl[Score_Min],1)),"Unknown")</f>
        <v>High Risk</v>
      </c>
      <c r="S1536" t="str">
        <f>IF(OR(Loans[[#This Row],[LoanStatus]]="Default",Loans[[#This Row],[LoanStatus]]="Watchlist",Loans[[#This Row],[CollateralRisk]]="Undersecured",Loans[[#This Row],[RiskCategory]]="High Risk"),"High Risk Exposure","Normal")</f>
        <v>High Risk Exposure</v>
      </c>
      <c r="T1536" t="str" cm="1">
        <f t="array" ref="T1536">_xlfn.IFS(
Loans[[#This Row],[LoanStatus]]="Default","Critical",
OR(Loans[[#This Row],[LoanStatus]]="Watchlist",Loans[[#This Row],[CollateralRisk]]="Undersecured",Loans[[#This Row],[RiskCategory]]="High Risk"),"High",
TRUE,"Normal"
)</f>
        <v>High</v>
      </c>
    </row>
    <row r="1537" spans="1:20" x14ac:dyDescent="0.35">
      <c r="A1537" t="s">
        <v>2344</v>
      </c>
      <c r="B1537" t="s">
        <v>444</v>
      </c>
      <c r="C1537" t="s">
        <v>219</v>
      </c>
      <c r="D1537" t="s">
        <v>157</v>
      </c>
      <c r="E1537" s="34">
        <v>6000000</v>
      </c>
      <c r="F1537" s="29">
        <v>0.1036</v>
      </c>
      <c r="G1537" s="30">
        <v>44162</v>
      </c>
      <c r="H1537">
        <v>48</v>
      </c>
      <c r="I1537">
        <v>20</v>
      </c>
      <c r="J1537" s="34">
        <v>9000000</v>
      </c>
      <c r="K1537" t="s">
        <v>171</v>
      </c>
      <c r="L1537" s="34">
        <f>PMT(Loans[[#This Row],[InterestRate]]/12,Loans[[#This Row],[LoanTenureMonths]],-Loans[[#This Row],[LoanAmount]])</f>
        <v>153214.92552202832</v>
      </c>
      <c r="M1537" s="30">
        <f>EDATE(Loans[[#This Row],[LoanStartDate]],Loans[[#This Row],[LoanTenureMonths]])</f>
        <v>45623</v>
      </c>
      <c r="N1537" s="33">
        <f>IF(Loans[[#This Row],[LoanAmount]]=0,0,Loans[[#This Row],[CollateralValue]]/Loans[[#This Row],[LoanAmount]])</f>
        <v>1.5</v>
      </c>
      <c r="O1537" t="str">
        <f>IF(Loans[[#This Row],[CollateralCoverageRatio]]&lt;1,"Undersecured","Secured")</f>
        <v>Secured</v>
      </c>
      <c r="P1537" t="str">
        <f>_xlfn.XLOOKUP(Loans[[#This Row],[BranchCode]],BranchesTbl[BranchCode],BranchesTbl[BranchName])</f>
        <v>Meru</v>
      </c>
      <c r="Q1537">
        <f>_xlfn.XLOOKUP(Loans[[#This Row],[CustomerID]],CustomerTbl[CustomerID],CustomerTbl[RiskScore])</f>
        <v>472</v>
      </c>
      <c r="R1537" t="str">
        <f>IFERROR(INDEX(RiskTbl[Risk_Category],MATCH(Loans[[#This Row],[RiskScore]],RiskTbl[Score_Min],1)),"Unknown")</f>
        <v>High Risk</v>
      </c>
      <c r="S1537" t="str">
        <f>IF(OR(Loans[[#This Row],[LoanStatus]]="Default",Loans[[#This Row],[LoanStatus]]="Watchlist",Loans[[#This Row],[CollateralRisk]]="Undersecured",Loans[[#This Row],[RiskCategory]]="High Risk"),"High Risk Exposure","Normal")</f>
        <v>High Risk Exposure</v>
      </c>
      <c r="T1537" t="str" cm="1">
        <f t="array" ref="T1537">_xlfn.IFS(
Loans[[#This Row],[LoanStatus]]="Default","Critical",
OR(Loans[[#This Row],[LoanStatus]]="Watchlist",Loans[[#This Row],[CollateralRisk]]="Undersecured",Loans[[#This Row],[RiskCategory]]="High Risk"),"High",
TRUE,"Normal"
)</f>
        <v>High</v>
      </c>
    </row>
    <row r="1538" spans="1:20" x14ac:dyDescent="0.35">
      <c r="A1538" t="s">
        <v>2345</v>
      </c>
      <c r="B1538" t="s">
        <v>821</v>
      </c>
      <c r="C1538" t="s">
        <v>232</v>
      </c>
      <c r="D1538" t="s">
        <v>157</v>
      </c>
      <c r="E1538" s="34">
        <v>80000000</v>
      </c>
      <c r="F1538" s="29">
        <v>0.1159</v>
      </c>
      <c r="G1538" s="30">
        <v>44644</v>
      </c>
      <c r="H1538">
        <v>72</v>
      </c>
      <c r="I1538">
        <v>0</v>
      </c>
      <c r="J1538" s="34">
        <v>58400000</v>
      </c>
      <c r="K1538" t="s">
        <v>171</v>
      </c>
      <c r="L1538" s="34">
        <f>PMT(Loans[[#This Row],[InterestRate]]/12,Loans[[#This Row],[LoanTenureMonths]],-Loans[[#This Row],[LoanAmount]])</f>
        <v>1547011.0715549078</v>
      </c>
      <c r="M1538" s="30">
        <f>EDATE(Loans[[#This Row],[LoanStartDate]],Loans[[#This Row],[LoanTenureMonths]])</f>
        <v>46836</v>
      </c>
      <c r="N1538" s="33">
        <f>IF(Loans[[#This Row],[LoanAmount]]=0,0,Loans[[#This Row],[CollateralValue]]/Loans[[#This Row],[LoanAmount]])</f>
        <v>0.73</v>
      </c>
      <c r="O1538" t="str">
        <f>IF(Loans[[#This Row],[CollateralCoverageRatio]]&lt;1,"Undersecured","Secured")</f>
        <v>Undersecured</v>
      </c>
      <c r="P1538" t="str">
        <f>_xlfn.XLOOKUP(Loans[[#This Row],[BranchCode]],BranchesTbl[BranchCode],BranchesTbl[BranchName])</f>
        <v>Upper Hill</v>
      </c>
      <c r="Q1538">
        <f>_xlfn.XLOOKUP(Loans[[#This Row],[CustomerID]],CustomerTbl[CustomerID],CustomerTbl[RiskScore])</f>
        <v>435</v>
      </c>
      <c r="R1538" t="str">
        <f>IFERROR(INDEX(RiskTbl[Risk_Category],MATCH(Loans[[#This Row],[RiskScore]],RiskTbl[Score_Min],1)),"Unknown")</f>
        <v>High Risk</v>
      </c>
      <c r="S1538" t="str">
        <f>IF(OR(Loans[[#This Row],[LoanStatus]]="Default",Loans[[#This Row],[LoanStatus]]="Watchlist",Loans[[#This Row],[CollateralRisk]]="Undersecured",Loans[[#This Row],[RiskCategory]]="High Risk"),"High Risk Exposure","Normal")</f>
        <v>High Risk Exposure</v>
      </c>
      <c r="T1538" t="str" cm="1">
        <f t="array" ref="T1538">_xlfn.IFS(
Loans[[#This Row],[LoanStatus]]="Default","Critical",
OR(Loans[[#This Row],[LoanStatus]]="Watchlist",Loans[[#This Row],[CollateralRisk]]="Undersecured",Loans[[#This Row],[RiskCategory]]="High Risk"),"High",
TRUE,"Normal"
)</f>
        <v>High</v>
      </c>
    </row>
    <row r="1539" spans="1:20" x14ac:dyDescent="0.35">
      <c r="A1539" t="s">
        <v>2346</v>
      </c>
      <c r="B1539" t="s">
        <v>1447</v>
      </c>
      <c r="C1539" t="s">
        <v>193</v>
      </c>
      <c r="D1539" t="s">
        <v>155</v>
      </c>
      <c r="E1539" s="34">
        <v>250000</v>
      </c>
      <c r="F1539" s="29">
        <v>0.24030000000000001</v>
      </c>
      <c r="G1539" s="30">
        <v>45203</v>
      </c>
      <c r="H1539">
        <v>60</v>
      </c>
      <c r="I1539">
        <v>0</v>
      </c>
      <c r="J1539" s="34">
        <v>0</v>
      </c>
      <c r="K1539" t="s">
        <v>171</v>
      </c>
      <c r="L1539" s="34">
        <f>PMT(Loans[[#This Row],[InterestRate]]/12,Loans[[#This Row],[LoanTenureMonths]],-Loans[[#This Row],[LoanAmount]])</f>
        <v>7196.3454041453215</v>
      </c>
      <c r="M1539" s="30">
        <f>EDATE(Loans[[#This Row],[LoanStartDate]],Loans[[#This Row],[LoanTenureMonths]])</f>
        <v>47030</v>
      </c>
      <c r="N1539" s="33">
        <f>IF(Loans[[#This Row],[LoanAmount]]=0,0,Loans[[#This Row],[CollateralValue]]/Loans[[#This Row],[LoanAmount]])</f>
        <v>0</v>
      </c>
      <c r="O1539" t="str">
        <f>IF(Loans[[#This Row],[CollateralCoverageRatio]]&lt;1,"Undersecured","Secured")</f>
        <v>Undersecured</v>
      </c>
      <c r="P1539" t="str">
        <f>_xlfn.XLOOKUP(Loans[[#This Row],[BranchCode]],BranchesTbl[BranchCode],BranchesTbl[BranchName])</f>
        <v>Mombasa</v>
      </c>
      <c r="Q1539">
        <f>_xlfn.XLOOKUP(Loans[[#This Row],[CustomerID]],CustomerTbl[CustomerID],CustomerTbl[RiskScore])</f>
        <v>684</v>
      </c>
      <c r="R1539" t="str">
        <f>IFERROR(INDEX(RiskTbl[Risk_Category],MATCH(Loans[[#This Row],[RiskScore]],RiskTbl[Score_Min],1)),"Unknown")</f>
        <v>Low Risk</v>
      </c>
      <c r="S1539" t="str">
        <f>IF(OR(Loans[[#This Row],[LoanStatus]]="Default",Loans[[#This Row],[LoanStatus]]="Watchlist",Loans[[#This Row],[CollateralRisk]]="Undersecured",Loans[[#This Row],[RiskCategory]]="High Risk"),"High Risk Exposure","Normal")</f>
        <v>High Risk Exposure</v>
      </c>
      <c r="T1539" t="str" cm="1">
        <f t="array" ref="T1539">_xlfn.IFS(
Loans[[#This Row],[LoanStatus]]="Default","Critical",
OR(Loans[[#This Row],[LoanStatus]]="Watchlist",Loans[[#This Row],[CollateralRisk]]="Undersecured",Loans[[#This Row],[RiskCategory]]="High Risk"),"High",
TRUE,"Normal"
)</f>
        <v>High</v>
      </c>
    </row>
    <row r="1540" spans="1:20" x14ac:dyDescent="0.35">
      <c r="A1540" t="s">
        <v>2347</v>
      </c>
      <c r="B1540" t="s">
        <v>625</v>
      </c>
      <c r="C1540" t="s">
        <v>196</v>
      </c>
      <c r="D1540" t="s">
        <v>156</v>
      </c>
      <c r="E1540" s="34">
        <v>3000000</v>
      </c>
      <c r="F1540" s="29">
        <v>0.21840000000000001</v>
      </c>
      <c r="G1540" s="30">
        <v>45627</v>
      </c>
      <c r="H1540">
        <v>36</v>
      </c>
      <c r="I1540">
        <v>0</v>
      </c>
      <c r="J1540" s="34">
        <v>2880000</v>
      </c>
      <c r="K1540" t="s">
        <v>171</v>
      </c>
      <c r="L1540" s="34">
        <f>PMT(Loans[[#This Row],[InterestRate]]/12,Loans[[#This Row],[LoanTenureMonths]],-Loans[[#This Row],[LoanAmount]])</f>
        <v>114323.19008453951</v>
      </c>
      <c r="M1540" s="30">
        <f>EDATE(Loans[[#This Row],[LoanStartDate]],Loans[[#This Row],[LoanTenureMonths]])</f>
        <v>46722</v>
      </c>
      <c r="N1540" s="33">
        <f>IF(Loans[[#This Row],[LoanAmount]]=0,0,Loans[[#This Row],[CollateralValue]]/Loans[[#This Row],[LoanAmount]])</f>
        <v>0.96</v>
      </c>
      <c r="O1540" t="str">
        <f>IF(Loans[[#This Row],[CollateralCoverageRatio]]&lt;1,"Undersecured","Secured")</f>
        <v>Undersecured</v>
      </c>
      <c r="P1540" t="str">
        <f>_xlfn.XLOOKUP(Loans[[#This Row],[BranchCode]],BranchesTbl[BranchCode],BranchesTbl[BranchName])</f>
        <v>Karen</v>
      </c>
      <c r="Q1540">
        <f>_xlfn.XLOOKUP(Loans[[#This Row],[CustomerID]],CustomerTbl[CustomerID],CustomerTbl[RiskScore])</f>
        <v>787</v>
      </c>
      <c r="R1540" t="str">
        <f>IFERROR(INDEX(RiskTbl[Risk_Category],MATCH(Loans[[#This Row],[RiskScore]],RiskTbl[Score_Min],1)),"Unknown")</f>
        <v>Very Low Risk</v>
      </c>
      <c r="S1540" t="str">
        <f>IF(OR(Loans[[#This Row],[LoanStatus]]="Default",Loans[[#This Row],[LoanStatus]]="Watchlist",Loans[[#This Row],[CollateralRisk]]="Undersecured",Loans[[#This Row],[RiskCategory]]="High Risk"),"High Risk Exposure","Normal")</f>
        <v>High Risk Exposure</v>
      </c>
      <c r="T1540" t="str" cm="1">
        <f t="array" ref="T1540">_xlfn.IFS(
Loans[[#This Row],[LoanStatus]]="Default","Critical",
OR(Loans[[#This Row],[LoanStatus]]="Watchlist",Loans[[#This Row],[CollateralRisk]]="Undersecured",Loans[[#This Row],[RiskCategory]]="High Risk"),"High",
TRUE,"Normal"
)</f>
        <v>High</v>
      </c>
    </row>
    <row r="1541" spans="1:20" x14ac:dyDescent="0.35">
      <c r="A1541" t="s">
        <v>2348</v>
      </c>
      <c r="B1541" t="s">
        <v>598</v>
      </c>
      <c r="C1541" t="s">
        <v>193</v>
      </c>
      <c r="D1541" t="s">
        <v>158</v>
      </c>
      <c r="E1541" s="34">
        <v>1000000</v>
      </c>
      <c r="F1541" s="29">
        <v>0.1996</v>
      </c>
      <c r="G1541" s="30">
        <v>44610</v>
      </c>
      <c r="H1541">
        <v>24</v>
      </c>
      <c r="I1541">
        <v>10</v>
      </c>
      <c r="J1541" s="34">
        <v>590000</v>
      </c>
      <c r="K1541" t="s">
        <v>171</v>
      </c>
      <c r="L1541" s="34">
        <f>PMT(Loans[[#This Row],[InterestRate]]/12,Loans[[#This Row],[LoanTenureMonths]],-Loans[[#This Row],[LoanAmount]])</f>
        <v>50876.264049099394</v>
      </c>
      <c r="M1541" s="30">
        <f>EDATE(Loans[[#This Row],[LoanStartDate]],Loans[[#This Row],[LoanTenureMonths]])</f>
        <v>45340</v>
      </c>
      <c r="N1541" s="33">
        <f>IF(Loans[[#This Row],[LoanAmount]]=0,0,Loans[[#This Row],[CollateralValue]]/Loans[[#This Row],[LoanAmount]])</f>
        <v>0.59</v>
      </c>
      <c r="O1541" t="str">
        <f>IF(Loans[[#This Row],[CollateralCoverageRatio]]&lt;1,"Undersecured","Secured")</f>
        <v>Undersecured</v>
      </c>
      <c r="P1541" t="str">
        <f>_xlfn.XLOOKUP(Loans[[#This Row],[BranchCode]],BranchesTbl[BranchCode],BranchesTbl[BranchName])</f>
        <v>Mombasa</v>
      </c>
      <c r="Q1541">
        <f>_xlfn.XLOOKUP(Loans[[#This Row],[CustomerID]],CustomerTbl[CustomerID],CustomerTbl[RiskScore])</f>
        <v>329</v>
      </c>
      <c r="R1541" t="str">
        <f>IFERROR(INDEX(RiskTbl[Risk_Category],MATCH(Loans[[#This Row],[RiskScore]],RiskTbl[Score_Min],1)),"Unknown")</f>
        <v>High Risk</v>
      </c>
      <c r="S1541" t="str">
        <f>IF(OR(Loans[[#This Row],[LoanStatus]]="Default",Loans[[#This Row],[LoanStatus]]="Watchlist",Loans[[#This Row],[CollateralRisk]]="Undersecured",Loans[[#This Row],[RiskCategory]]="High Risk"),"High Risk Exposure","Normal")</f>
        <v>High Risk Exposure</v>
      </c>
      <c r="T1541" t="str" cm="1">
        <f t="array" ref="T1541">_xlfn.IFS(
Loans[[#This Row],[LoanStatus]]="Default","Critical",
OR(Loans[[#This Row],[LoanStatus]]="Watchlist",Loans[[#This Row],[CollateralRisk]]="Undersecured",Loans[[#This Row],[RiskCategory]]="High Risk"),"High",
TRUE,"Normal"
)</f>
        <v>High</v>
      </c>
    </row>
    <row r="1542" spans="1:20" x14ac:dyDescent="0.35">
      <c r="A1542" t="s">
        <v>2349</v>
      </c>
      <c r="B1542" t="s">
        <v>2350</v>
      </c>
      <c r="C1542" t="s">
        <v>232</v>
      </c>
      <c r="D1542" t="s">
        <v>158</v>
      </c>
      <c r="E1542" s="34">
        <v>500000</v>
      </c>
      <c r="F1542" s="29">
        <v>0.1356</v>
      </c>
      <c r="G1542" s="30">
        <v>44276</v>
      </c>
      <c r="H1542">
        <v>24</v>
      </c>
      <c r="I1542">
        <v>45</v>
      </c>
      <c r="J1542" s="34">
        <v>700000</v>
      </c>
      <c r="K1542" t="s">
        <v>199</v>
      </c>
      <c r="L1542" s="34">
        <f>PMT(Loans[[#This Row],[InterestRate]]/12,Loans[[#This Row],[LoanTenureMonths]],-Loans[[#This Row],[LoanAmount]])</f>
        <v>23902.641526127019</v>
      </c>
      <c r="M1542" s="30">
        <f>EDATE(Loans[[#This Row],[LoanStartDate]],Loans[[#This Row],[LoanTenureMonths]])</f>
        <v>45006</v>
      </c>
      <c r="N1542" s="33">
        <f>IF(Loans[[#This Row],[LoanAmount]]=0,0,Loans[[#This Row],[CollateralValue]]/Loans[[#This Row],[LoanAmount]])</f>
        <v>1.4</v>
      </c>
      <c r="O1542" t="str">
        <f>IF(Loans[[#This Row],[CollateralCoverageRatio]]&lt;1,"Undersecured","Secured")</f>
        <v>Secured</v>
      </c>
      <c r="P1542" t="str">
        <f>_xlfn.XLOOKUP(Loans[[#This Row],[BranchCode]],BranchesTbl[BranchCode],BranchesTbl[BranchName])</f>
        <v>Upper Hill</v>
      </c>
      <c r="Q1542">
        <f>_xlfn.XLOOKUP(Loans[[#This Row],[CustomerID]],CustomerTbl[CustomerID],CustomerTbl[RiskScore])</f>
        <v>682</v>
      </c>
      <c r="R1542" t="str">
        <f>IFERROR(INDEX(RiskTbl[Risk_Category],MATCH(Loans[[#This Row],[RiskScore]],RiskTbl[Score_Min],1)),"Unknown")</f>
        <v>Low Risk</v>
      </c>
      <c r="S1542" t="str">
        <f>IF(OR(Loans[[#This Row],[LoanStatus]]="Default",Loans[[#This Row],[LoanStatus]]="Watchlist",Loans[[#This Row],[CollateralRisk]]="Undersecured",Loans[[#This Row],[RiskCategory]]="High Risk"),"High Risk Exposure","Normal")</f>
        <v>High Risk Exposure</v>
      </c>
      <c r="T1542" t="str" cm="1">
        <f t="array" ref="T1542">_xlfn.IFS(
Loans[[#This Row],[LoanStatus]]="Default","Critical",
OR(Loans[[#This Row],[LoanStatus]]="Watchlist",Loans[[#This Row],[CollateralRisk]]="Undersecured",Loans[[#This Row],[RiskCategory]]="High Risk"),"High",
TRUE,"Normal"
)</f>
        <v>High</v>
      </c>
    </row>
    <row r="1543" spans="1:20" x14ac:dyDescent="0.35">
      <c r="A1543" t="s">
        <v>2351</v>
      </c>
      <c r="B1543" t="s">
        <v>1503</v>
      </c>
      <c r="C1543" t="s">
        <v>193</v>
      </c>
      <c r="D1543" t="s">
        <v>157</v>
      </c>
      <c r="E1543" s="34">
        <v>25000000</v>
      </c>
      <c r="F1543" s="29">
        <v>9.3700000000000006E-2</v>
      </c>
      <c r="G1543" s="30">
        <v>44001</v>
      </c>
      <c r="H1543">
        <v>24</v>
      </c>
      <c r="I1543">
        <v>0</v>
      </c>
      <c r="J1543" s="34">
        <v>26000000</v>
      </c>
      <c r="K1543" t="s">
        <v>171</v>
      </c>
      <c r="L1543" s="34">
        <f>PMT(Loans[[#This Row],[InterestRate]]/12,Loans[[#This Row],[LoanTenureMonths]],-Loans[[#This Row],[LoanAmount]])</f>
        <v>1146367.3026779296</v>
      </c>
      <c r="M1543" s="30">
        <f>EDATE(Loans[[#This Row],[LoanStartDate]],Loans[[#This Row],[LoanTenureMonths]])</f>
        <v>44731</v>
      </c>
      <c r="N1543" s="33">
        <f>IF(Loans[[#This Row],[LoanAmount]]=0,0,Loans[[#This Row],[CollateralValue]]/Loans[[#This Row],[LoanAmount]])</f>
        <v>1.04</v>
      </c>
      <c r="O1543" t="str">
        <f>IF(Loans[[#This Row],[CollateralCoverageRatio]]&lt;1,"Undersecured","Secured")</f>
        <v>Secured</v>
      </c>
      <c r="P1543" t="str">
        <f>_xlfn.XLOOKUP(Loans[[#This Row],[BranchCode]],BranchesTbl[BranchCode],BranchesTbl[BranchName])</f>
        <v>Mombasa</v>
      </c>
      <c r="Q1543">
        <f>_xlfn.XLOOKUP(Loans[[#This Row],[CustomerID]],CustomerTbl[CustomerID],CustomerTbl[RiskScore])</f>
        <v>671</v>
      </c>
      <c r="R1543" t="str">
        <f>IFERROR(INDEX(RiskTbl[Risk_Category],MATCH(Loans[[#This Row],[RiskScore]],RiskTbl[Score_Min],1)),"Unknown")</f>
        <v>Low Risk</v>
      </c>
      <c r="S1543" t="str">
        <f>IF(OR(Loans[[#This Row],[LoanStatus]]="Default",Loans[[#This Row],[LoanStatus]]="Watchlist",Loans[[#This Row],[CollateralRisk]]="Undersecured",Loans[[#This Row],[RiskCategory]]="High Risk"),"High Risk Exposure","Normal")</f>
        <v>Normal</v>
      </c>
      <c r="T1543" t="str" cm="1">
        <f t="array" ref="T1543">_xlfn.IFS(
Loans[[#This Row],[LoanStatus]]="Default","Critical",
OR(Loans[[#This Row],[LoanStatus]]="Watchlist",Loans[[#This Row],[CollateralRisk]]="Undersecured",Loans[[#This Row],[RiskCategory]]="High Risk"),"High",
TRUE,"Normal"
)</f>
        <v>Normal</v>
      </c>
    </row>
    <row r="1544" spans="1:20" x14ac:dyDescent="0.35">
      <c r="A1544" t="s">
        <v>2352</v>
      </c>
      <c r="B1544" t="s">
        <v>1395</v>
      </c>
      <c r="C1544" t="s">
        <v>187</v>
      </c>
      <c r="D1544" t="s">
        <v>155</v>
      </c>
      <c r="E1544" s="34">
        <v>100000</v>
      </c>
      <c r="F1544" s="29">
        <v>0.1862</v>
      </c>
      <c r="G1544" s="30">
        <v>44488</v>
      </c>
      <c r="H1544">
        <v>24</v>
      </c>
      <c r="I1544">
        <v>0</v>
      </c>
      <c r="J1544" s="34">
        <v>0</v>
      </c>
      <c r="K1544" t="s">
        <v>171</v>
      </c>
      <c r="L1544" s="34">
        <f>PMT(Loans[[#This Row],[InterestRate]]/12,Loans[[#This Row],[LoanTenureMonths]],-Loans[[#This Row],[LoanAmount]])</f>
        <v>5022.4186473909976</v>
      </c>
      <c r="M1544" s="30">
        <f>EDATE(Loans[[#This Row],[LoanStartDate]],Loans[[#This Row],[LoanTenureMonths]])</f>
        <v>45218</v>
      </c>
      <c r="N1544" s="33">
        <f>IF(Loans[[#This Row],[LoanAmount]]=0,0,Loans[[#This Row],[CollateralValue]]/Loans[[#This Row],[LoanAmount]])</f>
        <v>0</v>
      </c>
      <c r="O1544" t="str">
        <f>IF(Loans[[#This Row],[CollateralCoverageRatio]]&lt;1,"Undersecured","Secured")</f>
        <v>Undersecured</v>
      </c>
      <c r="P1544" t="str">
        <f>_xlfn.XLOOKUP(Loans[[#This Row],[BranchCode]],BranchesTbl[BranchCode],BranchesTbl[BranchName])</f>
        <v>Eldoret</v>
      </c>
      <c r="Q1544">
        <f>_xlfn.XLOOKUP(Loans[[#This Row],[CustomerID]],CustomerTbl[CustomerID],CustomerTbl[RiskScore])</f>
        <v>504</v>
      </c>
      <c r="R1544" t="str">
        <f>IFERROR(INDEX(RiskTbl[Risk_Category],MATCH(Loans[[#This Row],[RiskScore]],RiskTbl[Score_Min],1)),"Unknown")</f>
        <v>High Risk</v>
      </c>
      <c r="S1544" t="str">
        <f>IF(OR(Loans[[#This Row],[LoanStatus]]="Default",Loans[[#This Row],[LoanStatus]]="Watchlist",Loans[[#This Row],[CollateralRisk]]="Undersecured",Loans[[#This Row],[RiskCategory]]="High Risk"),"High Risk Exposure","Normal")</f>
        <v>High Risk Exposure</v>
      </c>
      <c r="T1544" t="str" cm="1">
        <f t="array" ref="T1544">_xlfn.IFS(
Loans[[#This Row],[LoanStatus]]="Default","Critical",
OR(Loans[[#This Row],[LoanStatus]]="Watchlist",Loans[[#This Row],[CollateralRisk]]="Undersecured",Loans[[#This Row],[RiskCategory]]="High Risk"),"High",
TRUE,"Normal"
)</f>
        <v>High</v>
      </c>
    </row>
    <row r="1545" spans="1:20" x14ac:dyDescent="0.35">
      <c r="A1545" t="s">
        <v>2353</v>
      </c>
      <c r="B1545" t="s">
        <v>663</v>
      </c>
      <c r="C1545" t="s">
        <v>174</v>
      </c>
      <c r="D1545" t="s">
        <v>156</v>
      </c>
      <c r="E1545" s="34">
        <v>6000000</v>
      </c>
      <c r="F1545" s="29">
        <v>0.16189999999999999</v>
      </c>
      <c r="G1545" s="30">
        <v>44483</v>
      </c>
      <c r="H1545">
        <v>60</v>
      </c>
      <c r="I1545">
        <v>10</v>
      </c>
      <c r="J1545" s="34">
        <v>6780000</v>
      </c>
      <c r="K1545" t="s">
        <v>171</v>
      </c>
      <c r="L1545" s="34">
        <f>PMT(Loans[[#This Row],[InterestRate]]/12,Loans[[#This Row],[LoanTenureMonths]],-Loans[[#This Row],[LoanAmount]])</f>
        <v>146514.75348422755</v>
      </c>
      <c r="M1545" s="30">
        <f>EDATE(Loans[[#This Row],[LoanStartDate]],Loans[[#This Row],[LoanTenureMonths]])</f>
        <v>46309</v>
      </c>
      <c r="N1545" s="33">
        <f>IF(Loans[[#This Row],[LoanAmount]]=0,0,Loans[[#This Row],[CollateralValue]]/Loans[[#This Row],[LoanAmount]])</f>
        <v>1.1299999999999999</v>
      </c>
      <c r="O1545" t="str">
        <f>IF(Loans[[#This Row],[CollateralCoverageRatio]]&lt;1,"Undersecured","Secured")</f>
        <v>Secured</v>
      </c>
      <c r="P1545" t="str">
        <f>_xlfn.XLOOKUP(Loans[[#This Row],[BranchCode]],BranchesTbl[BranchCode],BranchesTbl[BranchName])</f>
        <v>Westlands</v>
      </c>
      <c r="Q1545">
        <f>_xlfn.XLOOKUP(Loans[[#This Row],[CustomerID]],CustomerTbl[CustomerID],CustomerTbl[RiskScore])</f>
        <v>823</v>
      </c>
      <c r="R1545" t="str">
        <f>IFERROR(INDEX(RiskTbl[Risk_Category],MATCH(Loans[[#This Row],[RiskScore]],RiskTbl[Score_Min],1)),"Unknown")</f>
        <v>Prime</v>
      </c>
      <c r="S1545" t="str">
        <f>IF(OR(Loans[[#This Row],[LoanStatus]]="Default",Loans[[#This Row],[LoanStatus]]="Watchlist",Loans[[#This Row],[CollateralRisk]]="Undersecured",Loans[[#This Row],[RiskCategory]]="High Risk"),"High Risk Exposure","Normal")</f>
        <v>Normal</v>
      </c>
      <c r="T1545" t="str" cm="1">
        <f t="array" ref="T1545">_xlfn.IFS(
Loans[[#This Row],[LoanStatus]]="Default","Critical",
OR(Loans[[#This Row],[LoanStatus]]="Watchlist",Loans[[#This Row],[CollateralRisk]]="Undersecured",Loans[[#This Row],[RiskCategory]]="High Risk"),"High",
TRUE,"Normal"
)</f>
        <v>Normal</v>
      </c>
    </row>
    <row r="1546" spans="1:20" x14ac:dyDescent="0.35">
      <c r="A1546" t="s">
        <v>2354</v>
      </c>
      <c r="B1546" t="s">
        <v>322</v>
      </c>
      <c r="C1546" t="s">
        <v>184</v>
      </c>
      <c r="D1546" t="s">
        <v>158</v>
      </c>
      <c r="E1546" s="34">
        <v>1000000</v>
      </c>
      <c r="F1546" s="29">
        <v>0.15110000000000001</v>
      </c>
      <c r="G1546" s="30">
        <v>44898</v>
      </c>
      <c r="H1546">
        <v>72</v>
      </c>
      <c r="I1546">
        <v>0</v>
      </c>
      <c r="J1546" s="34">
        <v>960000</v>
      </c>
      <c r="K1546" t="s">
        <v>171</v>
      </c>
      <c r="L1546" s="34">
        <f>PMT(Loans[[#This Row],[InterestRate]]/12,Loans[[#This Row],[LoanTenureMonths]],-Loans[[#This Row],[LoanAmount]])</f>
        <v>21204.796194320312</v>
      </c>
      <c r="M1546" s="30">
        <f>EDATE(Loans[[#This Row],[LoanStartDate]],Loans[[#This Row],[LoanTenureMonths]])</f>
        <v>47090</v>
      </c>
      <c r="N1546" s="33">
        <f>IF(Loans[[#This Row],[LoanAmount]]=0,0,Loans[[#This Row],[CollateralValue]]/Loans[[#This Row],[LoanAmount]])</f>
        <v>0.96</v>
      </c>
      <c r="O1546" t="str">
        <f>IF(Loans[[#This Row],[CollateralCoverageRatio]]&lt;1,"Undersecured","Secured")</f>
        <v>Undersecured</v>
      </c>
      <c r="P1546" t="str">
        <f>_xlfn.XLOOKUP(Loans[[#This Row],[BranchCode]],BranchesTbl[BranchCode],BranchesTbl[BranchName])</f>
        <v>Kisumu</v>
      </c>
      <c r="Q1546">
        <f>_xlfn.XLOOKUP(Loans[[#This Row],[CustomerID]],CustomerTbl[CustomerID],CustomerTbl[RiskScore])</f>
        <v>564</v>
      </c>
      <c r="R1546" t="str">
        <f>IFERROR(INDEX(RiskTbl[Risk_Category],MATCH(Loans[[#This Row],[RiskScore]],RiskTbl[Score_Min],1)),"Unknown")</f>
        <v>High Risk</v>
      </c>
      <c r="S1546" t="str">
        <f>IF(OR(Loans[[#This Row],[LoanStatus]]="Default",Loans[[#This Row],[LoanStatus]]="Watchlist",Loans[[#This Row],[CollateralRisk]]="Undersecured",Loans[[#This Row],[RiskCategory]]="High Risk"),"High Risk Exposure","Normal")</f>
        <v>High Risk Exposure</v>
      </c>
      <c r="T1546" t="str" cm="1">
        <f t="array" ref="T1546">_xlfn.IFS(
Loans[[#This Row],[LoanStatus]]="Default","Critical",
OR(Loans[[#This Row],[LoanStatus]]="Watchlist",Loans[[#This Row],[CollateralRisk]]="Undersecured",Loans[[#This Row],[RiskCategory]]="High Risk"),"High",
TRUE,"Normal"
)</f>
        <v>High</v>
      </c>
    </row>
    <row r="1547" spans="1:20" x14ac:dyDescent="0.35">
      <c r="A1547" t="s">
        <v>2355</v>
      </c>
      <c r="B1547" t="s">
        <v>1655</v>
      </c>
      <c r="C1547" t="s">
        <v>232</v>
      </c>
      <c r="D1547" t="s">
        <v>156</v>
      </c>
      <c r="E1547" s="34">
        <v>6000000</v>
      </c>
      <c r="F1547" s="29">
        <v>0.1726</v>
      </c>
      <c r="G1547" s="30">
        <v>44062</v>
      </c>
      <c r="H1547">
        <v>24</v>
      </c>
      <c r="I1547">
        <v>90</v>
      </c>
      <c r="J1547" s="34">
        <v>6660000</v>
      </c>
      <c r="K1547" t="s">
        <v>199</v>
      </c>
      <c r="L1547" s="34">
        <f>PMT(Loans[[#This Row],[InterestRate]]/12,Loans[[#This Row],[LoanTenureMonths]],-Loans[[#This Row],[LoanAmount]])</f>
        <v>297403.70389399055</v>
      </c>
      <c r="M1547" s="30">
        <f>EDATE(Loans[[#This Row],[LoanStartDate]],Loans[[#This Row],[LoanTenureMonths]])</f>
        <v>44792</v>
      </c>
      <c r="N1547" s="33">
        <f>IF(Loans[[#This Row],[LoanAmount]]=0,0,Loans[[#This Row],[CollateralValue]]/Loans[[#This Row],[LoanAmount]])</f>
        <v>1.1100000000000001</v>
      </c>
      <c r="O1547" t="str">
        <f>IF(Loans[[#This Row],[CollateralCoverageRatio]]&lt;1,"Undersecured","Secured")</f>
        <v>Secured</v>
      </c>
      <c r="P1547" t="str">
        <f>_xlfn.XLOOKUP(Loans[[#This Row],[BranchCode]],BranchesTbl[BranchCode],BranchesTbl[BranchName])</f>
        <v>Upper Hill</v>
      </c>
      <c r="Q1547">
        <f>_xlfn.XLOOKUP(Loans[[#This Row],[CustomerID]],CustomerTbl[CustomerID],CustomerTbl[RiskScore])</f>
        <v>402</v>
      </c>
      <c r="R1547" t="str">
        <f>IFERROR(INDEX(RiskTbl[Risk_Category],MATCH(Loans[[#This Row],[RiskScore]],RiskTbl[Score_Min],1)),"Unknown")</f>
        <v>High Risk</v>
      </c>
      <c r="S1547" t="str">
        <f>IF(OR(Loans[[#This Row],[LoanStatus]]="Default",Loans[[#This Row],[LoanStatus]]="Watchlist",Loans[[#This Row],[CollateralRisk]]="Undersecured",Loans[[#This Row],[RiskCategory]]="High Risk"),"High Risk Exposure","Normal")</f>
        <v>High Risk Exposure</v>
      </c>
      <c r="T1547" t="str" cm="1">
        <f t="array" ref="T1547">_xlfn.IFS(
Loans[[#This Row],[LoanStatus]]="Default","Critical",
OR(Loans[[#This Row],[LoanStatus]]="Watchlist",Loans[[#This Row],[CollateralRisk]]="Undersecured",Loans[[#This Row],[RiskCategory]]="High Risk"),"High",
TRUE,"Normal"
)</f>
        <v>High</v>
      </c>
    </row>
    <row r="1548" spans="1:20" x14ac:dyDescent="0.35">
      <c r="A1548" t="s">
        <v>2356</v>
      </c>
      <c r="B1548" t="s">
        <v>1415</v>
      </c>
      <c r="C1548" t="s">
        <v>196</v>
      </c>
      <c r="D1548" t="s">
        <v>155</v>
      </c>
      <c r="E1548" s="34">
        <v>500000</v>
      </c>
      <c r="F1548" s="29">
        <v>0.16619999999999999</v>
      </c>
      <c r="G1548" s="30">
        <v>45359</v>
      </c>
      <c r="H1548">
        <v>24</v>
      </c>
      <c r="I1548">
        <v>0</v>
      </c>
      <c r="J1548" s="34">
        <v>0</v>
      </c>
      <c r="K1548" t="s">
        <v>171</v>
      </c>
      <c r="L1548" s="34">
        <f>PMT(Loans[[#This Row],[InterestRate]]/12,Loans[[#This Row],[LoanTenureMonths]],-Loans[[#This Row],[LoanAmount]])</f>
        <v>24629.934572871582</v>
      </c>
      <c r="M1548" s="30">
        <f>EDATE(Loans[[#This Row],[LoanStartDate]],Loans[[#This Row],[LoanTenureMonths]])</f>
        <v>46089</v>
      </c>
      <c r="N1548" s="33">
        <f>IF(Loans[[#This Row],[LoanAmount]]=0,0,Loans[[#This Row],[CollateralValue]]/Loans[[#This Row],[LoanAmount]])</f>
        <v>0</v>
      </c>
      <c r="O1548" t="str">
        <f>IF(Loans[[#This Row],[CollateralCoverageRatio]]&lt;1,"Undersecured","Secured")</f>
        <v>Undersecured</v>
      </c>
      <c r="P1548" t="str">
        <f>_xlfn.XLOOKUP(Loans[[#This Row],[BranchCode]],BranchesTbl[BranchCode],BranchesTbl[BranchName])</f>
        <v>Karen</v>
      </c>
      <c r="Q1548">
        <f>_xlfn.XLOOKUP(Loans[[#This Row],[CustomerID]],CustomerTbl[CustomerID],CustomerTbl[RiskScore])</f>
        <v>309</v>
      </c>
      <c r="R1548" t="str">
        <f>IFERROR(INDEX(RiskTbl[Risk_Category],MATCH(Loans[[#This Row],[RiskScore]],RiskTbl[Score_Min],1)),"Unknown")</f>
        <v>High Risk</v>
      </c>
      <c r="S1548" t="str">
        <f>IF(OR(Loans[[#This Row],[LoanStatus]]="Default",Loans[[#This Row],[LoanStatus]]="Watchlist",Loans[[#This Row],[CollateralRisk]]="Undersecured",Loans[[#This Row],[RiskCategory]]="High Risk"),"High Risk Exposure","Normal")</f>
        <v>High Risk Exposure</v>
      </c>
      <c r="T1548" t="str" cm="1">
        <f t="array" ref="T1548">_xlfn.IFS(
Loans[[#This Row],[LoanStatus]]="Default","Critical",
OR(Loans[[#This Row],[LoanStatus]]="Watchlist",Loans[[#This Row],[CollateralRisk]]="Undersecured",Loans[[#This Row],[RiskCategory]]="High Risk"),"High",
TRUE,"Normal"
)</f>
        <v>High</v>
      </c>
    </row>
    <row r="1549" spans="1:20" x14ac:dyDescent="0.35">
      <c r="A1549" t="s">
        <v>2357</v>
      </c>
      <c r="B1549" t="s">
        <v>2358</v>
      </c>
      <c r="C1549" t="s">
        <v>206</v>
      </c>
      <c r="D1549" t="s">
        <v>157</v>
      </c>
      <c r="E1549" s="34">
        <v>6000000</v>
      </c>
      <c r="F1549" s="29">
        <v>0.1033</v>
      </c>
      <c r="G1549" s="30">
        <v>43968</v>
      </c>
      <c r="H1549">
        <v>12</v>
      </c>
      <c r="I1549">
        <v>90</v>
      </c>
      <c r="J1549" s="34">
        <v>6840000</v>
      </c>
      <c r="K1549" t="s">
        <v>199</v>
      </c>
      <c r="L1549" s="34">
        <f>PMT(Loans[[#This Row],[InterestRate]]/12,Loans[[#This Row],[LoanTenureMonths]],-Loans[[#This Row],[LoanAmount]])</f>
        <v>528416.64847338526</v>
      </c>
      <c r="M1549" s="30">
        <f>EDATE(Loans[[#This Row],[LoanStartDate]],Loans[[#This Row],[LoanTenureMonths]])</f>
        <v>44333</v>
      </c>
      <c r="N1549" s="33">
        <f>IF(Loans[[#This Row],[LoanAmount]]=0,0,Loans[[#This Row],[CollateralValue]]/Loans[[#This Row],[LoanAmount]])</f>
        <v>1.1399999999999999</v>
      </c>
      <c r="O1549" t="str">
        <f>IF(Loans[[#This Row],[CollateralCoverageRatio]]&lt;1,"Undersecured","Secured")</f>
        <v>Secured</v>
      </c>
      <c r="P1549" t="str">
        <f>_xlfn.XLOOKUP(Loans[[#This Row],[BranchCode]],BranchesTbl[BranchCode],BranchesTbl[BranchName])</f>
        <v>Nyahururu</v>
      </c>
      <c r="Q1549">
        <f>_xlfn.XLOOKUP(Loans[[#This Row],[CustomerID]],CustomerTbl[CustomerID],CustomerTbl[RiskScore])</f>
        <v>767</v>
      </c>
      <c r="R1549" t="str">
        <f>IFERROR(INDEX(RiskTbl[Risk_Category],MATCH(Loans[[#This Row],[RiskScore]],RiskTbl[Score_Min],1)),"Unknown")</f>
        <v>Very Low Risk</v>
      </c>
      <c r="S1549" t="str">
        <f>IF(OR(Loans[[#This Row],[LoanStatus]]="Default",Loans[[#This Row],[LoanStatus]]="Watchlist",Loans[[#This Row],[CollateralRisk]]="Undersecured",Loans[[#This Row],[RiskCategory]]="High Risk"),"High Risk Exposure","Normal")</f>
        <v>High Risk Exposure</v>
      </c>
      <c r="T1549" t="str" cm="1">
        <f t="array" ref="T1549">_xlfn.IFS(
Loans[[#This Row],[LoanStatus]]="Default","Critical",
OR(Loans[[#This Row],[LoanStatus]]="Watchlist",Loans[[#This Row],[CollateralRisk]]="Undersecured",Loans[[#This Row],[RiskCategory]]="High Risk"),"High",
TRUE,"Normal"
)</f>
        <v>High</v>
      </c>
    </row>
    <row r="1550" spans="1:20" x14ac:dyDescent="0.35">
      <c r="A1550" t="s">
        <v>2359</v>
      </c>
      <c r="B1550" t="s">
        <v>186</v>
      </c>
      <c r="C1550" t="s">
        <v>196</v>
      </c>
      <c r="D1550" t="s">
        <v>158</v>
      </c>
      <c r="E1550" s="34">
        <v>1000000</v>
      </c>
      <c r="F1550" s="29">
        <v>0.14000000000000001</v>
      </c>
      <c r="G1550" s="30">
        <v>44375</v>
      </c>
      <c r="H1550">
        <v>12</v>
      </c>
      <c r="I1550">
        <v>10</v>
      </c>
      <c r="J1550" s="34">
        <v>640000</v>
      </c>
      <c r="K1550" t="s">
        <v>171</v>
      </c>
      <c r="L1550" s="34">
        <f>PMT(Loans[[#This Row],[InterestRate]]/12,Loans[[#This Row],[LoanTenureMonths]],-Loans[[#This Row],[LoanAmount]])</f>
        <v>89787.117611413531</v>
      </c>
      <c r="M1550" s="30">
        <f>EDATE(Loans[[#This Row],[LoanStartDate]],Loans[[#This Row],[LoanTenureMonths]])</f>
        <v>44740</v>
      </c>
      <c r="N1550" s="33">
        <f>IF(Loans[[#This Row],[LoanAmount]]=0,0,Loans[[#This Row],[CollateralValue]]/Loans[[#This Row],[LoanAmount]])</f>
        <v>0.64</v>
      </c>
      <c r="O1550" t="str">
        <f>IF(Loans[[#This Row],[CollateralCoverageRatio]]&lt;1,"Undersecured","Secured")</f>
        <v>Undersecured</v>
      </c>
      <c r="P1550" t="str">
        <f>_xlfn.XLOOKUP(Loans[[#This Row],[BranchCode]],BranchesTbl[BranchCode],BranchesTbl[BranchName])</f>
        <v>Karen</v>
      </c>
      <c r="Q1550">
        <f>_xlfn.XLOOKUP(Loans[[#This Row],[CustomerID]],CustomerTbl[CustomerID],CustomerTbl[RiskScore])</f>
        <v>587</v>
      </c>
      <c r="R1550" t="str">
        <f>IFERROR(INDEX(RiskTbl[Risk_Category],MATCH(Loans[[#This Row],[RiskScore]],RiskTbl[Score_Min],1)),"Unknown")</f>
        <v>Medium Risk</v>
      </c>
      <c r="S1550" t="str">
        <f>IF(OR(Loans[[#This Row],[LoanStatus]]="Default",Loans[[#This Row],[LoanStatus]]="Watchlist",Loans[[#This Row],[CollateralRisk]]="Undersecured",Loans[[#This Row],[RiskCategory]]="High Risk"),"High Risk Exposure","Normal")</f>
        <v>High Risk Exposure</v>
      </c>
      <c r="T1550" t="str" cm="1">
        <f t="array" ref="T1550">_xlfn.IFS(
Loans[[#This Row],[LoanStatus]]="Default","Critical",
OR(Loans[[#This Row],[LoanStatus]]="Watchlist",Loans[[#This Row],[CollateralRisk]]="Undersecured",Loans[[#This Row],[RiskCategory]]="High Risk"),"High",
TRUE,"Normal"
)</f>
        <v>High</v>
      </c>
    </row>
    <row r="1551" spans="1:20" x14ac:dyDescent="0.35">
      <c r="A1551" t="s">
        <v>2360</v>
      </c>
      <c r="B1551" t="s">
        <v>784</v>
      </c>
      <c r="C1551" t="s">
        <v>270</v>
      </c>
      <c r="D1551" t="s">
        <v>156</v>
      </c>
      <c r="E1551" s="34">
        <v>6000000</v>
      </c>
      <c r="F1551" s="29">
        <v>0.18859999999999999</v>
      </c>
      <c r="G1551" s="30">
        <v>44704</v>
      </c>
      <c r="H1551">
        <v>12</v>
      </c>
      <c r="I1551">
        <v>0</v>
      </c>
      <c r="J1551" s="34">
        <v>3660000</v>
      </c>
      <c r="K1551" t="s">
        <v>171</v>
      </c>
      <c r="L1551" s="34">
        <f>PMT(Loans[[#This Row],[InterestRate]]/12,Loans[[#This Row],[LoanTenureMonths]],-Loans[[#This Row],[LoanAmount]])</f>
        <v>552538.65253092314</v>
      </c>
      <c r="M1551" s="30">
        <f>EDATE(Loans[[#This Row],[LoanStartDate]],Loans[[#This Row],[LoanTenureMonths]])</f>
        <v>45069</v>
      </c>
      <c r="N1551" s="33">
        <f>IF(Loans[[#This Row],[LoanAmount]]=0,0,Loans[[#This Row],[CollateralValue]]/Loans[[#This Row],[LoanAmount]])</f>
        <v>0.61</v>
      </c>
      <c r="O1551" t="str">
        <f>IF(Loans[[#This Row],[CollateralCoverageRatio]]&lt;1,"Undersecured","Secured")</f>
        <v>Undersecured</v>
      </c>
      <c r="P1551" t="str">
        <f>_xlfn.XLOOKUP(Loans[[#This Row],[BranchCode]],BranchesTbl[BranchCode],BranchesTbl[BranchName])</f>
        <v>Nakuru</v>
      </c>
      <c r="Q1551">
        <f>_xlfn.XLOOKUP(Loans[[#This Row],[CustomerID]],CustomerTbl[CustomerID],CustomerTbl[RiskScore])</f>
        <v>649</v>
      </c>
      <c r="R1551" t="str">
        <f>IFERROR(INDEX(RiskTbl[Risk_Category],MATCH(Loans[[#This Row],[RiskScore]],RiskTbl[Score_Min],1)),"Unknown")</f>
        <v>Medium Risk</v>
      </c>
      <c r="S1551" t="str">
        <f>IF(OR(Loans[[#This Row],[LoanStatus]]="Default",Loans[[#This Row],[LoanStatus]]="Watchlist",Loans[[#This Row],[CollateralRisk]]="Undersecured",Loans[[#This Row],[RiskCategory]]="High Risk"),"High Risk Exposure","Normal")</f>
        <v>High Risk Exposure</v>
      </c>
      <c r="T1551" t="str" cm="1">
        <f t="array" ref="T1551">_xlfn.IFS(
Loans[[#This Row],[LoanStatus]]="Default","Critical",
OR(Loans[[#This Row],[LoanStatus]]="Watchlist",Loans[[#This Row],[CollateralRisk]]="Undersecured",Loans[[#This Row],[RiskCategory]]="High Risk"),"High",
TRUE,"Normal"
)</f>
        <v>High</v>
      </c>
    </row>
    <row r="1552" spans="1:20" x14ac:dyDescent="0.35">
      <c r="A1552" t="s">
        <v>2361</v>
      </c>
      <c r="B1552" t="s">
        <v>296</v>
      </c>
      <c r="C1552" t="s">
        <v>187</v>
      </c>
      <c r="D1552" t="s">
        <v>156</v>
      </c>
      <c r="E1552" s="34">
        <v>3000000</v>
      </c>
      <c r="F1552" s="29">
        <v>0.22720000000000001</v>
      </c>
      <c r="G1552" s="30">
        <v>44266</v>
      </c>
      <c r="H1552">
        <v>12</v>
      </c>
      <c r="I1552">
        <v>120</v>
      </c>
      <c r="J1552" s="34">
        <v>3780000</v>
      </c>
      <c r="K1552" t="s">
        <v>178</v>
      </c>
      <c r="L1552" s="34">
        <f>PMT(Loans[[#This Row],[InterestRate]]/12,Loans[[#This Row],[LoanTenureMonths]],-Loans[[#This Row],[LoanAmount]])</f>
        <v>281823.72941792838</v>
      </c>
      <c r="M1552" s="30">
        <f>EDATE(Loans[[#This Row],[LoanStartDate]],Loans[[#This Row],[LoanTenureMonths]])</f>
        <v>44631</v>
      </c>
      <c r="N1552" s="33">
        <f>IF(Loans[[#This Row],[LoanAmount]]=0,0,Loans[[#This Row],[CollateralValue]]/Loans[[#This Row],[LoanAmount]])</f>
        <v>1.26</v>
      </c>
      <c r="O1552" t="str">
        <f>IF(Loans[[#This Row],[CollateralCoverageRatio]]&lt;1,"Undersecured","Secured")</f>
        <v>Secured</v>
      </c>
      <c r="P1552" t="str">
        <f>_xlfn.XLOOKUP(Loans[[#This Row],[BranchCode]],BranchesTbl[BranchCode],BranchesTbl[BranchName])</f>
        <v>Eldoret</v>
      </c>
      <c r="Q1552">
        <f>_xlfn.XLOOKUP(Loans[[#This Row],[CustomerID]],CustomerTbl[CustomerID],CustomerTbl[RiskScore])</f>
        <v>847</v>
      </c>
      <c r="R1552" t="str">
        <f>IFERROR(INDEX(RiskTbl[Risk_Category],MATCH(Loans[[#This Row],[RiskScore]],RiskTbl[Score_Min],1)),"Unknown")</f>
        <v>Prime</v>
      </c>
      <c r="S1552" t="str">
        <f>IF(OR(Loans[[#This Row],[LoanStatus]]="Default",Loans[[#This Row],[LoanStatus]]="Watchlist",Loans[[#This Row],[CollateralRisk]]="Undersecured",Loans[[#This Row],[RiskCategory]]="High Risk"),"High Risk Exposure","Normal")</f>
        <v>High Risk Exposure</v>
      </c>
      <c r="T1552" t="str" cm="1">
        <f t="array" ref="T1552">_xlfn.IFS(
Loans[[#This Row],[LoanStatus]]="Default","Critical",
OR(Loans[[#This Row],[LoanStatus]]="Watchlist",Loans[[#This Row],[CollateralRisk]]="Undersecured",Loans[[#This Row],[RiskCategory]]="High Risk"),"High",
TRUE,"Normal"
)</f>
        <v>Critical</v>
      </c>
    </row>
    <row r="1553" spans="1:20" x14ac:dyDescent="0.35">
      <c r="A1553" t="s">
        <v>2362</v>
      </c>
      <c r="B1553" t="s">
        <v>1034</v>
      </c>
      <c r="C1553" t="s">
        <v>267</v>
      </c>
      <c r="D1553" t="s">
        <v>155</v>
      </c>
      <c r="E1553" s="34">
        <v>500000</v>
      </c>
      <c r="F1553" s="29">
        <v>0.17369999999999999</v>
      </c>
      <c r="G1553" s="30">
        <v>44276</v>
      </c>
      <c r="H1553">
        <v>24</v>
      </c>
      <c r="I1553">
        <v>0</v>
      </c>
      <c r="J1553" s="34">
        <v>0</v>
      </c>
      <c r="K1553" t="s">
        <v>171</v>
      </c>
      <c r="L1553" s="34">
        <f>PMT(Loans[[#This Row],[InterestRate]]/12,Loans[[#This Row],[LoanTenureMonths]],-Loans[[#This Row],[LoanAmount]])</f>
        <v>24810.115806142512</v>
      </c>
      <c r="M1553" s="30">
        <f>EDATE(Loans[[#This Row],[LoanStartDate]],Loans[[#This Row],[LoanTenureMonths]])</f>
        <v>45006</v>
      </c>
      <c r="N1553" s="33">
        <f>IF(Loans[[#This Row],[LoanAmount]]=0,0,Loans[[#This Row],[CollateralValue]]/Loans[[#This Row],[LoanAmount]])</f>
        <v>0</v>
      </c>
      <c r="O1553" t="str">
        <f>IF(Loans[[#This Row],[CollateralCoverageRatio]]&lt;1,"Undersecured","Secured")</f>
        <v>Undersecured</v>
      </c>
      <c r="P1553" t="str">
        <f>_xlfn.XLOOKUP(Loans[[#This Row],[BranchCode]],BranchesTbl[BranchCode],BranchesTbl[BranchName])</f>
        <v>Malindi</v>
      </c>
      <c r="Q1553">
        <f>_xlfn.XLOOKUP(Loans[[#This Row],[CustomerID]],CustomerTbl[CustomerID],CustomerTbl[RiskScore])</f>
        <v>320</v>
      </c>
      <c r="R1553" t="str">
        <f>IFERROR(INDEX(RiskTbl[Risk_Category],MATCH(Loans[[#This Row],[RiskScore]],RiskTbl[Score_Min],1)),"Unknown")</f>
        <v>High Risk</v>
      </c>
      <c r="S1553" t="str">
        <f>IF(OR(Loans[[#This Row],[LoanStatus]]="Default",Loans[[#This Row],[LoanStatus]]="Watchlist",Loans[[#This Row],[CollateralRisk]]="Undersecured",Loans[[#This Row],[RiskCategory]]="High Risk"),"High Risk Exposure","Normal")</f>
        <v>High Risk Exposure</v>
      </c>
      <c r="T1553" t="str" cm="1">
        <f t="array" ref="T1553">_xlfn.IFS(
Loans[[#This Row],[LoanStatus]]="Default","Critical",
OR(Loans[[#This Row],[LoanStatus]]="Watchlist",Loans[[#This Row],[CollateralRisk]]="Undersecured",Loans[[#This Row],[RiskCategory]]="High Risk"),"High",
TRUE,"Normal"
)</f>
        <v>High</v>
      </c>
    </row>
    <row r="1554" spans="1:20" x14ac:dyDescent="0.35">
      <c r="A1554" t="s">
        <v>2363</v>
      </c>
      <c r="B1554" t="s">
        <v>602</v>
      </c>
      <c r="C1554" t="s">
        <v>219</v>
      </c>
      <c r="D1554" t="s">
        <v>157</v>
      </c>
      <c r="E1554" s="34">
        <v>80000000</v>
      </c>
      <c r="F1554" s="29">
        <v>0.1172</v>
      </c>
      <c r="G1554" s="30">
        <v>43886</v>
      </c>
      <c r="H1554">
        <v>48</v>
      </c>
      <c r="I1554">
        <v>45</v>
      </c>
      <c r="J1554" s="34">
        <v>101600000</v>
      </c>
      <c r="K1554" t="s">
        <v>199</v>
      </c>
      <c r="L1554" s="34">
        <f>PMT(Loans[[#This Row],[InterestRate]]/12,Loans[[#This Row],[LoanTenureMonths]],-Loans[[#This Row],[LoanAmount]])</f>
        <v>2095725.412291042</v>
      </c>
      <c r="M1554" s="30">
        <f>EDATE(Loans[[#This Row],[LoanStartDate]],Loans[[#This Row],[LoanTenureMonths]])</f>
        <v>45347</v>
      </c>
      <c r="N1554" s="33">
        <f>IF(Loans[[#This Row],[LoanAmount]]=0,0,Loans[[#This Row],[CollateralValue]]/Loans[[#This Row],[LoanAmount]])</f>
        <v>1.27</v>
      </c>
      <c r="O1554" t="str">
        <f>IF(Loans[[#This Row],[CollateralCoverageRatio]]&lt;1,"Undersecured","Secured")</f>
        <v>Secured</v>
      </c>
      <c r="P1554" t="str">
        <f>_xlfn.XLOOKUP(Loans[[#This Row],[BranchCode]],BranchesTbl[BranchCode],BranchesTbl[BranchName])</f>
        <v>Meru</v>
      </c>
      <c r="Q1554">
        <f>_xlfn.XLOOKUP(Loans[[#This Row],[CustomerID]],CustomerTbl[CustomerID],CustomerTbl[RiskScore])</f>
        <v>469</v>
      </c>
      <c r="R1554" t="str">
        <f>IFERROR(INDEX(RiskTbl[Risk_Category],MATCH(Loans[[#This Row],[RiskScore]],RiskTbl[Score_Min],1)),"Unknown")</f>
        <v>High Risk</v>
      </c>
      <c r="S1554" t="str">
        <f>IF(OR(Loans[[#This Row],[LoanStatus]]="Default",Loans[[#This Row],[LoanStatus]]="Watchlist",Loans[[#This Row],[CollateralRisk]]="Undersecured",Loans[[#This Row],[RiskCategory]]="High Risk"),"High Risk Exposure","Normal")</f>
        <v>High Risk Exposure</v>
      </c>
      <c r="T1554" t="str" cm="1">
        <f t="array" ref="T1554">_xlfn.IFS(
Loans[[#This Row],[LoanStatus]]="Default","Critical",
OR(Loans[[#This Row],[LoanStatus]]="Watchlist",Loans[[#This Row],[CollateralRisk]]="Undersecured",Loans[[#This Row],[RiskCategory]]="High Risk"),"High",
TRUE,"Normal"
)</f>
        <v>High</v>
      </c>
    </row>
    <row r="1555" spans="1:20" x14ac:dyDescent="0.35">
      <c r="A1555" t="s">
        <v>2364</v>
      </c>
      <c r="B1555" t="s">
        <v>800</v>
      </c>
      <c r="C1555" t="s">
        <v>190</v>
      </c>
      <c r="D1555" t="s">
        <v>157</v>
      </c>
      <c r="E1555" s="34">
        <v>6000000</v>
      </c>
      <c r="F1555" s="29">
        <v>9.4799999999999995E-2</v>
      </c>
      <c r="G1555" s="30">
        <v>45278</v>
      </c>
      <c r="H1555">
        <v>72</v>
      </c>
      <c r="I1555">
        <v>0</v>
      </c>
      <c r="J1555" s="34">
        <v>5880000</v>
      </c>
      <c r="K1555" t="s">
        <v>171</v>
      </c>
      <c r="L1555" s="34">
        <f>PMT(Loans[[#This Row],[InterestRate]]/12,Loans[[#This Row],[LoanTenureMonths]],-Loans[[#This Row],[LoanAmount]])</f>
        <v>109588.1180581119</v>
      </c>
      <c r="M1555" s="30">
        <f>EDATE(Loans[[#This Row],[LoanStartDate]],Loans[[#This Row],[LoanTenureMonths]])</f>
        <v>47470</v>
      </c>
      <c r="N1555" s="33">
        <f>IF(Loans[[#This Row],[LoanAmount]]=0,0,Loans[[#This Row],[CollateralValue]]/Loans[[#This Row],[LoanAmount]])</f>
        <v>0.98</v>
      </c>
      <c r="O1555" t="str">
        <f>IF(Loans[[#This Row],[CollateralCoverageRatio]]&lt;1,"Undersecured","Secured")</f>
        <v>Undersecured</v>
      </c>
      <c r="P1555" t="str">
        <f>_xlfn.XLOOKUP(Loans[[#This Row],[BranchCode]],BranchesTbl[BranchCode],BranchesTbl[BranchName])</f>
        <v>Nyeri</v>
      </c>
      <c r="Q1555">
        <f>_xlfn.XLOOKUP(Loans[[#This Row],[CustomerID]],CustomerTbl[CustomerID],CustomerTbl[RiskScore])</f>
        <v>305</v>
      </c>
      <c r="R1555" t="str">
        <f>IFERROR(INDEX(RiskTbl[Risk_Category],MATCH(Loans[[#This Row],[RiskScore]],RiskTbl[Score_Min],1)),"Unknown")</f>
        <v>High Risk</v>
      </c>
      <c r="S1555" t="str">
        <f>IF(OR(Loans[[#This Row],[LoanStatus]]="Default",Loans[[#This Row],[LoanStatus]]="Watchlist",Loans[[#This Row],[CollateralRisk]]="Undersecured",Loans[[#This Row],[RiskCategory]]="High Risk"),"High Risk Exposure","Normal")</f>
        <v>High Risk Exposure</v>
      </c>
      <c r="T1555" t="str" cm="1">
        <f t="array" ref="T1555">_xlfn.IFS(
Loans[[#This Row],[LoanStatus]]="Default","Critical",
OR(Loans[[#This Row],[LoanStatus]]="Watchlist",Loans[[#This Row],[CollateralRisk]]="Undersecured",Loans[[#This Row],[RiskCategory]]="High Risk"),"High",
TRUE,"Normal"
)</f>
        <v>High</v>
      </c>
    </row>
    <row r="1556" spans="1:20" x14ac:dyDescent="0.35">
      <c r="A1556" t="s">
        <v>2365</v>
      </c>
      <c r="B1556" t="s">
        <v>1513</v>
      </c>
      <c r="C1556" t="s">
        <v>181</v>
      </c>
      <c r="D1556" t="s">
        <v>157</v>
      </c>
      <c r="E1556" s="34">
        <v>80000000</v>
      </c>
      <c r="F1556" s="29">
        <v>0.12590000000000001</v>
      </c>
      <c r="G1556" s="30">
        <v>45131</v>
      </c>
      <c r="H1556">
        <v>72</v>
      </c>
      <c r="I1556">
        <v>90</v>
      </c>
      <c r="J1556" s="34">
        <v>83200000</v>
      </c>
      <c r="K1556" t="s">
        <v>199</v>
      </c>
      <c r="L1556" s="34">
        <f>PMT(Loans[[#This Row],[InterestRate]]/12,Loans[[#This Row],[LoanTenureMonths]],-Loans[[#This Row],[LoanAmount]])</f>
        <v>1588669.0048037865</v>
      </c>
      <c r="M1556" s="30">
        <f>EDATE(Loans[[#This Row],[LoanStartDate]],Loans[[#This Row],[LoanTenureMonths]])</f>
        <v>47323</v>
      </c>
      <c r="N1556" s="33">
        <f>IF(Loans[[#This Row],[LoanAmount]]=0,0,Loans[[#This Row],[CollateralValue]]/Loans[[#This Row],[LoanAmount]])</f>
        <v>1.04</v>
      </c>
      <c r="O1556" t="str">
        <f>IF(Loans[[#This Row],[CollateralCoverageRatio]]&lt;1,"Undersecured","Secured")</f>
        <v>Secured</v>
      </c>
      <c r="P1556" t="str">
        <f>_xlfn.XLOOKUP(Loans[[#This Row],[BranchCode]],BranchesTbl[BranchCode],BranchesTbl[BranchName])</f>
        <v>Kitale</v>
      </c>
      <c r="Q1556">
        <f>_xlfn.XLOOKUP(Loans[[#This Row],[CustomerID]],CustomerTbl[CustomerID],CustomerTbl[RiskScore])</f>
        <v>534</v>
      </c>
      <c r="R1556" t="str">
        <f>IFERROR(INDEX(RiskTbl[Risk_Category],MATCH(Loans[[#This Row],[RiskScore]],RiskTbl[Score_Min],1)),"Unknown")</f>
        <v>High Risk</v>
      </c>
      <c r="S1556" t="str">
        <f>IF(OR(Loans[[#This Row],[LoanStatus]]="Default",Loans[[#This Row],[LoanStatus]]="Watchlist",Loans[[#This Row],[CollateralRisk]]="Undersecured",Loans[[#This Row],[RiskCategory]]="High Risk"),"High Risk Exposure","Normal")</f>
        <v>High Risk Exposure</v>
      </c>
      <c r="T1556" t="str" cm="1">
        <f t="array" ref="T1556">_xlfn.IFS(
Loans[[#This Row],[LoanStatus]]="Default","Critical",
OR(Loans[[#This Row],[LoanStatus]]="Watchlist",Loans[[#This Row],[CollateralRisk]]="Undersecured",Loans[[#This Row],[RiskCategory]]="High Risk"),"High",
TRUE,"Normal"
)</f>
        <v>High</v>
      </c>
    </row>
    <row r="1557" spans="1:20" x14ac:dyDescent="0.35">
      <c r="A1557" t="s">
        <v>2366</v>
      </c>
      <c r="B1557" t="s">
        <v>679</v>
      </c>
      <c r="C1557" t="s">
        <v>267</v>
      </c>
      <c r="D1557" t="s">
        <v>155</v>
      </c>
      <c r="E1557" s="34">
        <v>100000</v>
      </c>
      <c r="F1557" s="29">
        <v>0.21920000000000001</v>
      </c>
      <c r="G1557" s="30">
        <v>45345</v>
      </c>
      <c r="H1557">
        <v>24</v>
      </c>
      <c r="I1557">
        <v>90</v>
      </c>
      <c r="J1557" s="34">
        <v>0</v>
      </c>
      <c r="K1557" t="s">
        <v>199</v>
      </c>
      <c r="L1557" s="34">
        <f>PMT(Loans[[#This Row],[InterestRate]]/12,Loans[[#This Row],[LoanTenureMonths]],-Loans[[#This Row],[LoanAmount]])</f>
        <v>5183.865681468189</v>
      </c>
      <c r="M1557" s="30">
        <f>EDATE(Loans[[#This Row],[LoanStartDate]],Loans[[#This Row],[LoanTenureMonths]])</f>
        <v>46076</v>
      </c>
      <c r="N1557" s="33">
        <f>IF(Loans[[#This Row],[LoanAmount]]=0,0,Loans[[#This Row],[CollateralValue]]/Loans[[#This Row],[LoanAmount]])</f>
        <v>0</v>
      </c>
      <c r="O1557" t="str">
        <f>IF(Loans[[#This Row],[CollateralCoverageRatio]]&lt;1,"Undersecured","Secured")</f>
        <v>Undersecured</v>
      </c>
      <c r="P1557" t="str">
        <f>_xlfn.XLOOKUP(Loans[[#This Row],[BranchCode]],BranchesTbl[BranchCode],BranchesTbl[BranchName])</f>
        <v>Malindi</v>
      </c>
      <c r="Q1557">
        <f>_xlfn.XLOOKUP(Loans[[#This Row],[CustomerID]],CustomerTbl[CustomerID],CustomerTbl[RiskScore])</f>
        <v>411</v>
      </c>
      <c r="R1557" t="str">
        <f>IFERROR(INDEX(RiskTbl[Risk_Category],MATCH(Loans[[#This Row],[RiskScore]],RiskTbl[Score_Min],1)),"Unknown")</f>
        <v>High Risk</v>
      </c>
      <c r="S1557" t="str">
        <f>IF(OR(Loans[[#This Row],[LoanStatus]]="Default",Loans[[#This Row],[LoanStatus]]="Watchlist",Loans[[#This Row],[CollateralRisk]]="Undersecured",Loans[[#This Row],[RiskCategory]]="High Risk"),"High Risk Exposure","Normal")</f>
        <v>High Risk Exposure</v>
      </c>
      <c r="T1557" t="str" cm="1">
        <f t="array" ref="T1557">_xlfn.IFS(
Loans[[#This Row],[LoanStatus]]="Default","Critical",
OR(Loans[[#This Row],[LoanStatus]]="Watchlist",Loans[[#This Row],[CollateralRisk]]="Undersecured",Loans[[#This Row],[RiskCategory]]="High Risk"),"High",
TRUE,"Normal"
)</f>
        <v>High</v>
      </c>
    </row>
    <row r="1558" spans="1:20" x14ac:dyDescent="0.35">
      <c r="A1558" t="s">
        <v>2367</v>
      </c>
      <c r="B1558" t="s">
        <v>2008</v>
      </c>
      <c r="C1558" t="s">
        <v>181</v>
      </c>
      <c r="D1558" t="s">
        <v>157</v>
      </c>
      <c r="E1558" s="34">
        <v>25000000</v>
      </c>
      <c r="F1558" s="29">
        <v>0.12039999999999999</v>
      </c>
      <c r="G1558" s="30">
        <v>43885</v>
      </c>
      <c r="H1558">
        <v>36</v>
      </c>
      <c r="I1558">
        <v>90</v>
      </c>
      <c r="J1558" s="34">
        <v>22250000</v>
      </c>
      <c r="K1558" t="s">
        <v>199</v>
      </c>
      <c r="L1558" s="34">
        <f>PMT(Loans[[#This Row],[InterestRate]]/12,Loans[[#This Row],[LoanTenureMonths]],-Loans[[#This Row],[LoanAmount]])</f>
        <v>830835.44601945521</v>
      </c>
      <c r="M1558" s="30">
        <f>EDATE(Loans[[#This Row],[LoanStartDate]],Loans[[#This Row],[LoanTenureMonths]])</f>
        <v>44981</v>
      </c>
      <c r="N1558" s="33">
        <f>IF(Loans[[#This Row],[LoanAmount]]=0,0,Loans[[#This Row],[CollateralValue]]/Loans[[#This Row],[LoanAmount]])</f>
        <v>0.89</v>
      </c>
      <c r="O1558" t="str">
        <f>IF(Loans[[#This Row],[CollateralCoverageRatio]]&lt;1,"Undersecured","Secured")</f>
        <v>Undersecured</v>
      </c>
      <c r="P1558" t="str">
        <f>_xlfn.XLOOKUP(Loans[[#This Row],[BranchCode]],BranchesTbl[BranchCode],BranchesTbl[BranchName])</f>
        <v>Kitale</v>
      </c>
      <c r="Q1558">
        <f>_xlfn.XLOOKUP(Loans[[#This Row],[CustomerID]],CustomerTbl[CustomerID],CustomerTbl[RiskScore])</f>
        <v>634</v>
      </c>
      <c r="R1558" t="str">
        <f>IFERROR(INDEX(RiskTbl[Risk_Category],MATCH(Loans[[#This Row],[RiskScore]],RiskTbl[Score_Min],1)),"Unknown")</f>
        <v>Medium Risk</v>
      </c>
      <c r="S1558" t="str">
        <f>IF(OR(Loans[[#This Row],[LoanStatus]]="Default",Loans[[#This Row],[LoanStatus]]="Watchlist",Loans[[#This Row],[CollateralRisk]]="Undersecured",Loans[[#This Row],[RiskCategory]]="High Risk"),"High Risk Exposure","Normal")</f>
        <v>High Risk Exposure</v>
      </c>
      <c r="T1558" t="str" cm="1">
        <f t="array" ref="T1558">_xlfn.IFS(
Loans[[#This Row],[LoanStatus]]="Default","Critical",
OR(Loans[[#This Row],[LoanStatus]]="Watchlist",Loans[[#This Row],[CollateralRisk]]="Undersecured",Loans[[#This Row],[RiskCategory]]="High Risk"),"High",
TRUE,"Normal"
)</f>
        <v>High</v>
      </c>
    </row>
    <row r="1559" spans="1:20" x14ac:dyDescent="0.35">
      <c r="A1559" t="s">
        <v>2368</v>
      </c>
      <c r="B1559" t="s">
        <v>2288</v>
      </c>
      <c r="C1559" t="s">
        <v>196</v>
      </c>
      <c r="D1559" t="s">
        <v>158</v>
      </c>
      <c r="E1559" s="34">
        <v>3000000</v>
      </c>
      <c r="F1559" s="29">
        <v>0.18490000000000001</v>
      </c>
      <c r="G1559" s="30">
        <v>45392</v>
      </c>
      <c r="H1559">
        <v>48</v>
      </c>
      <c r="I1559">
        <v>20</v>
      </c>
      <c r="J1559" s="34">
        <v>2460000</v>
      </c>
      <c r="K1559" t="s">
        <v>171</v>
      </c>
      <c r="L1559" s="34">
        <f>PMT(Loans[[#This Row],[InterestRate]]/12,Loans[[#This Row],[LoanTenureMonths]],-Loans[[#This Row],[LoanAmount]])</f>
        <v>88894.995032540086</v>
      </c>
      <c r="M1559" s="30">
        <f>EDATE(Loans[[#This Row],[LoanStartDate]],Loans[[#This Row],[LoanTenureMonths]])</f>
        <v>46853</v>
      </c>
      <c r="N1559" s="33">
        <f>IF(Loans[[#This Row],[LoanAmount]]=0,0,Loans[[#This Row],[CollateralValue]]/Loans[[#This Row],[LoanAmount]])</f>
        <v>0.82</v>
      </c>
      <c r="O1559" t="str">
        <f>IF(Loans[[#This Row],[CollateralCoverageRatio]]&lt;1,"Undersecured","Secured")</f>
        <v>Undersecured</v>
      </c>
      <c r="P1559" t="str">
        <f>_xlfn.XLOOKUP(Loans[[#This Row],[BranchCode]],BranchesTbl[BranchCode],BranchesTbl[BranchName])</f>
        <v>Karen</v>
      </c>
      <c r="Q1559">
        <f>_xlfn.XLOOKUP(Loans[[#This Row],[CustomerID]],CustomerTbl[CustomerID],CustomerTbl[RiskScore])</f>
        <v>763</v>
      </c>
      <c r="R1559" t="str">
        <f>IFERROR(INDEX(RiskTbl[Risk_Category],MATCH(Loans[[#This Row],[RiskScore]],RiskTbl[Score_Min],1)),"Unknown")</f>
        <v>Very Low Risk</v>
      </c>
      <c r="S1559" t="str">
        <f>IF(OR(Loans[[#This Row],[LoanStatus]]="Default",Loans[[#This Row],[LoanStatus]]="Watchlist",Loans[[#This Row],[CollateralRisk]]="Undersecured",Loans[[#This Row],[RiskCategory]]="High Risk"),"High Risk Exposure","Normal")</f>
        <v>High Risk Exposure</v>
      </c>
      <c r="T1559" t="str" cm="1">
        <f t="array" ref="T1559">_xlfn.IFS(
Loans[[#This Row],[LoanStatus]]="Default","Critical",
OR(Loans[[#This Row],[LoanStatus]]="Watchlist",Loans[[#This Row],[CollateralRisk]]="Undersecured",Loans[[#This Row],[RiskCategory]]="High Risk"),"High",
TRUE,"Normal"
)</f>
        <v>High</v>
      </c>
    </row>
    <row r="1560" spans="1:20" x14ac:dyDescent="0.35">
      <c r="A1560" t="s">
        <v>2369</v>
      </c>
      <c r="B1560" t="s">
        <v>1309</v>
      </c>
      <c r="C1560" t="s">
        <v>239</v>
      </c>
      <c r="D1560" t="s">
        <v>156</v>
      </c>
      <c r="E1560" s="34">
        <v>6000000</v>
      </c>
      <c r="F1560" s="29">
        <v>0.23699999999999999</v>
      </c>
      <c r="G1560" s="30">
        <v>44359</v>
      </c>
      <c r="H1560">
        <v>72</v>
      </c>
      <c r="I1560">
        <v>0</v>
      </c>
      <c r="J1560" s="34">
        <v>6240000</v>
      </c>
      <c r="K1560" t="s">
        <v>171</v>
      </c>
      <c r="L1560" s="34">
        <f>PMT(Loans[[#This Row],[InterestRate]]/12,Loans[[#This Row],[LoanTenureMonths]],-Loans[[#This Row],[LoanAmount]])</f>
        <v>156870.08071657055</v>
      </c>
      <c r="M1560" s="30">
        <f>EDATE(Loans[[#This Row],[LoanStartDate]],Loans[[#This Row],[LoanTenureMonths]])</f>
        <v>46550</v>
      </c>
      <c r="N1560" s="33">
        <f>IF(Loans[[#This Row],[LoanAmount]]=0,0,Loans[[#This Row],[CollateralValue]]/Loans[[#This Row],[LoanAmount]])</f>
        <v>1.04</v>
      </c>
      <c r="O1560" t="str">
        <f>IF(Loans[[#This Row],[CollateralCoverageRatio]]&lt;1,"Undersecured","Secured")</f>
        <v>Secured</v>
      </c>
      <c r="P1560" t="str">
        <f>_xlfn.XLOOKUP(Loans[[#This Row],[BranchCode]],BranchesTbl[BranchCode],BranchesTbl[BranchName])</f>
        <v>Machakos</v>
      </c>
      <c r="Q1560">
        <f>_xlfn.XLOOKUP(Loans[[#This Row],[CustomerID]],CustomerTbl[CustomerID],CustomerTbl[RiskScore])</f>
        <v>572</v>
      </c>
      <c r="R1560" t="str">
        <f>IFERROR(INDEX(RiskTbl[Risk_Category],MATCH(Loans[[#This Row],[RiskScore]],RiskTbl[Score_Min],1)),"Unknown")</f>
        <v>High Risk</v>
      </c>
      <c r="S1560" t="str">
        <f>IF(OR(Loans[[#This Row],[LoanStatus]]="Default",Loans[[#This Row],[LoanStatus]]="Watchlist",Loans[[#This Row],[CollateralRisk]]="Undersecured",Loans[[#This Row],[RiskCategory]]="High Risk"),"High Risk Exposure","Normal")</f>
        <v>High Risk Exposure</v>
      </c>
      <c r="T1560" t="str" cm="1">
        <f t="array" ref="T1560">_xlfn.IFS(
Loans[[#This Row],[LoanStatus]]="Default","Critical",
OR(Loans[[#This Row],[LoanStatus]]="Watchlist",Loans[[#This Row],[CollateralRisk]]="Undersecured",Loans[[#This Row],[RiskCategory]]="High Risk"),"High",
TRUE,"Normal"
)</f>
        <v>High</v>
      </c>
    </row>
    <row r="1561" spans="1:20" x14ac:dyDescent="0.35">
      <c r="A1561" t="s">
        <v>2370</v>
      </c>
      <c r="B1561" t="s">
        <v>2371</v>
      </c>
      <c r="C1561" t="s">
        <v>219</v>
      </c>
      <c r="D1561" t="s">
        <v>157</v>
      </c>
      <c r="E1561" s="34">
        <v>6000000</v>
      </c>
      <c r="F1561" s="29">
        <v>9.0300000000000005E-2</v>
      </c>
      <c r="G1561" s="30">
        <v>45408</v>
      </c>
      <c r="H1561">
        <v>24</v>
      </c>
      <c r="I1561">
        <v>0</v>
      </c>
      <c r="J1561" s="34">
        <v>6780000</v>
      </c>
      <c r="K1561" t="s">
        <v>171</v>
      </c>
      <c r="L1561" s="34">
        <f>PMT(Loans[[#This Row],[InterestRate]]/12,Loans[[#This Row],[LoanTenureMonths]],-Loans[[#This Row],[LoanAmount]])</f>
        <v>274191.04835404508</v>
      </c>
      <c r="M1561" s="30">
        <f>EDATE(Loans[[#This Row],[LoanStartDate]],Loans[[#This Row],[LoanTenureMonths]])</f>
        <v>46138</v>
      </c>
      <c r="N1561" s="33">
        <f>IF(Loans[[#This Row],[LoanAmount]]=0,0,Loans[[#This Row],[CollateralValue]]/Loans[[#This Row],[LoanAmount]])</f>
        <v>1.1299999999999999</v>
      </c>
      <c r="O1561" t="str">
        <f>IF(Loans[[#This Row],[CollateralCoverageRatio]]&lt;1,"Undersecured","Secured")</f>
        <v>Secured</v>
      </c>
      <c r="P1561" t="str">
        <f>_xlfn.XLOOKUP(Loans[[#This Row],[BranchCode]],BranchesTbl[BranchCode],BranchesTbl[BranchName])</f>
        <v>Meru</v>
      </c>
      <c r="Q1561">
        <f>_xlfn.XLOOKUP(Loans[[#This Row],[CustomerID]],CustomerTbl[CustomerID],CustomerTbl[RiskScore])</f>
        <v>385</v>
      </c>
      <c r="R1561" t="str">
        <f>IFERROR(INDEX(RiskTbl[Risk_Category],MATCH(Loans[[#This Row],[RiskScore]],RiskTbl[Score_Min],1)),"Unknown")</f>
        <v>High Risk</v>
      </c>
      <c r="S1561" t="str">
        <f>IF(OR(Loans[[#This Row],[LoanStatus]]="Default",Loans[[#This Row],[LoanStatus]]="Watchlist",Loans[[#This Row],[CollateralRisk]]="Undersecured",Loans[[#This Row],[RiskCategory]]="High Risk"),"High Risk Exposure","Normal")</f>
        <v>High Risk Exposure</v>
      </c>
      <c r="T1561" t="str" cm="1">
        <f t="array" ref="T1561">_xlfn.IFS(
Loans[[#This Row],[LoanStatus]]="Default","Critical",
OR(Loans[[#This Row],[LoanStatus]]="Watchlist",Loans[[#This Row],[CollateralRisk]]="Undersecured",Loans[[#This Row],[RiskCategory]]="High Risk"),"High",
TRUE,"Normal"
)</f>
        <v>High</v>
      </c>
    </row>
    <row r="1562" spans="1:20" x14ac:dyDescent="0.35">
      <c r="A1562" t="s">
        <v>2372</v>
      </c>
      <c r="B1562" t="s">
        <v>2373</v>
      </c>
      <c r="C1562" t="s">
        <v>239</v>
      </c>
      <c r="D1562" t="s">
        <v>156</v>
      </c>
      <c r="E1562" s="34">
        <v>3000000</v>
      </c>
      <c r="F1562" s="29">
        <v>0.14280000000000001</v>
      </c>
      <c r="G1562" s="30">
        <v>43949</v>
      </c>
      <c r="H1562">
        <v>24</v>
      </c>
      <c r="I1562">
        <v>20</v>
      </c>
      <c r="J1562" s="34">
        <v>1680000</v>
      </c>
      <c r="K1562" t="s">
        <v>171</v>
      </c>
      <c r="L1562" s="34">
        <f>PMT(Loans[[#This Row],[InterestRate]]/12,Loans[[#This Row],[LoanTenureMonths]],-Loans[[#This Row],[LoanAmount]])</f>
        <v>144435.79531581688</v>
      </c>
      <c r="M1562" s="30">
        <f>EDATE(Loans[[#This Row],[LoanStartDate]],Loans[[#This Row],[LoanTenureMonths]])</f>
        <v>44679</v>
      </c>
      <c r="N1562" s="33">
        <f>IF(Loans[[#This Row],[LoanAmount]]=0,0,Loans[[#This Row],[CollateralValue]]/Loans[[#This Row],[LoanAmount]])</f>
        <v>0.56000000000000005</v>
      </c>
      <c r="O1562" t="str">
        <f>IF(Loans[[#This Row],[CollateralCoverageRatio]]&lt;1,"Undersecured","Secured")</f>
        <v>Undersecured</v>
      </c>
      <c r="P1562" t="str">
        <f>_xlfn.XLOOKUP(Loans[[#This Row],[BranchCode]],BranchesTbl[BranchCode],BranchesTbl[BranchName])</f>
        <v>Machakos</v>
      </c>
      <c r="Q1562">
        <f>_xlfn.XLOOKUP(Loans[[#This Row],[CustomerID]],CustomerTbl[CustomerID],CustomerTbl[RiskScore])</f>
        <v>306</v>
      </c>
      <c r="R1562" t="str">
        <f>IFERROR(INDEX(RiskTbl[Risk_Category],MATCH(Loans[[#This Row],[RiskScore]],RiskTbl[Score_Min],1)),"Unknown")</f>
        <v>High Risk</v>
      </c>
      <c r="S1562" t="str">
        <f>IF(OR(Loans[[#This Row],[LoanStatus]]="Default",Loans[[#This Row],[LoanStatus]]="Watchlist",Loans[[#This Row],[CollateralRisk]]="Undersecured",Loans[[#This Row],[RiskCategory]]="High Risk"),"High Risk Exposure","Normal")</f>
        <v>High Risk Exposure</v>
      </c>
      <c r="T1562" t="str" cm="1">
        <f t="array" ref="T1562">_xlfn.IFS(
Loans[[#This Row],[LoanStatus]]="Default","Critical",
OR(Loans[[#This Row],[LoanStatus]]="Watchlist",Loans[[#This Row],[CollateralRisk]]="Undersecured",Loans[[#This Row],[RiskCategory]]="High Risk"),"High",
TRUE,"Normal"
)</f>
        <v>High</v>
      </c>
    </row>
    <row r="1563" spans="1:20" x14ac:dyDescent="0.35">
      <c r="A1563" t="s">
        <v>2374</v>
      </c>
      <c r="B1563" t="s">
        <v>205</v>
      </c>
      <c r="C1563" t="s">
        <v>232</v>
      </c>
      <c r="D1563" t="s">
        <v>158</v>
      </c>
      <c r="E1563" s="34">
        <v>3000000</v>
      </c>
      <c r="F1563" s="29">
        <v>0.16600000000000001</v>
      </c>
      <c r="G1563" s="30">
        <v>43974</v>
      </c>
      <c r="H1563">
        <v>12</v>
      </c>
      <c r="I1563">
        <v>0</v>
      </c>
      <c r="J1563" s="34">
        <v>2100000</v>
      </c>
      <c r="K1563" t="s">
        <v>171</v>
      </c>
      <c r="L1563" s="34">
        <f>PMT(Loans[[#This Row],[InterestRate]]/12,Loans[[#This Row],[LoanTenureMonths]],-Loans[[#This Row],[LoanAmount]])</f>
        <v>273045.09803937911</v>
      </c>
      <c r="M1563" s="30">
        <f>EDATE(Loans[[#This Row],[LoanStartDate]],Loans[[#This Row],[LoanTenureMonths]])</f>
        <v>44339</v>
      </c>
      <c r="N1563" s="33">
        <f>IF(Loans[[#This Row],[LoanAmount]]=0,0,Loans[[#This Row],[CollateralValue]]/Loans[[#This Row],[LoanAmount]])</f>
        <v>0.7</v>
      </c>
      <c r="O1563" t="str">
        <f>IF(Loans[[#This Row],[CollateralCoverageRatio]]&lt;1,"Undersecured","Secured")</f>
        <v>Undersecured</v>
      </c>
      <c r="P1563" t="str">
        <f>_xlfn.XLOOKUP(Loans[[#This Row],[BranchCode]],BranchesTbl[BranchCode],BranchesTbl[BranchName])</f>
        <v>Upper Hill</v>
      </c>
      <c r="Q1563">
        <f>_xlfn.XLOOKUP(Loans[[#This Row],[CustomerID]],CustomerTbl[CustomerID],CustomerTbl[RiskScore])</f>
        <v>330</v>
      </c>
      <c r="R1563" t="str">
        <f>IFERROR(INDEX(RiskTbl[Risk_Category],MATCH(Loans[[#This Row],[RiskScore]],RiskTbl[Score_Min],1)),"Unknown")</f>
        <v>High Risk</v>
      </c>
      <c r="S1563" t="str">
        <f>IF(OR(Loans[[#This Row],[LoanStatus]]="Default",Loans[[#This Row],[LoanStatus]]="Watchlist",Loans[[#This Row],[CollateralRisk]]="Undersecured",Loans[[#This Row],[RiskCategory]]="High Risk"),"High Risk Exposure","Normal")</f>
        <v>High Risk Exposure</v>
      </c>
      <c r="T1563" t="str" cm="1">
        <f t="array" ref="T1563">_xlfn.IFS(
Loans[[#This Row],[LoanStatus]]="Default","Critical",
OR(Loans[[#This Row],[LoanStatus]]="Watchlist",Loans[[#This Row],[CollateralRisk]]="Undersecured",Loans[[#This Row],[RiskCategory]]="High Risk"),"High",
TRUE,"Normal"
)</f>
        <v>High</v>
      </c>
    </row>
    <row r="1564" spans="1:20" x14ac:dyDescent="0.35">
      <c r="A1564" t="s">
        <v>2375</v>
      </c>
      <c r="B1564" t="s">
        <v>375</v>
      </c>
      <c r="C1564" t="s">
        <v>267</v>
      </c>
      <c r="D1564" t="s">
        <v>156</v>
      </c>
      <c r="E1564" s="34">
        <v>25000000</v>
      </c>
      <c r="F1564" s="29">
        <v>0.17150000000000001</v>
      </c>
      <c r="G1564" s="30">
        <v>44791</v>
      </c>
      <c r="H1564">
        <v>72</v>
      </c>
      <c r="I1564">
        <v>0</v>
      </c>
      <c r="J1564" s="34">
        <v>30250000</v>
      </c>
      <c r="K1564" t="s">
        <v>171</v>
      </c>
      <c r="L1564" s="34">
        <f>PMT(Loans[[#This Row],[InterestRate]]/12,Loans[[#This Row],[LoanTenureMonths]],-Loans[[#This Row],[LoanAmount]])</f>
        <v>558247.81705409125</v>
      </c>
      <c r="M1564" s="30">
        <f>EDATE(Loans[[#This Row],[LoanStartDate]],Loans[[#This Row],[LoanTenureMonths]])</f>
        <v>46983</v>
      </c>
      <c r="N1564" s="33">
        <f>IF(Loans[[#This Row],[LoanAmount]]=0,0,Loans[[#This Row],[CollateralValue]]/Loans[[#This Row],[LoanAmount]])</f>
        <v>1.21</v>
      </c>
      <c r="O1564" t="str">
        <f>IF(Loans[[#This Row],[CollateralCoverageRatio]]&lt;1,"Undersecured","Secured")</f>
        <v>Secured</v>
      </c>
      <c r="P1564" t="str">
        <f>_xlfn.XLOOKUP(Loans[[#This Row],[BranchCode]],BranchesTbl[BranchCode],BranchesTbl[BranchName])</f>
        <v>Malindi</v>
      </c>
      <c r="Q1564">
        <f>_xlfn.XLOOKUP(Loans[[#This Row],[CustomerID]],CustomerTbl[CustomerID],CustomerTbl[RiskScore])</f>
        <v>358</v>
      </c>
      <c r="R1564" t="str">
        <f>IFERROR(INDEX(RiskTbl[Risk_Category],MATCH(Loans[[#This Row],[RiskScore]],RiskTbl[Score_Min],1)),"Unknown")</f>
        <v>High Risk</v>
      </c>
      <c r="S1564" t="str">
        <f>IF(OR(Loans[[#This Row],[LoanStatus]]="Default",Loans[[#This Row],[LoanStatus]]="Watchlist",Loans[[#This Row],[CollateralRisk]]="Undersecured",Loans[[#This Row],[RiskCategory]]="High Risk"),"High Risk Exposure","Normal")</f>
        <v>High Risk Exposure</v>
      </c>
      <c r="T1564" t="str" cm="1">
        <f t="array" ref="T1564">_xlfn.IFS(
Loans[[#This Row],[LoanStatus]]="Default","Critical",
OR(Loans[[#This Row],[LoanStatus]]="Watchlist",Loans[[#This Row],[CollateralRisk]]="Undersecured",Loans[[#This Row],[RiskCategory]]="High Risk"),"High",
TRUE,"Normal"
)</f>
        <v>High</v>
      </c>
    </row>
    <row r="1565" spans="1:20" x14ac:dyDescent="0.35">
      <c r="A1565" t="s">
        <v>2376</v>
      </c>
      <c r="B1565" t="s">
        <v>2240</v>
      </c>
      <c r="C1565" t="s">
        <v>170</v>
      </c>
      <c r="D1565" t="s">
        <v>155</v>
      </c>
      <c r="E1565" s="34">
        <v>500000</v>
      </c>
      <c r="F1565" s="29">
        <v>0.21679999999999999</v>
      </c>
      <c r="G1565" s="30">
        <v>44291</v>
      </c>
      <c r="H1565">
        <v>36</v>
      </c>
      <c r="I1565">
        <v>0</v>
      </c>
      <c r="J1565" s="34">
        <v>0</v>
      </c>
      <c r="K1565" t="s">
        <v>171</v>
      </c>
      <c r="L1565" s="34">
        <f>PMT(Loans[[#This Row],[InterestRate]]/12,Loans[[#This Row],[LoanTenureMonths]],-Loans[[#This Row],[LoanAmount]])</f>
        <v>19012.55317620901</v>
      </c>
      <c r="M1565" s="30">
        <f>EDATE(Loans[[#This Row],[LoanStartDate]],Loans[[#This Row],[LoanTenureMonths]])</f>
        <v>45387</v>
      </c>
      <c r="N1565" s="33">
        <f>IF(Loans[[#This Row],[LoanAmount]]=0,0,Loans[[#This Row],[CollateralValue]]/Loans[[#This Row],[LoanAmount]])</f>
        <v>0</v>
      </c>
      <c r="O1565" t="str">
        <f>IF(Loans[[#This Row],[CollateralCoverageRatio]]&lt;1,"Undersecured","Secured")</f>
        <v>Undersecured</v>
      </c>
      <c r="P1565" t="str">
        <f>_xlfn.XLOOKUP(Loans[[#This Row],[BranchCode]],BranchesTbl[BranchCode],BranchesTbl[BranchName])</f>
        <v>Thika</v>
      </c>
      <c r="Q1565">
        <f>_xlfn.XLOOKUP(Loans[[#This Row],[CustomerID]],CustomerTbl[CustomerID],CustomerTbl[RiskScore])</f>
        <v>600</v>
      </c>
      <c r="R1565" t="str">
        <f>IFERROR(INDEX(RiskTbl[Risk_Category],MATCH(Loans[[#This Row],[RiskScore]],RiskTbl[Score_Min],1)),"Unknown")</f>
        <v>Medium Risk</v>
      </c>
      <c r="S1565" t="str">
        <f>IF(OR(Loans[[#This Row],[LoanStatus]]="Default",Loans[[#This Row],[LoanStatus]]="Watchlist",Loans[[#This Row],[CollateralRisk]]="Undersecured",Loans[[#This Row],[RiskCategory]]="High Risk"),"High Risk Exposure","Normal")</f>
        <v>High Risk Exposure</v>
      </c>
      <c r="T1565" t="str" cm="1">
        <f t="array" ref="T1565">_xlfn.IFS(
Loans[[#This Row],[LoanStatus]]="Default","Critical",
OR(Loans[[#This Row],[LoanStatus]]="Watchlist",Loans[[#This Row],[CollateralRisk]]="Undersecured",Loans[[#This Row],[RiskCategory]]="High Risk"),"High",
TRUE,"Normal"
)</f>
        <v>High</v>
      </c>
    </row>
    <row r="1566" spans="1:20" x14ac:dyDescent="0.35">
      <c r="A1566" t="s">
        <v>2377</v>
      </c>
      <c r="B1566" t="s">
        <v>694</v>
      </c>
      <c r="C1566" t="s">
        <v>177</v>
      </c>
      <c r="D1566" t="s">
        <v>156</v>
      </c>
      <c r="E1566" s="34">
        <v>1000000</v>
      </c>
      <c r="F1566" s="29">
        <v>0.1623</v>
      </c>
      <c r="G1566" s="30">
        <v>45631</v>
      </c>
      <c r="H1566">
        <v>60</v>
      </c>
      <c r="I1566">
        <v>10</v>
      </c>
      <c r="J1566" s="34">
        <v>1410000</v>
      </c>
      <c r="K1566" t="s">
        <v>171</v>
      </c>
      <c r="L1566" s="34">
        <f>PMT(Loans[[#This Row],[InterestRate]]/12,Loans[[#This Row],[LoanTenureMonths]],-Loans[[#This Row],[LoanAmount]])</f>
        <v>24440.432517436882</v>
      </c>
      <c r="M1566" s="30">
        <f>EDATE(Loans[[#This Row],[LoanStartDate]],Loans[[#This Row],[LoanTenureMonths]])</f>
        <v>47457</v>
      </c>
      <c r="N1566" s="33">
        <f>IF(Loans[[#This Row],[LoanAmount]]=0,0,Loans[[#This Row],[CollateralValue]]/Loans[[#This Row],[LoanAmount]])</f>
        <v>1.41</v>
      </c>
      <c r="O1566" t="str">
        <f>IF(Loans[[#This Row],[CollateralCoverageRatio]]&lt;1,"Undersecured","Secured")</f>
        <v>Secured</v>
      </c>
      <c r="P1566" t="str">
        <f>_xlfn.XLOOKUP(Loans[[#This Row],[BranchCode]],BranchesTbl[BranchCode],BranchesTbl[BranchName])</f>
        <v>Naivasha</v>
      </c>
      <c r="Q1566">
        <f>_xlfn.XLOOKUP(Loans[[#This Row],[CustomerID]],CustomerTbl[CustomerID],CustomerTbl[RiskScore])</f>
        <v>828</v>
      </c>
      <c r="R1566" t="str">
        <f>IFERROR(INDEX(RiskTbl[Risk_Category],MATCH(Loans[[#This Row],[RiskScore]],RiskTbl[Score_Min],1)),"Unknown")</f>
        <v>Prime</v>
      </c>
      <c r="S1566" t="str">
        <f>IF(OR(Loans[[#This Row],[LoanStatus]]="Default",Loans[[#This Row],[LoanStatus]]="Watchlist",Loans[[#This Row],[CollateralRisk]]="Undersecured",Loans[[#This Row],[RiskCategory]]="High Risk"),"High Risk Exposure","Normal")</f>
        <v>Normal</v>
      </c>
      <c r="T1566" t="str" cm="1">
        <f t="array" ref="T1566">_xlfn.IFS(
Loans[[#This Row],[LoanStatus]]="Default","Critical",
OR(Loans[[#This Row],[LoanStatus]]="Watchlist",Loans[[#This Row],[CollateralRisk]]="Undersecured",Loans[[#This Row],[RiskCategory]]="High Risk"),"High",
TRUE,"Normal"
)</f>
        <v>Normal</v>
      </c>
    </row>
    <row r="1567" spans="1:20" x14ac:dyDescent="0.35">
      <c r="A1567" t="s">
        <v>2378</v>
      </c>
      <c r="B1567" t="s">
        <v>738</v>
      </c>
      <c r="C1567" t="s">
        <v>219</v>
      </c>
      <c r="D1567" t="s">
        <v>158</v>
      </c>
      <c r="E1567" s="34">
        <v>500000</v>
      </c>
      <c r="F1567" s="29">
        <v>0.16139999999999999</v>
      </c>
      <c r="G1567" s="30">
        <v>43862</v>
      </c>
      <c r="H1567">
        <v>36</v>
      </c>
      <c r="I1567">
        <v>20</v>
      </c>
      <c r="J1567" s="34">
        <v>440000</v>
      </c>
      <c r="K1567" t="s">
        <v>171</v>
      </c>
      <c r="L1567" s="34">
        <f>PMT(Loans[[#This Row],[InterestRate]]/12,Loans[[#This Row],[LoanTenureMonths]],-Loans[[#This Row],[LoanAmount]])</f>
        <v>17613.095219565203</v>
      </c>
      <c r="M1567" s="30">
        <f>EDATE(Loans[[#This Row],[LoanStartDate]],Loans[[#This Row],[LoanTenureMonths]])</f>
        <v>44958</v>
      </c>
      <c r="N1567" s="33">
        <f>IF(Loans[[#This Row],[LoanAmount]]=0,0,Loans[[#This Row],[CollateralValue]]/Loans[[#This Row],[LoanAmount]])</f>
        <v>0.88</v>
      </c>
      <c r="O1567" t="str">
        <f>IF(Loans[[#This Row],[CollateralCoverageRatio]]&lt;1,"Undersecured","Secured")</f>
        <v>Undersecured</v>
      </c>
      <c r="P1567" t="str">
        <f>_xlfn.XLOOKUP(Loans[[#This Row],[BranchCode]],BranchesTbl[BranchCode],BranchesTbl[BranchName])</f>
        <v>Meru</v>
      </c>
      <c r="Q1567">
        <f>_xlfn.XLOOKUP(Loans[[#This Row],[CustomerID]],CustomerTbl[CustomerID],CustomerTbl[RiskScore])</f>
        <v>654</v>
      </c>
      <c r="R1567" t="str">
        <f>IFERROR(INDEX(RiskTbl[Risk_Category],MATCH(Loans[[#This Row],[RiskScore]],RiskTbl[Score_Min],1)),"Unknown")</f>
        <v>Medium Risk</v>
      </c>
      <c r="S1567" t="str">
        <f>IF(OR(Loans[[#This Row],[LoanStatus]]="Default",Loans[[#This Row],[LoanStatus]]="Watchlist",Loans[[#This Row],[CollateralRisk]]="Undersecured",Loans[[#This Row],[RiskCategory]]="High Risk"),"High Risk Exposure","Normal")</f>
        <v>High Risk Exposure</v>
      </c>
      <c r="T1567" t="str" cm="1">
        <f t="array" ref="T1567">_xlfn.IFS(
Loans[[#This Row],[LoanStatus]]="Default","Critical",
OR(Loans[[#This Row],[LoanStatus]]="Watchlist",Loans[[#This Row],[CollateralRisk]]="Undersecured",Loans[[#This Row],[RiskCategory]]="High Risk"),"High",
TRUE,"Normal"
)</f>
        <v>High</v>
      </c>
    </row>
    <row r="1568" spans="1:20" x14ac:dyDescent="0.35">
      <c r="A1568" t="s">
        <v>2379</v>
      </c>
      <c r="B1568" t="s">
        <v>1750</v>
      </c>
      <c r="C1568" t="s">
        <v>219</v>
      </c>
      <c r="D1568" t="s">
        <v>155</v>
      </c>
      <c r="E1568" s="34">
        <v>1000000</v>
      </c>
      <c r="F1568" s="29">
        <v>0.22819999999999999</v>
      </c>
      <c r="G1568" s="30">
        <v>44192</v>
      </c>
      <c r="H1568">
        <v>24</v>
      </c>
      <c r="I1568">
        <v>0</v>
      </c>
      <c r="J1568" s="34">
        <v>0</v>
      </c>
      <c r="K1568" t="s">
        <v>171</v>
      </c>
      <c r="L1568" s="34">
        <f>PMT(Loans[[#This Row],[InterestRate]]/12,Loans[[#This Row],[LoanTenureMonths]],-Loans[[#This Row],[LoanAmount]])</f>
        <v>52283.983730593245</v>
      </c>
      <c r="M1568" s="30">
        <f>EDATE(Loans[[#This Row],[LoanStartDate]],Loans[[#This Row],[LoanTenureMonths]])</f>
        <v>44922</v>
      </c>
      <c r="N1568" s="33">
        <f>IF(Loans[[#This Row],[LoanAmount]]=0,0,Loans[[#This Row],[CollateralValue]]/Loans[[#This Row],[LoanAmount]])</f>
        <v>0</v>
      </c>
      <c r="O1568" t="str">
        <f>IF(Loans[[#This Row],[CollateralCoverageRatio]]&lt;1,"Undersecured","Secured")</f>
        <v>Undersecured</v>
      </c>
      <c r="P1568" t="str">
        <f>_xlfn.XLOOKUP(Loans[[#This Row],[BranchCode]],BranchesTbl[BranchCode],BranchesTbl[BranchName])</f>
        <v>Meru</v>
      </c>
      <c r="Q1568">
        <f>_xlfn.XLOOKUP(Loans[[#This Row],[CustomerID]],CustomerTbl[CustomerID],CustomerTbl[RiskScore])</f>
        <v>678</v>
      </c>
      <c r="R1568" t="str">
        <f>IFERROR(INDEX(RiskTbl[Risk_Category],MATCH(Loans[[#This Row],[RiskScore]],RiskTbl[Score_Min],1)),"Unknown")</f>
        <v>Low Risk</v>
      </c>
      <c r="S1568" t="str">
        <f>IF(OR(Loans[[#This Row],[LoanStatus]]="Default",Loans[[#This Row],[LoanStatus]]="Watchlist",Loans[[#This Row],[CollateralRisk]]="Undersecured",Loans[[#This Row],[RiskCategory]]="High Risk"),"High Risk Exposure","Normal")</f>
        <v>High Risk Exposure</v>
      </c>
      <c r="T1568" t="str" cm="1">
        <f t="array" ref="T1568">_xlfn.IFS(
Loans[[#This Row],[LoanStatus]]="Default","Critical",
OR(Loans[[#This Row],[LoanStatus]]="Watchlist",Loans[[#This Row],[CollateralRisk]]="Undersecured",Loans[[#This Row],[RiskCategory]]="High Risk"),"High",
TRUE,"Normal"
)</f>
        <v>High</v>
      </c>
    </row>
    <row r="1569" spans="1:20" x14ac:dyDescent="0.35">
      <c r="A1569" t="s">
        <v>2380</v>
      </c>
      <c r="B1569" t="s">
        <v>357</v>
      </c>
      <c r="C1569" t="s">
        <v>219</v>
      </c>
      <c r="D1569" t="s">
        <v>155</v>
      </c>
      <c r="E1569" s="34">
        <v>250000</v>
      </c>
      <c r="F1569" s="29">
        <v>0.2641</v>
      </c>
      <c r="G1569" s="30">
        <v>45011</v>
      </c>
      <c r="H1569">
        <v>12</v>
      </c>
      <c r="I1569">
        <v>0</v>
      </c>
      <c r="J1569" s="34">
        <v>0</v>
      </c>
      <c r="K1569" t="s">
        <v>171</v>
      </c>
      <c r="L1569" s="34">
        <f>PMT(Loans[[#This Row],[InterestRate]]/12,Loans[[#This Row],[LoanTenureMonths]],-Loans[[#This Row],[LoanAmount]])</f>
        <v>23932.439073862719</v>
      </c>
      <c r="M1569" s="30">
        <f>EDATE(Loans[[#This Row],[LoanStartDate]],Loans[[#This Row],[LoanTenureMonths]])</f>
        <v>45377</v>
      </c>
      <c r="N1569" s="33">
        <f>IF(Loans[[#This Row],[LoanAmount]]=0,0,Loans[[#This Row],[CollateralValue]]/Loans[[#This Row],[LoanAmount]])</f>
        <v>0</v>
      </c>
      <c r="O1569" t="str">
        <f>IF(Loans[[#This Row],[CollateralCoverageRatio]]&lt;1,"Undersecured","Secured")</f>
        <v>Undersecured</v>
      </c>
      <c r="P1569" t="str">
        <f>_xlfn.XLOOKUP(Loans[[#This Row],[BranchCode]],BranchesTbl[BranchCode],BranchesTbl[BranchName])</f>
        <v>Meru</v>
      </c>
      <c r="Q1569">
        <f>_xlfn.XLOOKUP(Loans[[#This Row],[CustomerID]],CustomerTbl[CustomerID],CustomerTbl[RiskScore])</f>
        <v>712</v>
      </c>
      <c r="R1569" t="str">
        <f>IFERROR(INDEX(RiskTbl[Risk_Category],MATCH(Loans[[#This Row],[RiskScore]],RiskTbl[Score_Min],1)),"Unknown")</f>
        <v>Low Risk</v>
      </c>
      <c r="S1569" t="str">
        <f>IF(OR(Loans[[#This Row],[LoanStatus]]="Default",Loans[[#This Row],[LoanStatus]]="Watchlist",Loans[[#This Row],[CollateralRisk]]="Undersecured",Loans[[#This Row],[RiskCategory]]="High Risk"),"High Risk Exposure","Normal")</f>
        <v>High Risk Exposure</v>
      </c>
      <c r="T1569" t="str" cm="1">
        <f t="array" ref="T1569">_xlfn.IFS(
Loans[[#This Row],[LoanStatus]]="Default","Critical",
OR(Loans[[#This Row],[LoanStatus]]="Watchlist",Loans[[#This Row],[CollateralRisk]]="Undersecured",Loans[[#This Row],[RiskCategory]]="High Risk"),"High",
TRUE,"Normal"
)</f>
        <v>High</v>
      </c>
    </row>
    <row r="1570" spans="1:20" x14ac:dyDescent="0.35">
      <c r="A1570" t="s">
        <v>2381</v>
      </c>
      <c r="B1570" t="s">
        <v>2027</v>
      </c>
      <c r="C1570" t="s">
        <v>174</v>
      </c>
      <c r="D1570" t="s">
        <v>157</v>
      </c>
      <c r="E1570" s="34">
        <v>25000000</v>
      </c>
      <c r="F1570" s="29">
        <v>0.13009999999999999</v>
      </c>
      <c r="G1570" s="30">
        <v>44204</v>
      </c>
      <c r="H1570">
        <v>48</v>
      </c>
      <c r="I1570">
        <v>20</v>
      </c>
      <c r="J1570" s="34">
        <v>34750000</v>
      </c>
      <c r="K1570" t="s">
        <v>171</v>
      </c>
      <c r="L1570" s="34">
        <f>PMT(Loans[[#This Row],[InterestRate]]/12,Loans[[#This Row],[LoanTenureMonths]],-Loans[[#This Row],[LoanAmount]])</f>
        <v>670811.48530397878</v>
      </c>
      <c r="M1570" s="30">
        <f>EDATE(Loans[[#This Row],[LoanStartDate]],Loans[[#This Row],[LoanTenureMonths]])</f>
        <v>45665</v>
      </c>
      <c r="N1570" s="33">
        <f>IF(Loans[[#This Row],[LoanAmount]]=0,0,Loans[[#This Row],[CollateralValue]]/Loans[[#This Row],[LoanAmount]])</f>
        <v>1.39</v>
      </c>
      <c r="O1570" t="str">
        <f>IF(Loans[[#This Row],[CollateralCoverageRatio]]&lt;1,"Undersecured","Secured")</f>
        <v>Secured</v>
      </c>
      <c r="P1570" t="str">
        <f>_xlfn.XLOOKUP(Loans[[#This Row],[BranchCode]],BranchesTbl[BranchCode],BranchesTbl[BranchName])</f>
        <v>Westlands</v>
      </c>
      <c r="Q1570">
        <f>_xlfn.XLOOKUP(Loans[[#This Row],[CustomerID]],CustomerTbl[CustomerID],CustomerTbl[RiskScore])</f>
        <v>340</v>
      </c>
      <c r="R1570" t="str">
        <f>IFERROR(INDEX(RiskTbl[Risk_Category],MATCH(Loans[[#This Row],[RiskScore]],RiskTbl[Score_Min],1)),"Unknown")</f>
        <v>High Risk</v>
      </c>
      <c r="S1570" t="str">
        <f>IF(OR(Loans[[#This Row],[LoanStatus]]="Default",Loans[[#This Row],[LoanStatus]]="Watchlist",Loans[[#This Row],[CollateralRisk]]="Undersecured",Loans[[#This Row],[RiskCategory]]="High Risk"),"High Risk Exposure","Normal")</f>
        <v>High Risk Exposure</v>
      </c>
      <c r="T1570" t="str" cm="1">
        <f t="array" ref="T1570">_xlfn.IFS(
Loans[[#This Row],[LoanStatus]]="Default","Critical",
OR(Loans[[#This Row],[LoanStatus]]="Watchlist",Loans[[#This Row],[CollateralRisk]]="Undersecured",Loans[[#This Row],[RiskCategory]]="High Risk"),"High",
TRUE,"Normal"
)</f>
        <v>High</v>
      </c>
    </row>
    <row r="1571" spans="1:20" x14ac:dyDescent="0.35">
      <c r="A1571" t="s">
        <v>2382</v>
      </c>
      <c r="B1571" t="s">
        <v>2383</v>
      </c>
      <c r="C1571" t="s">
        <v>267</v>
      </c>
      <c r="D1571" t="s">
        <v>155</v>
      </c>
      <c r="E1571" s="34">
        <v>250000</v>
      </c>
      <c r="F1571" s="29">
        <v>0.19400000000000001</v>
      </c>
      <c r="G1571" s="30">
        <v>45468</v>
      </c>
      <c r="H1571">
        <v>60</v>
      </c>
      <c r="I1571">
        <v>5</v>
      </c>
      <c r="J1571" s="34">
        <v>0</v>
      </c>
      <c r="K1571" t="s">
        <v>171</v>
      </c>
      <c r="L1571" s="34">
        <f>PMT(Loans[[#This Row],[InterestRate]]/12,Loans[[#This Row],[LoanTenureMonths]],-Loans[[#This Row],[LoanAmount]])</f>
        <v>6540.2856801353573</v>
      </c>
      <c r="M1571" s="30">
        <f>EDATE(Loans[[#This Row],[LoanStartDate]],Loans[[#This Row],[LoanTenureMonths]])</f>
        <v>47294</v>
      </c>
      <c r="N1571" s="33">
        <f>IF(Loans[[#This Row],[LoanAmount]]=0,0,Loans[[#This Row],[CollateralValue]]/Loans[[#This Row],[LoanAmount]])</f>
        <v>0</v>
      </c>
      <c r="O1571" t="str">
        <f>IF(Loans[[#This Row],[CollateralCoverageRatio]]&lt;1,"Undersecured","Secured")</f>
        <v>Undersecured</v>
      </c>
      <c r="P1571" t="str">
        <f>_xlfn.XLOOKUP(Loans[[#This Row],[BranchCode]],BranchesTbl[BranchCode],BranchesTbl[BranchName])</f>
        <v>Malindi</v>
      </c>
      <c r="Q1571">
        <f>_xlfn.XLOOKUP(Loans[[#This Row],[CustomerID]],CustomerTbl[CustomerID],CustomerTbl[RiskScore])</f>
        <v>365</v>
      </c>
      <c r="R1571" t="str">
        <f>IFERROR(INDEX(RiskTbl[Risk_Category],MATCH(Loans[[#This Row],[RiskScore]],RiskTbl[Score_Min],1)),"Unknown")</f>
        <v>High Risk</v>
      </c>
      <c r="S1571" t="str">
        <f>IF(OR(Loans[[#This Row],[LoanStatus]]="Default",Loans[[#This Row],[LoanStatus]]="Watchlist",Loans[[#This Row],[CollateralRisk]]="Undersecured",Loans[[#This Row],[RiskCategory]]="High Risk"),"High Risk Exposure","Normal")</f>
        <v>High Risk Exposure</v>
      </c>
      <c r="T1571" t="str" cm="1">
        <f t="array" ref="T1571">_xlfn.IFS(
Loans[[#This Row],[LoanStatus]]="Default","Critical",
OR(Loans[[#This Row],[LoanStatus]]="Watchlist",Loans[[#This Row],[CollateralRisk]]="Undersecured",Loans[[#This Row],[RiskCategory]]="High Risk"),"High",
TRUE,"Normal"
)</f>
        <v>High</v>
      </c>
    </row>
    <row r="1572" spans="1:20" x14ac:dyDescent="0.35">
      <c r="A1572" t="s">
        <v>2384</v>
      </c>
      <c r="B1572" t="s">
        <v>208</v>
      </c>
      <c r="C1572" t="s">
        <v>174</v>
      </c>
      <c r="D1572" t="s">
        <v>156</v>
      </c>
      <c r="E1572" s="34">
        <v>3000000</v>
      </c>
      <c r="F1572" s="29">
        <v>0.17749999999999999</v>
      </c>
      <c r="G1572" s="30">
        <v>45415</v>
      </c>
      <c r="H1572">
        <v>12</v>
      </c>
      <c r="I1572">
        <v>0</v>
      </c>
      <c r="J1572" s="34">
        <v>1920000</v>
      </c>
      <c r="K1572" t="s">
        <v>171</v>
      </c>
      <c r="L1572" s="34">
        <f>PMT(Loans[[#This Row],[InterestRate]]/12,Loans[[#This Row],[LoanTenureMonths]],-Loans[[#This Row],[LoanAmount]])</f>
        <v>274683.16971043294</v>
      </c>
      <c r="M1572" s="30">
        <f>EDATE(Loans[[#This Row],[LoanStartDate]],Loans[[#This Row],[LoanTenureMonths]])</f>
        <v>45780</v>
      </c>
      <c r="N1572" s="33">
        <f>IF(Loans[[#This Row],[LoanAmount]]=0,0,Loans[[#This Row],[CollateralValue]]/Loans[[#This Row],[LoanAmount]])</f>
        <v>0.64</v>
      </c>
      <c r="O1572" t="str">
        <f>IF(Loans[[#This Row],[CollateralCoverageRatio]]&lt;1,"Undersecured","Secured")</f>
        <v>Undersecured</v>
      </c>
      <c r="P1572" t="str">
        <f>_xlfn.XLOOKUP(Loans[[#This Row],[BranchCode]],BranchesTbl[BranchCode],BranchesTbl[BranchName])</f>
        <v>Westlands</v>
      </c>
      <c r="Q1572">
        <f>_xlfn.XLOOKUP(Loans[[#This Row],[CustomerID]],CustomerTbl[CustomerID],CustomerTbl[RiskScore])</f>
        <v>307</v>
      </c>
      <c r="R1572" t="str">
        <f>IFERROR(INDEX(RiskTbl[Risk_Category],MATCH(Loans[[#This Row],[RiskScore]],RiskTbl[Score_Min],1)),"Unknown")</f>
        <v>High Risk</v>
      </c>
      <c r="S1572" t="str">
        <f>IF(OR(Loans[[#This Row],[LoanStatus]]="Default",Loans[[#This Row],[LoanStatus]]="Watchlist",Loans[[#This Row],[CollateralRisk]]="Undersecured",Loans[[#This Row],[RiskCategory]]="High Risk"),"High Risk Exposure","Normal")</f>
        <v>High Risk Exposure</v>
      </c>
      <c r="T1572" t="str" cm="1">
        <f t="array" ref="T1572">_xlfn.IFS(
Loans[[#This Row],[LoanStatus]]="Default","Critical",
OR(Loans[[#This Row],[LoanStatus]]="Watchlist",Loans[[#This Row],[CollateralRisk]]="Undersecured",Loans[[#This Row],[RiskCategory]]="High Risk"),"High",
TRUE,"Normal"
)</f>
        <v>High</v>
      </c>
    </row>
    <row r="1573" spans="1:20" x14ac:dyDescent="0.35">
      <c r="A1573" t="s">
        <v>2385</v>
      </c>
      <c r="B1573" t="s">
        <v>1997</v>
      </c>
      <c r="C1573" t="s">
        <v>206</v>
      </c>
      <c r="D1573" t="s">
        <v>158</v>
      </c>
      <c r="E1573" s="34">
        <v>6000000</v>
      </c>
      <c r="F1573" s="29">
        <v>0.1368</v>
      </c>
      <c r="G1573" s="30">
        <v>44339</v>
      </c>
      <c r="H1573">
        <v>24</v>
      </c>
      <c r="I1573">
        <v>0</v>
      </c>
      <c r="J1573" s="34">
        <v>6600000</v>
      </c>
      <c r="K1573" t="s">
        <v>171</v>
      </c>
      <c r="L1573" s="34">
        <f>PMT(Loans[[#This Row],[InterestRate]]/12,Loans[[#This Row],[LoanTenureMonths]],-Loans[[#This Row],[LoanAmount]])</f>
        <v>287171.0960607123</v>
      </c>
      <c r="M1573" s="30">
        <f>EDATE(Loans[[#This Row],[LoanStartDate]],Loans[[#This Row],[LoanTenureMonths]])</f>
        <v>45069</v>
      </c>
      <c r="N1573" s="33">
        <f>IF(Loans[[#This Row],[LoanAmount]]=0,0,Loans[[#This Row],[CollateralValue]]/Loans[[#This Row],[LoanAmount]])</f>
        <v>1.1000000000000001</v>
      </c>
      <c r="O1573" t="str">
        <f>IF(Loans[[#This Row],[CollateralCoverageRatio]]&lt;1,"Undersecured","Secured")</f>
        <v>Secured</v>
      </c>
      <c r="P1573" t="str">
        <f>_xlfn.XLOOKUP(Loans[[#This Row],[BranchCode]],BranchesTbl[BranchCode],BranchesTbl[BranchName])</f>
        <v>Nyahururu</v>
      </c>
      <c r="Q1573">
        <f>_xlfn.XLOOKUP(Loans[[#This Row],[CustomerID]],CustomerTbl[CustomerID],CustomerTbl[RiskScore])</f>
        <v>474</v>
      </c>
      <c r="R1573" t="str">
        <f>IFERROR(INDEX(RiskTbl[Risk_Category],MATCH(Loans[[#This Row],[RiskScore]],RiskTbl[Score_Min],1)),"Unknown")</f>
        <v>High Risk</v>
      </c>
      <c r="S1573" t="str">
        <f>IF(OR(Loans[[#This Row],[LoanStatus]]="Default",Loans[[#This Row],[LoanStatus]]="Watchlist",Loans[[#This Row],[CollateralRisk]]="Undersecured",Loans[[#This Row],[RiskCategory]]="High Risk"),"High Risk Exposure","Normal")</f>
        <v>High Risk Exposure</v>
      </c>
      <c r="T1573" t="str" cm="1">
        <f t="array" ref="T1573">_xlfn.IFS(
Loans[[#This Row],[LoanStatus]]="Default","Critical",
OR(Loans[[#This Row],[LoanStatus]]="Watchlist",Loans[[#This Row],[CollateralRisk]]="Undersecured",Loans[[#This Row],[RiskCategory]]="High Risk"),"High",
TRUE,"Normal"
)</f>
        <v>High</v>
      </c>
    </row>
    <row r="1574" spans="1:20" x14ac:dyDescent="0.35">
      <c r="A1574" t="s">
        <v>2386</v>
      </c>
      <c r="B1574" t="s">
        <v>571</v>
      </c>
      <c r="C1574" t="s">
        <v>170</v>
      </c>
      <c r="D1574" t="s">
        <v>156</v>
      </c>
      <c r="E1574" s="34">
        <v>1000000</v>
      </c>
      <c r="F1574" s="29">
        <v>0.1893</v>
      </c>
      <c r="G1574" s="30">
        <v>44175</v>
      </c>
      <c r="H1574">
        <v>48</v>
      </c>
      <c r="I1574">
        <v>10</v>
      </c>
      <c r="J1574" s="34">
        <v>1190000</v>
      </c>
      <c r="K1574" t="s">
        <v>171</v>
      </c>
      <c r="L1574" s="34">
        <f>PMT(Loans[[#This Row],[InterestRate]]/12,Loans[[#This Row],[LoanTenureMonths]],-Loans[[#This Row],[LoanAmount]])</f>
        <v>29863.192653501843</v>
      </c>
      <c r="M1574" s="30">
        <f>EDATE(Loans[[#This Row],[LoanStartDate]],Loans[[#This Row],[LoanTenureMonths]])</f>
        <v>45636</v>
      </c>
      <c r="N1574" s="33">
        <f>IF(Loans[[#This Row],[LoanAmount]]=0,0,Loans[[#This Row],[CollateralValue]]/Loans[[#This Row],[LoanAmount]])</f>
        <v>1.19</v>
      </c>
      <c r="O1574" t="str">
        <f>IF(Loans[[#This Row],[CollateralCoverageRatio]]&lt;1,"Undersecured","Secured")</f>
        <v>Secured</v>
      </c>
      <c r="P1574" t="str">
        <f>_xlfn.XLOOKUP(Loans[[#This Row],[BranchCode]],BranchesTbl[BranchCode],BranchesTbl[BranchName])</f>
        <v>Thika</v>
      </c>
      <c r="Q1574">
        <f>_xlfn.XLOOKUP(Loans[[#This Row],[CustomerID]],CustomerTbl[CustomerID],CustomerTbl[RiskScore])</f>
        <v>544</v>
      </c>
      <c r="R1574" t="str">
        <f>IFERROR(INDEX(RiskTbl[Risk_Category],MATCH(Loans[[#This Row],[RiskScore]],RiskTbl[Score_Min],1)),"Unknown")</f>
        <v>High Risk</v>
      </c>
      <c r="S1574" t="str">
        <f>IF(OR(Loans[[#This Row],[LoanStatus]]="Default",Loans[[#This Row],[LoanStatus]]="Watchlist",Loans[[#This Row],[CollateralRisk]]="Undersecured",Loans[[#This Row],[RiskCategory]]="High Risk"),"High Risk Exposure","Normal")</f>
        <v>High Risk Exposure</v>
      </c>
      <c r="T1574" t="str" cm="1">
        <f t="array" ref="T1574">_xlfn.IFS(
Loans[[#This Row],[LoanStatus]]="Default","Critical",
OR(Loans[[#This Row],[LoanStatus]]="Watchlist",Loans[[#This Row],[CollateralRisk]]="Undersecured",Loans[[#This Row],[RiskCategory]]="High Risk"),"High",
TRUE,"Normal"
)</f>
        <v>High</v>
      </c>
    </row>
    <row r="1575" spans="1:20" x14ac:dyDescent="0.35">
      <c r="A1575" t="s">
        <v>2387</v>
      </c>
      <c r="B1575" t="s">
        <v>275</v>
      </c>
      <c r="C1575" t="s">
        <v>177</v>
      </c>
      <c r="D1575" t="s">
        <v>157</v>
      </c>
      <c r="E1575" s="34">
        <v>25000000</v>
      </c>
      <c r="F1575" s="29">
        <v>0.13070000000000001</v>
      </c>
      <c r="G1575" s="30">
        <v>44436</v>
      </c>
      <c r="H1575">
        <v>12</v>
      </c>
      <c r="I1575">
        <v>5</v>
      </c>
      <c r="J1575" s="34">
        <v>29750000</v>
      </c>
      <c r="K1575" t="s">
        <v>171</v>
      </c>
      <c r="L1575" s="34">
        <f>PMT(Loans[[#This Row],[InterestRate]]/12,Loans[[#This Row],[LoanTenureMonths]],-Loans[[#This Row],[LoanAmount]])</f>
        <v>2233753.0141824968</v>
      </c>
      <c r="M1575" s="30">
        <f>EDATE(Loans[[#This Row],[LoanStartDate]],Loans[[#This Row],[LoanTenureMonths]])</f>
        <v>44801</v>
      </c>
      <c r="N1575" s="33">
        <f>IF(Loans[[#This Row],[LoanAmount]]=0,0,Loans[[#This Row],[CollateralValue]]/Loans[[#This Row],[LoanAmount]])</f>
        <v>1.19</v>
      </c>
      <c r="O1575" t="str">
        <f>IF(Loans[[#This Row],[CollateralCoverageRatio]]&lt;1,"Undersecured","Secured")</f>
        <v>Secured</v>
      </c>
      <c r="P1575" t="str">
        <f>_xlfn.XLOOKUP(Loans[[#This Row],[BranchCode]],BranchesTbl[BranchCode],BranchesTbl[BranchName])</f>
        <v>Naivasha</v>
      </c>
      <c r="Q1575">
        <f>_xlfn.XLOOKUP(Loans[[#This Row],[CustomerID]],CustomerTbl[CustomerID],CustomerTbl[RiskScore])</f>
        <v>554</v>
      </c>
      <c r="R1575" t="str">
        <f>IFERROR(INDEX(RiskTbl[Risk_Category],MATCH(Loans[[#This Row],[RiskScore]],RiskTbl[Score_Min],1)),"Unknown")</f>
        <v>High Risk</v>
      </c>
      <c r="S1575" t="str">
        <f>IF(OR(Loans[[#This Row],[LoanStatus]]="Default",Loans[[#This Row],[LoanStatus]]="Watchlist",Loans[[#This Row],[CollateralRisk]]="Undersecured",Loans[[#This Row],[RiskCategory]]="High Risk"),"High Risk Exposure","Normal")</f>
        <v>High Risk Exposure</v>
      </c>
      <c r="T1575" t="str" cm="1">
        <f t="array" ref="T1575">_xlfn.IFS(
Loans[[#This Row],[LoanStatus]]="Default","Critical",
OR(Loans[[#This Row],[LoanStatus]]="Watchlist",Loans[[#This Row],[CollateralRisk]]="Undersecured",Loans[[#This Row],[RiskCategory]]="High Risk"),"High",
TRUE,"Normal"
)</f>
        <v>High</v>
      </c>
    </row>
    <row r="1576" spans="1:20" x14ac:dyDescent="0.35">
      <c r="A1576" t="s">
        <v>2388</v>
      </c>
      <c r="B1576" t="s">
        <v>1692</v>
      </c>
      <c r="C1576" t="s">
        <v>196</v>
      </c>
      <c r="D1576" t="s">
        <v>157</v>
      </c>
      <c r="E1576" s="34">
        <v>80000000</v>
      </c>
      <c r="F1576" s="29">
        <v>0.1166</v>
      </c>
      <c r="G1576" s="30">
        <v>44246</v>
      </c>
      <c r="H1576">
        <v>12</v>
      </c>
      <c r="I1576">
        <v>5</v>
      </c>
      <c r="J1576" s="34">
        <v>99200000</v>
      </c>
      <c r="K1576" t="s">
        <v>171</v>
      </c>
      <c r="L1576" s="34">
        <f>PMT(Loans[[#This Row],[InterestRate]]/12,Loans[[#This Row],[LoanTenureMonths]],-Loans[[#This Row],[LoanAmount]])</f>
        <v>7095184.9666701006</v>
      </c>
      <c r="M1576" s="30">
        <f>EDATE(Loans[[#This Row],[LoanStartDate]],Loans[[#This Row],[LoanTenureMonths]])</f>
        <v>44611</v>
      </c>
      <c r="N1576" s="33">
        <f>IF(Loans[[#This Row],[LoanAmount]]=0,0,Loans[[#This Row],[CollateralValue]]/Loans[[#This Row],[LoanAmount]])</f>
        <v>1.24</v>
      </c>
      <c r="O1576" t="str">
        <f>IF(Loans[[#This Row],[CollateralCoverageRatio]]&lt;1,"Undersecured","Secured")</f>
        <v>Secured</v>
      </c>
      <c r="P1576" t="str">
        <f>_xlfn.XLOOKUP(Loans[[#This Row],[BranchCode]],BranchesTbl[BranchCode],BranchesTbl[BranchName])</f>
        <v>Karen</v>
      </c>
      <c r="Q1576">
        <f>_xlfn.XLOOKUP(Loans[[#This Row],[CustomerID]],CustomerTbl[CustomerID],CustomerTbl[RiskScore])</f>
        <v>428</v>
      </c>
      <c r="R1576" t="str">
        <f>IFERROR(INDEX(RiskTbl[Risk_Category],MATCH(Loans[[#This Row],[RiskScore]],RiskTbl[Score_Min],1)),"Unknown")</f>
        <v>High Risk</v>
      </c>
      <c r="S1576" t="str">
        <f>IF(OR(Loans[[#This Row],[LoanStatus]]="Default",Loans[[#This Row],[LoanStatus]]="Watchlist",Loans[[#This Row],[CollateralRisk]]="Undersecured",Loans[[#This Row],[RiskCategory]]="High Risk"),"High Risk Exposure","Normal")</f>
        <v>High Risk Exposure</v>
      </c>
      <c r="T1576" t="str" cm="1">
        <f t="array" ref="T1576">_xlfn.IFS(
Loans[[#This Row],[LoanStatus]]="Default","Critical",
OR(Loans[[#This Row],[LoanStatus]]="Watchlist",Loans[[#This Row],[CollateralRisk]]="Undersecured",Loans[[#This Row],[RiskCategory]]="High Risk"),"High",
TRUE,"Normal"
)</f>
        <v>High</v>
      </c>
    </row>
    <row r="1577" spans="1:20" x14ac:dyDescent="0.35">
      <c r="A1577" t="s">
        <v>2389</v>
      </c>
      <c r="B1577" t="s">
        <v>559</v>
      </c>
      <c r="C1577" t="s">
        <v>206</v>
      </c>
      <c r="D1577" t="s">
        <v>158</v>
      </c>
      <c r="E1577" s="34">
        <v>6000000</v>
      </c>
      <c r="F1577" s="29">
        <v>0.1925</v>
      </c>
      <c r="G1577" s="30">
        <v>45730</v>
      </c>
      <c r="H1577">
        <v>12</v>
      </c>
      <c r="I1577">
        <v>0</v>
      </c>
      <c r="J1577" s="34">
        <v>7740000</v>
      </c>
      <c r="K1577" t="s">
        <v>171</v>
      </c>
      <c r="L1577" s="34">
        <f>PMT(Loans[[#This Row],[InterestRate]]/12,Loans[[#This Row],[LoanTenureMonths]],-Loans[[#This Row],[LoanAmount]])</f>
        <v>553655.60628978291</v>
      </c>
      <c r="M1577" s="30">
        <f>EDATE(Loans[[#This Row],[LoanStartDate]],Loans[[#This Row],[LoanTenureMonths]])</f>
        <v>46095</v>
      </c>
      <c r="N1577" s="33">
        <f>IF(Loans[[#This Row],[LoanAmount]]=0,0,Loans[[#This Row],[CollateralValue]]/Loans[[#This Row],[LoanAmount]])</f>
        <v>1.29</v>
      </c>
      <c r="O1577" t="str">
        <f>IF(Loans[[#This Row],[CollateralCoverageRatio]]&lt;1,"Undersecured","Secured")</f>
        <v>Secured</v>
      </c>
      <c r="P1577" t="str">
        <f>_xlfn.XLOOKUP(Loans[[#This Row],[BranchCode]],BranchesTbl[BranchCode],BranchesTbl[BranchName])</f>
        <v>Nyahururu</v>
      </c>
      <c r="Q1577">
        <f>_xlfn.XLOOKUP(Loans[[#This Row],[CustomerID]],CustomerTbl[CustomerID],CustomerTbl[RiskScore])</f>
        <v>306</v>
      </c>
      <c r="R1577" t="str">
        <f>IFERROR(INDEX(RiskTbl[Risk_Category],MATCH(Loans[[#This Row],[RiskScore]],RiskTbl[Score_Min],1)),"Unknown")</f>
        <v>High Risk</v>
      </c>
      <c r="S1577" t="str">
        <f>IF(OR(Loans[[#This Row],[LoanStatus]]="Default",Loans[[#This Row],[LoanStatus]]="Watchlist",Loans[[#This Row],[CollateralRisk]]="Undersecured",Loans[[#This Row],[RiskCategory]]="High Risk"),"High Risk Exposure","Normal")</f>
        <v>High Risk Exposure</v>
      </c>
      <c r="T1577" t="str" cm="1">
        <f t="array" ref="T1577">_xlfn.IFS(
Loans[[#This Row],[LoanStatus]]="Default","Critical",
OR(Loans[[#This Row],[LoanStatus]]="Watchlist",Loans[[#This Row],[CollateralRisk]]="Undersecured",Loans[[#This Row],[RiskCategory]]="High Risk"),"High",
TRUE,"Normal"
)</f>
        <v>High</v>
      </c>
    </row>
    <row r="1578" spans="1:20" x14ac:dyDescent="0.35">
      <c r="A1578" t="s">
        <v>2390</v>
      </c>
      <c r="B1578" t="s">
        <v>699</v>
      </c>
      <c r="C1578" t="s">
        <v>232</v>
      </c>
      <c r="D1578" t="s">
        <v>156</v>
      </c>
      <c r="E1578" s="34">
        <v>1000000</v>
      </c>
      <c r="F1578" s="29">
        <v>0.14180000000000001</v>
      </c>
      <c r="G1578" s="30">
        <v>43891</v>
      </c>
      <c r="H1578">
        <v>72</v>
      </c>
      <c r="I1578">
        <v>10</v>
      </c>
      <c r="J1578" s="34">
        <v>740000</v>
      </c>
      <c r="K1578" t="s">
        <v>171</v>
      </c>
      <c r="L1578" s="34">
        <f>PMT(Loans[[#This Row],[InterestRate]]/12,Loans[[#This Row],[LoanTenureMonths]],-Loans[[#This Row],[LoanAmount]])</f>
        <v>20702.247422393717</v>
      </c>
      <c r="M1578" s="30">
        <f>EDATE(Loans[[#This Row],[LoanStartDate]],Loans[[#This Row],[LoanTenureMonths]])</f>
        <v>46082</v>
      </c>
      <c r="N1578" s="33">
        <f>IF(Loans[[#This Row],[LoanAmount]]=0,0,Loans[[#This Row],[CollateralValue]]/Loans[[#This Row],[LoanAmount]])</f>
        <v>0.74</v>
      </c>
      <c r="O1578" t="str">
        <f>IF(Loans[[#This Row],[CollateralCoverageRatio]]&lt;1,"Undersecured","Secured")</f>
        <v>Undersecured</v>
      </c>
      <c r="P1578" t="str">
        <f>_xlfn.XLOOKUP(Loans[[#This Row],[BranchCode]],BranchesTbl[BranchCode],BranchesTbl[BranchName])</f>
        <v>Upper Hill</v>
      </c>
      <c r="Q1578">
        <f>_xlfn.XLOOKUP(Loans[[#This Row],[CustomerID]],CustomerTbl[CustomerID],CustomerTbl[RiskScore])</f>
        <v>850</v>
      </c>
      <c r="R1578" t="str">
        <f>IFERROR(INDEX(RiskTbl[Risk_Category],MATCH(Loans[[#This Row],[RiskScore]],RiskTbl[Score_Min],1)),"Unknown")</f>
        <v>Prime</v>
      </c>
      <c r="S1578" t="str">
        <f>IF(OR(Loans[[#This Row],[LoanStatus]]="Default",Loans[[#This Row],[LoanStatus]]="Watchlist",Loans[[#This Row],[CollateralRisk]]="Undersecured",Loans[[#This Row],[RiskCategory]]="High Risk"),"High Risk Exposure","Normal")</f>
        <v>High Risk Exposure</v>
      </c>
      <c r="T1578" t="str" cm="1">
        <f t="array" ref="T1578">_xlfn.IFS(
Loans[[#This Row],[LoanStatus]]="Default","Critical",
OR(Loans[[#This Row],[LoanStatus]]="Watchlist",Loans[[#This Row],[CollateralRisk]]="Undersecured",Loans[[#This Row],[RiskCategory]]="High Risk"),"High",
TRUE,"Normal"
)</f>
        <v>High</v>
      </c>
    </row>
    <row r="1579" spans="1:20" x14ac:dyDescent="0.35">
      <c r="A1579" t="s">
        <v>2391</v>
      </c>
      <c r="B1579" t="s">
        <v>2064</v>
      </c>
      <c r="C1579" t="s">
        <v>177</v>
      </c>
      <c r="D1579" t="s">
        <v>157</v>
      </c>
      <c r="E1579" s="34">
        <v>6000000</v>
      </c>
      <c r="F1579" s="29">
        <v>9.7900000000000001E-2</v>
      </c>
      <c r="G1579" s="30">
        <v>44251</v>
      </c>
      <c r="H1579">
        <v>36</v>
      </c>
      <c r="I1579">
        <v>0</v>
      </c>
      <c r="J1579" s="34">
        <v>6240000</v>
      </c>
      <c r="K1579" t="s">
        <v>171</v>
      </c>
      <c r="L1579" s="34">
        <f>PMT(Loans[[#This Row],[InterestRate]]/12,Loans[[#This Row],[LoanTenureMonths]],-Loans[[#This Row],[LoanAmount]])</f>
        <v>193012.09967044819</v>
      </c>
      <c r="M1579" s="30">
        <f>EDATE(Loans[[#This Row],[LoanStartDate]],Loans[[#This Row],[LoanTenureMonths]])</f>
        <v>45346</v>
      </c>
      <c r="N1579" s="33">
        <f>IF(Loans[[#This Row],[LoanAmount]]=0,0,Loans[[#This Row],[CollateralValue]]/Loans[[#This Row],[LoanAmount]])</f>
        <v>1.04</v>
      </c>
      <c r="O1579" t="str">
        <f>IF(Loans[[#This Row],[CollateralCoverageRatio]]&lt;1,"Undersecured","Secured")</f>
        <v>Secured</v>
      </c>
      <c r="P1579" t="str">
        <f>_xlfn.XLOOKUP(Loans[[#This Row],[BranchCode]],BranchesTbl[BranchCode],BranchesTbl[BranchName])</f>
        <v>Naivasha</v>
      </c>
      <c r="Q1579">
        <f>_xlfn.XLOOKUP(Loans[[#This Row],[CustomerID]],CustomerTbl[CustomerID],CustomerTbl[RiskScore])</f>
        <v>347</v>
      </c>
      <c r="R1579" t="str">
        <f>IFERROR(INDEX(RiskTbl[Risk_Category],MATCH(Loans[[#This Row],[RiskScore]],RiskTbl[Score_Min],1)),"Unknown")</f>
        <v>High Risk</v>
      </c>
      <c r="S1579" t="str">
        <f>IF(OR(Loans[[#This Row],[LoanStatus]]="Default",Loans[[#This Row],[LoanStatus]]="Watchlist",Loans[[#This Row],[CollateralRisk]]="Undersecured",Loans[[#This Row],[RiskCategory]]="High Risk"),"High Risk Exposure","Normal")</f>
        <v>High Risk Exposure</v>
      </c>
      <c r="T1579" t="str" cm="1">
        <f t="array" ref="T1579">_xlfn.IFS(
Loans[[#This Row],[LoanStatus]]="Default","Critical",
OR(Loans[[#This Row],[LoanStatus]]="Watchlist",Loans[[#This Row],[CollateralRisk]]="Undersecured",Loans[[#This Row],[RiskCategory]]="High Risk"),"High",
TRUE,"Normal"
)</f>
        <v>High</v>
      </c>
    </row>
    <row r="1580" spans="1:20" x14ac:dyDescent="0.35">
      <c r="A1580" t="s">
        <v>2392</v>
      </c>
      <c r="B1580" t="s">
        <v>284</v>
      </c>
      <c r="C1580" t="s">
        <v>184</v>
      </c>
      <c r="D1580" t="s">
        <v>157</v>
      </c>
      <c r="E1580" s="34">
        <v>80000000</v>
      </c>
      <c r="F1580" s="29">
        <v>0.113</v>
      </c>
      <c r="G1580" s="30">
        <v>44188</v>
      </c>
      <c r="H1580">
        <v>60</v>
      </c>
      <c r="I1580">
        <v>0</v>
      </c>
      <c r="J1580" s="34">
        <v>118400000</v>
      </c>
      <c r="K1580" t="s">
        <v>171</v>
      </c>
      <c r="L1580" s="34">
        <f>PMT(Loans[[#This Row],[InterestRate]]/12,Loans[[#This Row],[LoanTenureMonths]],-Loans[[#This Row],[LoanAmount]])</f>
        <v>1751386.76923579</v>
      </c>
      <c r="M1580" s="30">
        <f>EDATE(Loans[[#This Row],[LoanStartDate]],Loans[[#This Row],[LoanTenureMonths]])</f>
        <v>46014</v>
      </c>
      <c r="N1580" s="33">
        <f>IF(Loans[[#This Row],[LoanAmount]]=0,0,Loans[[#This Row],[CollateralValue]]/Loans[[#This Row],[LoanAmount]])</f>
        <v>1.48</v>
      </c>
      <c r="O1580" t="str">
        <f>IF(Loans[[#This Row],[CollateralCoverageRatio]]&lt;1,"Undersecured","Secured")</f>
        <v>Secured</v>
      </c>
      <c r="P1580" t="str">
        <f>_xlfn.XLOOKUP(Loans[[#This Row],[BranchCode]],BranchesTbl[BranchCode],BranchesTbl[BranchName])</f>
        <v>Kisumu</v>
      </c>
      <c r="Q1580">
        <f>_xlfn.XLOOKUP(Loans[[#This Row],[CustomerID]],CustomerTbl[CustomerID],CustomerTbl[RiskScore])</f>
        <v>822</v>
      </c>
      <c r="R1580" t="str">
        <f>IFERROR(INDEX(RiskTbl[Risk_Category],MATCH(Loans[[#This Row],[RiskScore]],RiskTbl[Score_Min],1)),"Unknown")</f>
        <v>Prime</v>
      </c>
      <c r="S1580" t="str">
        <f>IF(OR(Loans[[#This Row],[LoanStatus]]="Default",Loans[[#This Row],[LoanStatus]]="Watchlist",Loans[[#This Row],[CollateralRisk]]="Undersecured",Loans[[#This Row],[RiskCategory]]="High Risk"),"High Risk Exposure","Normal")</f>
        <v>Normal</v>
      </c>
      <c r="T1580" t="str" cm="1">
        <f t="array" ref="T1580">_xlfn.IFS(
Loans[[#This Row],[LoanStatus]]="Default","Critical",
OR(Loans[[#This Row],[LoanStatus]]="Watchlist",Loans[[#This Row],[CollateralRisk]]="Undersecured",Loans[[#This Row],[RiskCategory]]="High Risk"),"High",
TRUE,"Normal"
)</f>
        <v>Normal</v>
      </c>
    </row>
    <row r="1581" spans="1:20" x14ac:dyDescent="0.35">
      <c r="A1581" t="s">
        <v>2393</v>
      </c>
      <c r="B1581" t="s">
        <v>1952</v>
      </c>
      <c r="C1581" t="s">
        <v>196</v>
      </c>
      <c r="D1581" t="s">
        <v>155</v>
      </c>
      <c r="E1581" s="34">
        <v>100000</v>
      </c>
      <c r="F1581" s="29">
        <v>0.2218</v>
      </c>
      <c r="G1581" s="30">
        <v>43930</v>
      </c>
      <c r="H1581">
        <v>24</v>
      </c>
      <c r="I1581">
        <v>20</v>
      </c>
      <c r="J1581" s="34">
        <v>0</v>
      </c>
      <c r="K1581" t="s">
        <v>171</v>
      </c>
      <c r="L1581" s="34">
        <f>PMT(Loans[[#This Row],[InterestRate]]/12,Loans[[#This Row],[LoanTenureMonths]],-Loans[[#This Row],[LoanAmount]])</f>
        <v>5196.7086722404983</v>
      </c>
      <c r="M1581" s="30">
        <f>EDATE(Loans[[#This Row],[LoanStartDate]],Loans[[#This Row],[LoanTenureMonths]])</f>
        <v>44660</v>
      </c>
      <c r="N1581" s="33">
        <f>IF(Loans[[#This Row],[LoanAmount]]=0,0,Loans[[#This Row],[CollateralValue]]/Loans[[#This Row],[LoanAmount]])</f>
        <v>0</v>
      </c>
      <c r="O1581" t="str">
        <f>IF(Loans[[#This Row],[CollateralCoverageRatio]]&lt;1,"Undersecured","Secured")</f>
        <v>Undersecured</v>
      </c>
      <c r="P1581" t="str">
        <f>_xlfn.XLOOKUP(Loans[[#This Row],[BranchCode]],BranchesTbl[BranchCode],BranchesTbl[BranchName])</f>
        <v>Karen</v>
      </c>
      <c r="Q1581">
        <f>_xlfn.XLOOKUP(Loans[[#This Row],[CustomerID]],CustomerTbl[CustomerID],CustomerTbl[RiskScore])</f>
        <v>310</v>
      </c>
      <c r="R1581" t="str">
        <f>IFERROR(INDEX(RiskTbl[Risk_Category],MATCH(Loans[[#This Row],[RiskScore]],RiskTbl[Score_Min],1)),"Unknown")</f>
        <v>High Risk</v>
      </c>
      <c r="S1581" t="str">
        <f>IF(OR(Loans[[#This Row],[LoanStatus]]="Default",Loans[[#This Row],[LoanStatus]]="Watchlist",Loans[[#This Row],[CollateralRisk]]="Undersecured",Loans[[#This Row],[RiskCategory]]="High Risk"),"High Risk Exposure","Normal")</f>
        <v>High Risk Exposure</v>
      </c>
      <c r="T1581" t="str" cm="1">
        <f t="array" ref="T1581">_xlfn.IFS(
Loans[[#This Row],[LoanStatus]]="Default","Critical",
OR(Loans[[#This Row],[LoanStatus]]="Watchlist",Loans[[#This Row],[CollateralRisk]]="Undersecured",Loans[[#This Row],[RiskCategory]]="High Risk"),"High",
TRUE,"Normal"
)</f>
        <v>High</v>
      </c>
    </row>
    <row r="1582" spans="1:20" x14ac:dyDescent="0.35">
      <c r="A1582" t="s">
        <v>2394</v>
      </c>
      <c r="B1582" t="s">
        <v>735</v>
      </c>
      <c r="C1582" t="s">
        <v>170</v>
      </c>
      <c r="D1582" t="s">
        <v>157</v>
      </c>
      <c r="E1582" s="34">
        <v>25000000</v>
      </c>
      <c r="F1582" s="29">
        <v>0.10929999999999999</v>
      </c>
      <c r="G1582" s="30">
        <v>44240</v>
      </c>
      <c r="H1582">
        <v>12</v>
      </c>
      <c r="I1582">
        <v>0</v>
      </c>
      <c r="J1582" s="34">
        <v>32000000</v>
      </c>
      <c r="K1582" t="s">
        <v>171</v>
      </c>
      <c r="L1582" s="34">
        <f>PMT(Loans[[#This Row],[InterestRate]]/12,Loans[[#This Row],[LoanTenureMonths]],-Loans[[#This Row],[LoanAmount]])</f>
        <v>2208725.2569294814</v>
      </c>
      <c r="M1582" s="30">
        <f>EDATE(Loans[[#This Row],[LoanStartDate]],Loans[[#This Row],[LoanTenureMonths]])</f>
        <v>44605</v>
      </c>
      <c r="N1582" s="33">
        <f>IF(Loans[[#This Row],[LoanAmount]]=0,0,Loans[[#This Row],[CollateralValue]]/Loans[[#This Row],[LoanAmount]])</f>
        <v>1.28</v>
      </c>
      <c r="O1582" t="str">
        <f>IF(Loans[[#This Row],[CollateralCoverageRatio]]&lt;1,"Undersecured","Secured")</f>
        <v>Secured</v>
      </c>
      <c r="P1582" t="str">
        <f>_xlfn.XLOOKUP(Loans[[#This Row],[BranchCode]],BranchesTbl[BranchCode],BranchesTbl[BranchName])</f>
        <v>Thika</v>
      </c>
      <c r="Q1582">
        <f>_xlfn.XLOOKUP(Loans[[#This Row],[CustomerID]],CustomerTbl[CustomerID],CustomerTbl[RiskScore])</f>
        <v>318</v>
      </c>
      <c r="R1582" t="str">
        <f>IFERROR(INDEX(RiskTbl[Risk_Category],MATCH(Loans[[#This Row],[RiskScore]],RiskTbl[Score_Min],1)),"Unknown")</f>
        <v>High Risk</v>
      </c>
      <c r="S1582" t="str">
        <f>IF(OR(Loans[[#This Row],[LoanStatus]]="Default",Loans[[#This Row],[LoanStatus]]="Watchlist",Loans[[#This Row],[CollateralRisk]]="Undersecured",Loans[[#This Row],[RiskCategory]]="High Risk"),"High Risk Exposure","Normal")</f>
        <v>High Risk Exposure</v>
      </c>
      <c r="T1582" t="str" cm="1">
        <f t="array" ref="T1582">_xlfn.IFS(
Loans[[#This Row],[LoanStatus]]="Default","Critical",
OR(Loans[[#This Row],[LoanStatus]]="Watchlist",Loans[[#This Row],[CollateralRisk]]="Undersecured",Loans[[#This Row],[RiskCategory]]="High Risk"),"High",
TRUE,"Normal"
)</f>
        <v>High</v>
      </c>
    </row>
    <row r="1583" spans="1:20" x14ac:dyDescent="0.35">
      <c r="A1583" t="s">
        <v>2395</v>
      </c>
      <c r="B1583" t="s">
        <v>1449</v>
      </c>
      <c r="C1583" t="s">
        <v>270</v>
      </c>
      <c r="D1583" t="s">
        <v>156</v>
      </c>
      <c r="E1583" s="34">
        <v>3000000</v>
      </c>
      <c r="F1583" s="29">
        <v>0.14630000000000001</v>
      </c>
      <c r="G1583" s="30">
        <v>44586</v>
      </c>
      <c r="H1583">
        <v>24</v>
      </c>
      <c r="I1583">
        <v>5</v>
      </c>
      <c r="J1583" s="34">
        <v>2340000</v>
      </c>
      <c r="K1583" t="s">
        <v>171</v>
      </c>
      <c r="L1583" s="34">
        <f>PMT(Loans[[#This Row],[InterestRate]]/12,Loans[[#This Row],[LoanTenureMonths]],-Loans[[#This Row],[LoanAmount]])</f>
        <v>144933.12095333493</v>
      </c>
      <c r="M1583" s="30">
        <f>EDATE(Loans[[#This Row],[LoanStartDate]],Loans[[#This Row],[LoanTenureMonths]])</f>
        <v>45316</v>
      </c>
      <c r="N1583" s="33">
        <f>IF(Loans[[#This Row],[LoanAmount]]=0,0,Loans[[#This Row],[CollateralValue]]/Loans[[#This Row],[LoanAmount]])</f>
        <v>0.78</v>
      </c>
      <c r="O1583" t="str">
        <f>IF(Loans[[#This Row],[CollateralCoverageRatio]]&lt;1,"Undersecured","Secured")</f>
        <v>Undersecured</v>
      </c>
      <c r="P1583" t="str">
        <f>_xlfn.XLOOKUP(Loans[[#This Row],[BranchCode]],BranchesTbl[BranchCode],BranchesTbl[BranchName])</f>
        <v>Nakuru</v>
      </c>
      <c r="Q1583">
        <f>_xlfn.XLOOKUP(Loans[[#This Row],[CustomerID]],CustomerTbl[CustomerID],CustomerTbl[RiskScore])</f>
        <v>739</v>
      </c>
      <c r="R1583" t="str">
        <f>IFERROR(INDEX(RiskTbl[Risk_Category],MATCH(Loans[[#This Row],[RiskScore]],RiskTbl[Score_Min],1)),"Unknown")</f>
        <v>Low Risk</v>
      </c>
      <c r="S1583" t="str">
        <f>IF(OR(Loans[[#This Row],[LoanStatus]]="Default",Loans[[#This Row],[LoanStatus]]="Watchlist",Loans[[#This Row],[CollateralRisk]]="Undersecured",Loans[[#This Row],[RiskCategory]]="High Risk"),"High Risk Exposure","Normal")</f>
        <v>High Risk Exposure</v>
      </c>
      <c r="T1583" t="str" cm="1">
        <f t="array" ref="T1583">_xlfn.IFS(
Loans[[#This Row],[LoanStatus]]="Default","Critical",
OR(Loans[[#This Row],[LoanStatus]]="Watchlist",Loans[[#This Row],[CollateralRisk]]="Undersecured",Loans[[#This Row],[RiskCategory]]="High Risk"),"High",
TRUE,"Normal"
)</f>
        <v>High</v>
      </c>
    </row>
    <row r="1584" spans="1:20" x14ac:dyDescent="0.35">
      <c r="A1584" t="s">
        <v>2396</v>
      </c>
      <c r="B1584" t="s">
        <v>641</v>
      </c>
      <c r="C1584" t="s">
        <v>190</v>
      </c>
      <c r="D1584" t="s">
        <v>158</v>
      </c>
      <c r="E1584" s="34">
        <v>3000000</v>
      </c>
      <c r="F1584" s="29">
        <v>0.1915</v>
      </c>
      <c r="G1584" s="30">
        <v>45218</v>
      </c>
      <c r="H1584">
        <v>48</v>
      </c>
      <c r="I1584">
        <v>0</v>
      </c>
      <c r="J1584" s="34">
        <v>3630000</v>
      </c>
      <c r="K1584" t="s">
        <v>171</v>
      </c>
      <c r="L1584" s="34">
        <f>PMT(Loans[[#This Row],[InterestRate]]/12,Loans[[#This Row],[LoanTenureMonths]],-Loans[[#This Row],[LoanAmount]])</f>
        <v>89937.986917691349</v>
      </c>
      <c r="M1584" s="30">
        <f>EDATE(Loans[[#This Row],[LoanStartDate]],Loans[[#This Row],[LoanTenureMonths]])</f>
        <v>46679</v>
      </c>
      <c r="N1584" s="33">
        <f>IF(Loans[[#This Row],[LoanAmount]]=0,0,Loans[[#This Row],[CollateralValue]]/Loans[[#This Row],[LoanAmount]])</f>
        <v>1.21</v>
      </c>
      <c r="O1584" t="str">
        <f>IF(Loans[[#This Row],[CollateralCoverageRatio]]&lt;1,"Undersecured","Secured")</f>
        <v>Secured</v>
      </c>
      <c r="P1584" t="str">
        <f>_xlfn.XLOOKUP(Loans[[#This Row],[BranchCode]],BranchesTbl[BranchCode],BranchesTbl[BranchName])</f>
        <v>Nyeri</v>
      </c>
      <c r="Q1584">
        <f>_xlfn.XLOOKUP(Loans[[#This Row],[CustomerID]],CustomerTbl[CustomerID],CustomerTbl[RiskScore])</f>
        <v>598</v>
      </c>
      <c r="R1584" t="str">
        <f>IFERROR(INDEX(RiskTbl[Risk_Category],MATCH(Loans[[#This Row],[RiskScore]],RiskTbl[Score_Min],1)),"Unknown")</f>
        <v>Medium Risk</v>
      </c>
      <c r="S1584" t="str">
        <f>IF(OR(Loans[[#This Row],[LoanStatus]]="Default",Loans[[#This Row],[LoanStatus]]="Watchlist",Loans[[#This Row],[CollateralRisk]]="Undersecured",Loans[[#This Row],[RiskCategory]]="High Risk"),"High Risk Exposure","Normal")</f>
        <v>Normal</v>
      </c>
      <c r="T1584" t="str" cm="1">
        <f t="array" ref="T1584">_xlfn.IFS(
Loans[[#This Row],[LoanStatus]]="Default","Critical",
OR(Loans[[#This Row],[LoanStatus]]="Watchlist",Loans[[#This Row],[CollateralRisk]]="Undersecured",Loans[[#This Row],[RiskCategory]]="High Risk"),"High",
TRUE,"Normal"
)</f>
        <v>Normal</v>
      </c>
    </row>
    <row r="1585" spans="1:20" x14ac:dyDescent="0.35">
      <c r="A1585" t="s">
        <v>2397</v>
      </c>
      <c r="B1585" t="s">
        <v>208</v>
      </c>
      <c r="C1585" t="s">
        <v>170</v>
      </c>
      <c r="D1585" t="s">
        <v>158</v>
      </c>
      <c r="E1585" s="34">
        <v>500000</v>
      </c>
      <c r="F1585" s="29">
        <v>0.1293</v>
      </c>
      <c r="G1585" s="30">
        <v>44426</v>
      </c>
      <c r="H1585">
        <v>12</v>
      </c>
      <c r="I1585">
        <v>0</v>
      </c>
      <c r="J1585" s="34">
        <v>415000</v>
      </c>
      <c r="K1585" t="s">
        <v>171</v>
      </c>
      <c r="L1585" s="34">
        <f>PMT(Loans[[#This Row],[InterestRate]]/12,Loans[[#This Row],[LoanTenureMonths]],-Loans[[#This Row],[LoanAmount]])</f>
        <v>44642.218747525803</v>
      </c>
      <c r="M1585" s="30">
        <f>EDATE(Loans[[#This Row],[LoanStartDate]],Loans[[#This Row],[LoanTenureMonths]])</f>
        <v>44791</v>
      </c>
      <c r="N1585" s="33">
        <f>IF(Loans[[#This Row],[LoanAmount]]=0,0,Loans[[#This Row],[CollateralValue]]/Loans[[#This Row],[LoanAmount]])</f>
        <v>0.83</v>
      </c>
      <c r="O1585" t="str">
        <f>IF(Loans[[#This Row],[CollateralCoverageRatio]]&lt;1,"Undersecured","Secured")</f>
        <v>Undersecured</v>
      </c>
      <c r="P1585" t="str">
        <f>_xlfn.XLOOKUP(Loans[[#This Row],[BranchCode]],BranchesTbl[BranchCode],BranchesTbl[BranchName])</f>
        <v>Thika</v>
      </c>
      <c r="Q1585">
        <f>_xlfn.XLOOKUP(Loans[[#This Row],[CustomerID]],CustomerTbl[CustomerID],CustomerTbl[RiskScore])</f>
        <v>307</v>
      </c>
      <c r="R1585" t="str">
        <f>IFERROR(INDEX(RiskTbl[Risk_Category],MATCH(Loans[[#This Row],[RiskScore]],RiskTbl[Score_Min],1)),"Unknown")</f>
        <v>High Risk</v>
      </c>
      <c r="S1585" t="str">
        <f>IF(OR(Loans[[#This Row],[LoanStatus]]="Default",Loans[[#This Row],[LoanStatus]]="Watchlist",Loans[[#This Row],[CollateralRisk]]="Undersecured",Loans[[#This Row],[RiskCategory]]="High Risk"),"High Risk Exposure","Normal")</f>
        <v>High Risk Exposure</v>
      </c>
      <c r="T1585" t="str" cm="1">
        <f t="array" ref="T1585">_xlfn.IFS(
Loans[[#This Row],[LoanStatus]]="Default","Critical",
OR(Loans[[#This Row],[LoanStatus]]="Watchlist",Loans[[#This Row],[CollateralRisk]]="Undersecured",Loans[[#This Row],[RiskCategory]]="High Risk"),"High",
TRUE,"Normal"
)</f>
        <v>High</v>
      </c>
    </row>
    <row r="1586" spans="1:20" x14ac:dyDescent="0.35">
      <c r="A1586" t="s">
        <v>2398</v>
      </c>
      <c r="B1586" t="s">
        <v>511</v>
      </c>
      <c r="C1586" t="s">
        <v>177</v>
      </c>
      <c r="D1586" t="s">
        <v>158</v>
      </c>
      <c r="E1586" s="34">
        <v>500000</v>
      </c>
      <c r="F1586" s="29">
        <v>0.1404</v>
      </c>
      <c r="G1586" s="30">
        <v>44545</v>
      </c>
      <c r="H1586">
        <v>36</v>
      </c>
      <c r="I1586">
        <v>5</v>
      </c>
      <c r="J1586" s="34">
        <v>395000</v>
      </c>
      <c r="K1586" t="s">
        <v>171</v>
      </c>
      <c r="L1586" s="34">
        <f>PMT(Loans[[#This Row],[InterestRate]]/12,Loans[[#This Row],[LoanTenureMonths]],-Loans[[#This Row],[LoanAmount]])</f>
        <v>17098.5303019973</v>
      </c>
      <c r="M1586" s="30">
        <f>EDATE(Loans[[#This Row],[LoanStartDate]],Loans[[#This Row],[LoanTenureMonths]])</f>
        <v>45641</v>
      </c>
      <c r="N1586" s="33">
        <f>IF(Loans[[#This Row],[LoanAmount]]=0,0,Loans[[#This Row],[CollateralValue]]/Loans[[#This Row],[LoanAmount]])</f>
        <v>0.79</v>
      </c>
      <c r="O1586" t="str">
        <f>IF(Loans[[#This Row],[CollateralCoverageRatio]]&lt;1,"Undersecured","Secured")</f>
        <v>Undersecured</v>
      </c>
      <c r="P1586" t="str">
        <f>_xlfn.XLOOKUP(Loans[[#This Row],[BranchCode]],BranchesTbl[BranchCode],BranchesTbl[BranchName])</f>
        <v>Naivasha</v>
      </c>
      <c r="Q1586">
        <f>_xlfn.XLOOKUP(Loans[[#This Row],[CustomerID]],CustomerTbl[CustomerID],CustomerTbl[RiskScore])</f>
        <v>625</v>
      </c>
      <c r="R1586" t="str">
        <f>IFERROR(INDEX(RiskTbl[Risk_Category],MATCH(Loans[[#This Row],[RiskScore]],RiskTbl[Score_Min],1)),"Unknown")</f>
        <v>Medium Risk</v>
      </c>
      <c r="S1586" t="str">
        <f>IF(OR(Loans[[#This Row],[LoanStatus]]="Default",Loans[[#This Row],[LoanStatus]]="Watchlist",Loans[[#This Row],[CollateralRisk]]="Undersecured",Loans[[#This Row],[RiskCategory]]="High Risk"),"High Risk Exposure","Normal")</f>
        <v>High Risk Exposure</v>
      </c>
      <c r="T1586" t="str" cm="1">
        <f t="array" ref="T1586">_xlfn.IFS(
Loans[[#This Row],[LoanStatus]]="Default","Critical",
OR(Loans[[#This Row],[LoanStatus]]="Watchlist",Loans[[#This Row],[CollateralRisk]]="Undersecured",Loans[[#This Row],[RiskCategory]]="High Risk"),"High",
TRUE,"Normal"
)</f>
        <v>High</v>
      </c>
    </row>
    <row r="1587" spans="1:20" x14ac:dyDescent="0.35">
      <c r="A1587" t="s">
        <v>2399</v>
      </c>
      <c r="B1587" t="s">
        <v>562</v>
      </c>
      <c r="C1587" t="s">
        <v>184</v>
      </c>
      <c r="D1587" t="s">
        <v>156</v>
      </c>
      <c r="E1587" s="34">
        <v>6000000</v>
      </c>
      <c r="F1587" s="29">
        <v>0.19689999999999999</v>
      </c>
      <c r="G1587" s="30">
        <v>43844</v>
      </c>
      <c r="H1587">
        <v>60</v>
      </c>
      <c r="I1587">
        <v>90</v>
      </c>
      <c r="J1587" s="34">
        <v>5880000</v>
      </c>
      <c r="K1587" t="s">
        <v>199</v>
      </c>
      <c r="L1587" s="34">
        <f>PMT(Loans[[#This Row],[InterestRate]]/12,Loans[[#This Row],[LoanTenureMonths]],-Loans[[#This Row],[LoanAmount]])</f>
        <v>157930.14285321848</v>
      </c>
      <c r="M1587" s="30">
        <f>EDATE(Loans[[#This Row],[LoanStartDate]],Loans[[#This Row],[LoanTenureMonths]])</f>
        <v>45671</v>
      </c>
      <c r="N1587" s="33">
        <f>IF(Loans[[#This Row],[LoanAmount]]=0,0,Loans[[#This Row],[CollateralValue]]/Loans[[#This Row],[LoanAmount]])</f>
        <v>0.98</v>
      </c>
      <c r="O1587" t="str">
        <f>IF(Loans[[#This Row],[CollateralCoverageRatio]]&lt;1,"Undersecured","Secured")</f>
        <v>Undersecured</v>
      </c>
      <c r="P1587" t="str">
        <f>_xlfn.XLOOKUP(Loans[[#This Row],[BranchCode]],BranchesTbl[BranchCode],BranchesTbl[BranchName])</f>
        <v>Kisumu</v>
      </c>
      <c r="Q1587">
        <f>_xlfn.XLOOKUP(Loans[[#This Row],[CustomerID]],CustomerTbl[CustomerID],CustomerTbl[RiskScore])</f>
        <v>767</v>
      </c>
      <c r="R1587" t="str">
        <f>IFERROR(INDEX(RiskTbl[Risk_Category],MATCH(Loans[[#This Row],[RiskScore]],RiskTbl[Score_Min],1)),"Unknown")</f>
        <v>Very Low Risk</v>
      </c>
      <c r="S1587" t="str">
        <f>IF(OR(Loans[[#This Row],[LoanStatus]]="Default",Loans[[#This Row],[LoanStatus]]="Watchlist",Loans[[#This Row],[CollateralRisk]]="Undersecured",Loans[[#This Row],[RiskCategory]]="High Risk"),"High Risk Exposure","Normal")</f>
        <v>High Risk Exposure</v>
      </c>
      <c r="T1587" t="str" cm="1">
        <f t="array" ref="T1587">_xlfn.IFS(
Loans[[#This Row],[LoanStatus]]="Default","Critical",
OR(Loans[[#This Row],[LoanStatus]]="Watchlist",Loans[[#This Row],[CollateralRisk]]="Undersecured",Loans[[#This Row],[RiskCategory]]="High Risk"),"High",
TRUE,"Normal"
)</f>
        <v>High</v>
      </c>
    </row>
    <row r="1588" spans="1:20" x14ac:dyDescent="0.35">
      <c r="A1588" t="s">
        <v>2400</v>
      </c>
      <c r="B1588" t="s">
        <v>934</v>
      </c>
      <c r="C1588" t="s">
        <v>193</v>
      </c>
      <c r="D1588" t="s">
        <v>156</v>
      </c>
      <c r="E1588" s="34">
        <v>6000000</v>
      </c>
      <c r="F1588" s="29">
        <v>0.20710000000000001</v>
      </c>
      <c r="G1588" s="30">
        <v>45921</v>
      </c>
      <c r="H1588">
        <v>72</v>
      </c>
      <c r="I1588">
        <v>45</v>
      </c>
      <c r="J1588" s="34">
        <v>5460000</v>
      </c>
      <c r="K1588" t="s">
        <v>199</v>
      </c>
      <c r="L1588" s="34">
        <f>PMT(Loans[[#This Row],[InterestRate]]/12,Loans[[#This Row],[LoanTenureMonths]],-Loans[[#This Row],[LoanAmount]])</f>
        <v>146196.93400338414</v>
      </c>
      <c r="M1588" s="30">
        <f>EDATE(Loans[[#This Row],[LoanStartDate]],Loans[[#This Row],[LoanTenureMonths]])</f>
        <v>48112</v>
      </c>
      <c r="N1588" s="33">
        <f>IF(Loans[[#This Row],[LoanAmount]]=0,0,Loans[[#This Row],[CollateralValue]]/Loans[[#This Row],[LoanAmount]])</f>
        <v>0.91</v>
      </c>
      <c r="O1588" t="str">
        <f>IF(Loans[[#This Row],[CollateralCoverageRatio]]&lt;1,"Undersecured","Secured")</f>
        <v>Undersecured</v>
      </c>
      <c r="P1588" t="str">
        <f>_xlfn.XLOOKUP(Loans[[#This Row],[BranchCode]],BranchesTbl[BranchCode],BranchesTbl[BranchName])</f>
        <v>Mombasa</v>
      </c>
      <c r="Q1588">
        <f>_xlfn.XLOOKUP(Loans[[#This Row],[CustomerID]],CustomerTbl[CustomerID],CustomerTbl[RiskScore])</f>
        <v>847</v>
      </c>
      <c r="R1588" t="str">
        <f>IFERROR(INDEX(RiskTbl[Risk_Category],MATCH(Loans[[#This Row],[RiskScore]],RiskTbl[Score_Min],1)),"Unknown")</f>
        <v>Prime</v>
      </c>
      <c r="S1588" t="str">
        <f>IF(OR(Loans[[#This Row],[LoanStatus]]="Default",Loans[[#This Row],[LoanStatus]]="Watchlist",Loans[[#This Row],[CollateralRisk]]="Undersecured",Loans[[#This Row],[RiskCategory]]="High Risk"),"High Risk Exposure","Normal")</f>
        <v>High Risk Exposure</v>
      </c>
      <c r="T1588" t="str" cm="1">
        <f t="array" ref="T1588">_xlfn.IFS(
Loans[[#This Row],[LoanStatus]]="Default","Critical",
OR(Loans[[#This Row],[LoanStatus]]="Watchlist",Loans[[#This Row],[CollateralRisk]]="Undersecured",Loans[[#This Row],[RiskCategory]]="High Risk"),"High",
TRUE,"Normal"
)</f>
        <v>High</v>
      </c>
    </row>
    <row r="1589" spans="1:20" x14ac:dyDescent="0.35">
      <c r="A1589" t="s">
        <v>2401</v>
      </c>
      <c r="B1589" t="s">
        <v>604</v>
      </c>
      <c r="C1589" t="s">
        <v>196</v>
      </c>
      <c r="D1589" t="s">
        <v>157</v>
      </c>
      <c r="E1589" s="34">
        <v>25000000</v>
      </c>
      <c r="F1589" s="29">
        <v>0.13420000000000001</v>
      </c>
      <c r="G1589" s="30">
        <v>44508</v>
      </c>
      <c r="H1589">
        <v>60</v>
      </c>
      <c r="I1589">
        <v>5</v>
      </c>
      <c r="J1589" s="34">
        <v>28500000</v>
      </c>
      <c r="K1589" t="s">
        <v>171</v>
      </c>
      <c r="L1589" s="34">
        <f>PMT(Loans[[#This Row],[InterestRate]]/12,Loans[[#This Row],[LoanTenureMonths]],-Loans[[#This Row],[LoanAmount]])</f>
        <v>574216.31286818988</v>
      </c>
      <c r="M1589" s="30">
        <f>EDATE(Loans[[#This Row],[LoanStartDate]],Loans[[#This Row],[LoanTenureMonths]])</f>
        <v>46334</v>
      </c>
      <c r="N1589" s="33">
        <f>IF(Loans[[#This Row],[LoanAmount]]=0,0,Loans[[#This Row],[CollateralValue]]/Loans[[#This Row],[LoanAmount]])</f>
        <v>1.1399999999999999</v>
      </c>
      <c r="O1589" t="str">
        <f>IF(Loans[[#This Row],[CollateralCoverageRatio]]&lt;1,"Undersecured","Secured")</f>
        <v>Secured</v>
      </c>
      <c r="P1589" t="str">
        <f>_xlfn.XLOOKUP(Loans[[#This Row],[BranchCode]],BranchesTbl[BranchCode],BranchesTbl[BranchName])</f>
        <v>Karen</v>
      </c>
      <c r="Q1589">
        <f>_xlfn.XLOOKUP(Loans[[#This Row],[CustomerID]],CustomerTbl[CustomerID],CustomerTbl[RiskScore])</f>
        <v>563</v>
      </c>
      <c r="R1589" t="str">
        <f>IFERROR(INDEX(RiskTbl[Risk_Category],MATCH(Loans[[#This Row],[RiskScore]],RiskTbl[Score_Min],1)),"Unknown")</f>
        <v>High Risk</v>
      </c>
      <c r="S1589" t="str">
        <f>IF(OR(Loans[[#This Row],[LoanStatus]]="Default",Loans[[#This Row],[LoanStatus]]="Watchlist",Loans[[#This Row],[CollateralRisk]]="Undersecured",Loans[[#This Row],[RiskCategory]]="High Risk"),"High Risk Exposure","Normal")</f>
        <v>High Risk Exposure</v>
      </c>
      <c r="T1589" t="str" cm="1">
        <f t="array" ref="T1589">_xlfn.IFS(
Loans[[#This Row],[LoanStatus]]="Default","Critical",
OR(Loans[[#This Row],[LoanStatus]]="Watchlist",Loans[[#This Row],[CollateralRisk]]="Undersecured",Loans[[#This Row],[RiskCategory]]="High Risk"),"High",
TRUE,"Normal"
)</f>
        <v>High</v>
      </c>
    </row>
    <row r="1590" spans="1:20" x14ac:dyDescent="0.35">
      <c r="A1590" t="s">
        <v>2402</v>
      </c>
      <c r="B1590" t="s">
        <v>1013</v>
      </c>
      <c r="C1590" t="s">
        <v>190</v>
      </c>
      <c r="D1590" t="s">
        <v>157</v>
      </c>
      <c r="E1590" s="34">
        <v>25000000</v>
      </c>
      <c r="F1590" s="29">
        <v>0.13400000000000001</v>
      </c>
      <c r="G1590" s="30">
        <v>45575</v>
      </c>
      <c r="H1590">
        <v>72</v>
      </c>
      <c r="I1590">
        <v>20</v>
      </c>
      <c r="J1590" s="34">
        <v>14000000</v>
      </c>
      <c r="K1590" t="s">
        <v>171</v>
      </c>
      <c r="L1590" s="34">
        <f>PMT(Loans[[#This Row],[InterestRate]]/12,Loans[[#This Row],[LoanTenureMonths]],-Loans[[#This Row],[LoanAmount]])</f>
        <v>507145.92060414649</v>
      </c>
      <c r="M1590" s="30">
        <f>EDATE(Loans[[#This Row],[LoanStartDate]],Loans[[#This Row],[LoanTenureMonths]])</f>
        <v>47766</v>
      </c>
      <c r="N1590" s="33">
        <f>IF(Loans[[#This Row],[LoanAmount]]=0,0,Loans[[#This Row],[CollateralValue]]/Loans[[#This Row],[LoanAmount]])</f>
        <v>0.56000000000000005</v>
      </c>
      <c r="O1590" t="str">
        <f>IF(Loans[[#This Row],[CollateralCoverageRatio]]&lt;1,"Undersecured","Secured")</f>
        <v>Undersecured</v>
      </c>
      <c r="P1590" t="str">
        <f>_xlfn.XLOOKUP(Loans[[#This Row],[BranchCode]],BranchesTbl[BranchCode],BranchesTbl[BranchName])</f>
        <v>Nyeri</v>
      </c>
      <c r="Q1590">
        <f>_xlfn.XLOOKUP(Loans[[#This Row],[CustomerID]],CustomerTbl[CustomerID],CustomerTbl[RiskScore])</f>
        <v>637</v>
      </c>
      <c r="R1590" t="str">
        <f>IFERROR(INDEX(RiskTbl[Risk_Category],MATCH(Loans[[#This Row],[RiskScore]],RiskTbl[Score_Min],1)),"Unknown")</f>
        <v>Medium Risk</v>
      </c>
      <c r="S1590" t="str">
        <f>IF(OR(Loans[[#This Row],[LoanStatus]]="Default",Loans[[#This Row],[LoanStatus]]="Watchlist",Loans[[#This Row],[CollateralRisk]]="Undersecured",Loans[[#This Row],[RiskCategory]]="High Risk"),"High Risk Exposure","Normal")</f>
        <v>High Risk Exposure</v>
      </c>
      <c r="T1590" t="str" cm="1">
        <f t="array" ref="T1590">_xlfn.IFS(
Loans[[#This Row],[LoanStatus]]="Default","Critical",
OR(Loans[[#This Row],[LoanStatus]]="Watchlist",Loans[[#This Row],[CollateralRisk]]="Undersecured",Loans[[#This Row],[RiskCategory]]="High Risk"),"High",
TRUE,"Normal"
)</f>
        <v>High</v>
      </c>
    </row>
    <row r="1591" spans="1:20" x14ac:dyDescent="0.35">
      <c r="A1591" t="s">
        <v>2403</v>
      </c>
      <c r="B1591" t="s">
        <v>1744</v>
      </c>
      <c r="C1591" t="s">
        <v>196</v>
      </c>
      <c r="D1591" t="s">
        <v>156</v>
      </c>
      <c r="E1591" s="34">
        <v>3000000</v>
      </c>
      <c r="F1591" s="29">
        <v>0.1694</v>
      </c>
      <c r="G1591" s="30">
        <v>45903</v>
      </c>
      <c r="H1591">
        <v>72</v>
      </c>
      <c r="I1591">
        <v>10</v>
      </c>
      <c r="J1591" s="34">
        <v>3720000</v>
      </c>
      <c r="K1591" t="s">
        <v>171</v>
      </c>
      <c r="L1591" s="34">
        <f>PMT(Loans[[#This Row],[InterestRate]]/12,Loans[[#This Row],[LoanTenureMonths]],-Loans[[#This Row],[LoanAmount]])</f>
        <v>66637.994836093218</v>
      </c>
      <c r="M1591" s="30">
        <f>EDATE(Loans[[#This Row],[LoanStartDate]],Loans[[#This Row],[LoanTenureMonths]])</f>
        <v>48094</v>
      </c>
      <c r="N1591" s="33">
        <f>IF(Loans[[#This Row],[LoanAmount]]=0,0,Loans[[#This Row],[CollateralValue]]/Loans[[#This Row],[LoanAmount]])</f>
        <v>1.24</v>
      </c>
      <c r="O1591" t="str">
        <f>IF(Loans[[#This Row],[CollateralCoverageRatio]]&lt;1,"Undersecured","Secured")</f>
        <v>Secured</v>
      </c>
      <c r="P1591" t="str">
        <f>_xlfn.XLOOKUP(Loans[[#This Row],[BranchCode]],BranchesTbl[BranchCode],BranchesTbl[BranchName])</f>
        <v>Karen</v>
      </c>
      <c r="Q1591">
        <f>_xlfn.XLOOKUP(Loans[[#This Row],[CustomerID]],CustomerTbl[CustomerID],CustomerTbl[RiskScore])</f>
        <v>726</v>
      </c>
      <c r="R1591" t="str">
        <f>IFERROR(INDEX(RiskTbl[Risk_Category],MATCH(Loans[[#This Row],[RiskScore]],RiskTbl[Score_Min],1)),"Unknown")</f>
        <v>Low Risk</v>
      </c>
      <c r="S1591" t="str">
        <f>IF(OR(Loans[[#This Row],[LoanStatus]]="Default",Loans[[#This Row],[LoanStatus]]="Watchlist",Loans[[#This Row],[CollateralRisk]]="Undersecured",Loans[[#This Row],[RiskCategory]]="High Risk"),"High Risk Exposure","Normal")</f>
        <v>Normal</v>
      </c>
      <c r="T1591" t="str" cm="1">
        <f t="array" ref="T1591">_xlfn.IFS(
Loans[[#This Row],[LoanStatus]]="Default","Critical",
OR(Loans[[#This Row],[LoanStatus]]="Watchlist",Loans[[#This Row],[CollateralRisk]]="Undersecured",Loans[[#This Row],[RiskCategory]]="High Risk"),"High",
TRUE,"Normal"
)</f>
        <v>Normal</v>
      </c>
    </row>
    <row r="1592" spans="1:20" x14ac:dyDescent="0.35">
      <c r="A1592" t="s">
        <v>2404</v>
      </c>
      <c r="B1592" t="s">
        <v>434</v>
      </c>
      <c r="C1592" t="s">
        <v>190</v>
      </c>
      <c r="D1592" t="s">
        <v>155</v>
      </c>
      <c r="E1592" s="34">
        <v>500000</v>
      </c>
      <c r="F1592" s="29">
        <v>0.27960000000000002</v>
      </c>
      <c r="G1592" s="30">
        <v>44028</v>
      </c>
      <c r="H1592">
        <v>24</v>
      </c>
      <c r="I1592">
        <v>0</v>
      </c>
      <c r="J1592" s="34">
        <v>0</v>
      </c>
      <c r="K1592" t="s">
        <v>171</v>
      </c>
      <c r="L1592" s="34">
        <f>PMT(Loans[[#This Row],[InterestRate]]/12,Loans[[#This Row],[LoanTenureMonths]],-Loans[[#This Row],[LoanAmount]])</f>
        <v>27434.058455113409</v>
      </c>
      <c r="M1592" s="30">
        <f>EDATE(Loans[[#This Row],[LoanStartDate]],Loans[[#This Row],[LoanTenureMonths]])</f>
        <v>44758</v>
      </c>
      <c r="N1592" s="33">
        <f>IF(Loans[[#This Row],[LoanAmount]]=0,0,Loans[[#This Row],[CollateralValue]]/Loans[[#This Row],[LoanAmount]])</f>
        <v>0</v>
      </c>
      <c r="O1592" t="str">
        <f>IF(Loans[[#This Row],[CollateralCoverageRatio]]&lt;1,"Undersecured","Secured")</f>
        <v>Undersecured</v>
      </c>
      <c r="P1592" t="str">
        <f>_xlfn.XLOOKUP(Loans[[#This Row],[BranchCode]],BranchesTbl[BranchCode],BranchesTbl[BranchName])</f>
        <v>Nyeri</v>
      </c>
      <c r="Q1592">
        <f>_xlfn.XLOOKUP(Loans[[#This Row],[CustomerID]],CustomerTbl[CustomerID],CustomerTbl[RiskScore])</f>
        <v>642</v>
      </c>
      <c r="R1592" t="str">
        <f>IFERROR(INDEX(RiskTbl[Risk_Category],MATCH(Loans[[#This Row],[RiskScore]],RiskTbl[Score_Min],1)),"Unknown")</f>
        <v>Medium Risk</v>
      </c>
      <c r="S1592" t="str">
        <f>IF(OR(Loans[[#This Row],[LoanStatus]]="Default",Loans[[#This Row],[LoanStatus]]="Watchlist",Loans[[#This Row],[CollateralRisk]]="Undersecured",Loans[[#This Row],[RiskCategory]]="High Risk"),"High Risk Exposure","Normal")</f>
        <v>High Risk Exposure</v>
      </c>
      <c r="T1592" t="str" cm="1">
        <f t="array" ref="T1592">_xlfn.IFS(
Loans[[#This Row],[LoanStatus]]="Default","Critical",
OR(Loans[[#This Row],[LoanStatus]]="Watchlist",Loans[[#This Row],[CollateralRisk]]="Undersecured",Loans[[#This Row],[RiskCategory]]="High Risk"),"High",
TRUE,"Normal"
)</f>
        <v>High</v>
      </c>
    </row>
    <row r="1593" spans="1:20" x14ac:dyDescent="0.35">
      <c r="A1593" t="s">
        <v>2405</v>
      </c>
      <c r="B1593" t="s">
        <v>2406</v>
      </c>
      <c r="C1593" t="s">
        <v>267</v>
      </c>
      <c r="D1593" t="s">
        <v>156</v>
      </c>
      <c r="E1593" s="34">
        <v>3000000</v>
      </c>
      <c r="F1593" s="29">
        <v>0.16550000000000001</v>
      </c>
      <c r="G1593" s="30">
        <v>44951</v>
      </c>
      <c r="H1593">
        <v>72</v>
      </c>
      <c r="I1593">
        <v>120</v>
      </c>
      <c r="J1593" s="34">
        <v>2910000</v>
      </c>
      <c r="K1593" t="s">
        <v>178</v>
      </c>
      <c r="L1593" s="34">
        <f>PMT(Loans[[#This Row],[InterestRate]]/12,Loans[[#This Row],[LoanTenureMonths]],-Loans[[#This Row],[LoanAmount]])</f>
        <v>65987.348218210318</v>
      </c>
      <c r="M1593" s="30">
        <f>EDATE(Loans[[#This Row],[LoanStartDate]],Loans[[#This Row],[LoanTenureMonths]])</f>
        <v>47143</v>
      </c>
      <c r="N1593" s="33">
        <f>IF(Loans[[#This Row],[LoanAmount]]=0,0,Loans[[#This Row],[CollateralValue]]/Loans[[#This Row],[LoanAmount]])</f>
        <v>0.97</v>
      </c>
      <c r="O1593" t="str">
        <f>IF(Loans[[#This Row],[CollateralCoverageRatio]]&lt;1,"Undersecured","Secured")</f>
        <v>Undersecured</v>
      </c>
      <c r="P1593" t="str">
        <f>_xlfn.XLOOKUP(Loans[[#This Row],[BranchCode]],BranchesTbl[BranchCode],BranchesTbl[BranchName])</f>
        <v>Malindi</v>
      </c>
      <c r="Q1593">
        <f>_xlfn.XLOOKUP(Loans[[#This Row],[CustomerID]],CustomerTbl[CustomerID],CustomerTbl[RiskScore])</f>
        <v>450</v>
      </c>
      <c r="R1593" t="str">
        <f>IFERROR(INDEX(RiskTbl[Risk_Category],MATCH(Loans[[#This Row],[RiskScore]],RiskTbl[Score_Min],1)),"Unknown")</f>
        <v>High Risk</v>
      </c>
      <c r="S1593" t="str">
        <f>IF(OR(Loans[[#This Row],[LoanStatus]]="Default",Loans[[#This Row],[LoanStatus]]="Watchlist",Loans[[#This Row],[CollateralRisk]]="Undersecured",Loans[[#This Row],[RiskCategory]]="High Risk"),"High Risk Exposure","Normal")</f>
        <v>High Risk Exposure</v>
      </c>
      <c r="T1593" t="str" cm="1">
        <f t="array" ref="T1593">_xlfn.IFS(
Loans[[#This Row],[LoanStatus]]="Default","Critical",
OR(Loans[[#This Row],[LoanStatus]]="Watchlist",Loans[[#This Row],[CollateralRisk]]="Undersecured",Loans[[#This Row],[RiskCategory]]="High Risk"),"High",
TRUE,"Normal"
)</f>
        <v>Critical</v>
      </c>
    </row>
    <row r="1594" spans="1:20" x14ac:dyDescent="0.35">
      <c r="A1594" t="s">
        <v>2407</v>
      </c>
      <c r="B1594" t="s">
        <v>885</v>
      </c>
      <c r="C1594" t="s">
        <v>239</v>
      </c>
      <c r="D1594" t="s">
        <v>158</v>
      </c>
      <c r="E1594" s="34">
        <v>6000000</v>
      </c>
      <c r="F1594" s="29">
        <v>0.161</v>
      </c>
      <c r="G1594" s="30">
        <v>43874</v>
      </c>
      <c r="H1594">
        <v>36</v>
      </c>
      <c r="I1594">
        <v>45</v>
      </c>
      <c r="J1594" s="34">
        <v>8460000</v>
      </c>
      <c r="K1594" t="s">
        <v>199</v>
      </c>
      <c r="L1594" s="34">
        <f>PMT(Loans[[#This Row],[InterestRate]]/12,Loans[[#This Row],[LoanTenureMonths]],-Loans[[#This Row],[LoanAmount]])</f>
        <v>211238.53922256586</v>
      </c>
      <c r="M1594" s="30">
        <f>EDATE(Loans[[#This Row],[LoanStartDate]],Loans[[#This Row],[LoanTenureMonths]])</f>
        <v>44970</v>
      </c>
      <c r="N1594" s="33">
        <f>IF(Loans[[#This Row],[LoanAmount]]=0,0,Loans[[#This Row],[CollateralValue]]/Loans[[#This Row],[LoanAmount]])</f>
        <v>1.41</v>
      </c>
      <c r="O1594" t="str">
        <f>IF(Loans[[#This Row],[CollateralCoverageRatio]]&lt;1,"Undersecured","Secured")</f>
        <v>Secured</v>
      </c>
      <c r="P1594" t="str">
        <f>_xlfn.XLOOKUP(Loans[[#This Row],[BranchCode]],BranchesTbl[BranchCode],BranchesTbl[BranchName])</f>
        <v>Machakos</v>
      </c>
      <c r="Q1594">
        <f>_xlfn.XLOOKUP(Loans[[#This Row],[CustomerID]],CustomerTbl[CustomerID],CustomerTbl[RiskScore])</f>
        <v>610</v>
      </c>
      <c r="R1594" t="str">
        <f>IFERROR(INDEX(RiskTbl[Risk_Category],MATCH(Loans[[#This Row],[RiskScore]],RiskTbl[Score_Min],1)),"Unknown")</f>
        <v>Medium Risk</v>
      </c>
      <c r="S1594" t="str">
        <f>IF(OR(Loans[[#This Row],[LoanStatus]]="Default",Loans[[#This Row],[LoanStatus]]="Watchlist",Loans[[#This Row],[CollateralRisk]]="Undersecured",Loans[[#This Row],[RiskCategory]]="High Risk"),"High Risk Exposure","Normal")</f>
        <v>High Risk Exposure</v>
      </c>
      <c r="T1594" t="str" cm="1">
        <f t="array" ref="T1594">_xlfn.IFS(
Loans[[#This Row],[LoanStatus]]="Default","Critical",
OR(Loans[[#This Row],[LoanStatus]]="Watchlist",Loans[[#This Row],[CollateralRisk]]="Undersecured",Loans[[#This Row],[RiskCategory]]="High Risk"),"High",
TRUE,"Normal"
)</f>
        <v>High</v>
      </c>
    </row>
    <row r="1595" spans="1:20" x14ac:dyDescent="0.35">
      <c r="A1595" t="s">
        <v>2408</v>
      </c>
      <c r="B1595" t="s">
        <v>934</v>
      </c>
      <c r="C1595" t="s">
        <v>184</v>
      </c>
      <c r="D1595" t="s">
        <v>158</v>
      </c>
      <c r="E1595" s="34">
        <v>1000000</v>
      </c>
      <c r="F1595" s="29">
        <v>0.16009999999999999</v>
      </c>
      <c r="G1595" s="30">
        <v>45140</v>
      </c>
      <c r="H1595">
        <v>48</v>
      </c>
      <c r="I1595">
        <v>5</v>
      </c>
      <c r="J1595" s="34">
        <v>1350000</v>
      </c>
      <c r="K1595" t="s">
        <v>171</v>
      </c>
      <c r="L1595" s="34">
        <f>PMT(Loans[[#This Row],[InterestRate]]/12,Loans[[#This Row],[LoanTenureMonths]],-Loans[[#This Row],[LoanAmount]])</f>
        <v>28345.402590597707</v>
      </c>
      <c r="M1595" s="30">
        <f>EDATE(Loans[[#This Row],[LoanStartDate]],Loans[[#This Row],[LoanTenureMonths]])</f>
        <v>46601</v>
      </c>
      <c r="N1595" s="33">
        <f>IF(Loans[[#This Row],[LoanAmount]]=0,0,Loans[[#This Row],[CollateralValue]]/Loans[[#This Row],[LoanAmount]])</f>
        <v>1.35</v>
      </c>
      <c r="O1595" t="str">
        <f>IF(Loans[[#This Row],[CollateralCoverageRatio]]&lt;1,"Undersecured","Secured")</f>
        <v>Secured</v>
      </c>
      <c r="P1595" t="str">
        <f>_xlfn.XLOOKUP(Loans[[#This Row],[BranchCode]],BranchesTbl[BranchCode],BranchesTbl[BranchName])</f>
        <v>Kisumu</v>
      </c>
      <c r="Q1595">
        <f>_xlfn.XLOOKUP(Loans[[#This Row],[CustomerID]],CustomerTbl[CustomerID],CustomerTbl[RiskScore])</f>
        <v>847</v>
      </c>
      <c r="R1595" t="str">
        <f>IFERROR(INDEX(RiskTbl[Risk_Category],MATCH(Loans[[#This Row],[RiskScore]],RiskTbl[Score_Min],1)),"Unknown")</f>
        <v>Prime</v>
      </c>
      <c r="S1595" t="str">
        <f>IF(OR(Loans[[#This Row],[LoanStatus]]="Default",Loans[[#This Row],[LoanStatus]]="Watchlist",Loans[[#This Row],[CollateralRisk]]="Undersecured",Loans[[#This Row],[RiskCategory]]="High Risk"),"High Risk Exposure","Normal")</f>
        <v>Normal</v>
      </c>
      <c r="T1595" t="str" cm="1">
        <f t="array" ref="T1595">_xlfn.IFS(
Loans[[#This Row],[LoanStatus]]="Default","Critical",
OR(Loans[[#This Row],[LoanStatus]]="Watchlist",Loans[[#This Row],[CollateralRisk]]="Undersecured",Loans[[#This Row],[RiskCategory]]="High Risk"),"High",
TRUE,"Normal"
)</f>
        <v>Normal</v>
      </c>
    </row>
    <row r="1596" spans="1:20" x14ac:dyDescent="0.35">
      <c r="A1596" t="s">
        <v>2409</v>
      </c>
      <c r="B1596" t="s">
        <v>2410</v>
      </c>
      <c r="C1596" t="s">
        <v>232</v>
      </c>
      <c r="D1596" t="s">
        <v>157</v>
      </c>
      <c r="E1596" s="34">
        <v>80000000</v>
      </c>
      <c r="F1596" s="29">
        <v>0.1016</v>
      </c>
      <c r="G1596" s="30">
        <v>44323</v>
      </c>
      <c r="H1596">
        <v>24</v>
      </c>
      <c r="I1596">
        <v>90</v>
      </c>
      <c r="J1596" s="34">
        <v>102400000</v>
      </c>
      <c r="K1596" t="s">
        <v>199</v>
      </c>
      <c r="L1596" s="34">
        <f>PMT(Loans[[#This Row],[InterestRate]]/12,Loans[[#This Row],[LoanTenureMonths]],-Loans[[#This Row],[LoanAmount]])</f>
        <v>3697504.7256607558</v>
      </c>
      <c r="M1596" s="30">
        <f>EDATE(Loans[[#This Row],[LoanStartDate]],Loans[[#This Row],[LoanTenureMonths]])</f>
        <v>45053</v>
      </c>
      <c r="N1596" s="33">
        <f>IF(Loans[[#This Row],[LoanAmount]]=0,0,Loans[[#This Row],[CollateralValue]]/Loans[[#This Row],[LoanAmount]])</f>
        <v>1.28</v>
      </c>
      <c r="O1596" t="str">
        <f>IF(Loans[[#This Row],[CollateralCoverageRatio]]&lt;1,"Undersecured","Secured")</f>
        <v>Secured</v>
      </c>
      <c r="P1596" t="str">
        <f>_xlfn.XLOOKUP(Loans[[#This Row],[BranchCode]],BranchesTbl[BranchCode],BranchesTbl[BranchName])</f>
        <v>Upper Hill</v>
      </c>
      <c r="Q1596">
        <f>_xlfn.XLOOKUP(Loans[[#This Row],[CustomerID]],CustomerTbl[CustomerID],CustomerTbl[RiskScore])</f>
        <v>647</v>
      </c>
      <c r="R1596" t="str">
        <f>IFERROR(INDEX(RiskTbl[Risk_Category],MATCH(Loans[[#This Row],[RiskScore]],RiskTbl[Score_Min],1)),"Unknown")</f>
        <v>Medium Risk</v>
      </c>
      <c r="S1596" t="str">
        <f>IF(OR(Loans[[#This Row],[LoanStatus]]="Default",Loans[[#This Row],[LoanStatus]]="Watchlist",Loans[[#This Row],[CollateralRisk]]="Undersecured",Loans[[#This Row],[RiskCategory]]="High Risk"),"High Risk Exposure","Normal")</f>
        <v>High Risk Exposure</v>
      </c>
      <c r="T1596" t="str" cm="1">
        <f t="array" ref="T1596">_xlfn.IFS(
Loans[[#This Row],[LoanStatus]]="Default","Critical",
OR(Loans[[#This Row],[LoanStatus]]="Watchlist",Loans[[#This Row],[CollateralRisk]]="Undersecured",Loans[[#This Row],[RiskCategory]]="High Risk"),"High",
TRUE,"Normal"
)</f>
        <v>High</v>
      </c>
    </row>
    <row r="1597" spans="1:20" x14ac:dyDescent="0.35">
      <c r="A1597" t="s">
        <v>2411</v>
      </c>
      <c r="B1597" t="s">
        <v>2412</v>
      </c>
      <c r="C1597" t="s">
        <v>267</v>
      </c>
      <c r="D1597" t="s">
        <v>157</v>
      </c>
      <c r="E1597" s="34">
        <v>6000000</v>
      </c>
      <c r="F1597" s="29">
        <v>0.13739999999999999</v>
      </c>
      <c r="G1597" s="30">
        <v>44106</v>
      </c>
      <c r="H1597">
        <v>72</v>
      </c>
      <c r="I1597">
        <v>0</v>
      </c>
      <c r="J1597" s="34">
        <v>7920000</v>
      </c>
      <c r="K1597" t="s">
        <v>171</v>
      </c>
      <c r="L1597" s="34">
        <f>PMT(Loans[[#This Row],[InterestRate]]/12,Loans[[#This Row],[LoanTenureMonths]],-Loans[[#This Row],[LoanAmount]])</f>
        <v>122800.65753311939</v>
      </c>
      <c r="M1597" s="30">
        <f>EDATE(Loans[[#This Row],[LoanStartDate]],Loans[[#This Row],[LoanTenureMonths]])</f>
        <v>46297</v>
      </c>
      <c r="N1597" s="33">
        <f>IF(Loans[[#This Row],[LoanAmount]]=0,0,Loans[[#This Row],[CollateralValue]]/Loans[[#This Row],[LoanAmount]])</f>
        <v>1.32</v>
      </c>
      <c r="O1597" t="str">
        <f>IF(Loans[[#This Row],[CollateralCoverageRatio]]&lt;1,"Undersecured","Secured")</f>
        <v>Secured</v>
      </c>
      <c r="P1597" t="str">
        <f>_xlfn.XLOOKUP(Loans[[#This Row],[BranchCode]],BranchesTbl[BranchCode],BranchesTbl[BranchName])</f>
        <v>Malindi</v>
      </c>
      <c r="Q1597">
        <f>_xlfn.XLOOKUP(Loans[[#This Row],[CustomerID]],CustomerTbl[CustomerID],CustomerTbl[RiskScore])</f>
        <v>546</v>
      </c>
      <c r="R1597" t="str">
        <f>IFERROR(INDEX(RiskTbl[Risk_Category],MATCH(Loans[[#This Row],[RiskScore]],RiskTbl[Score_Min],1)),"Unknown")</f>
        <v>High Risk</v>
      </c>
      <c r="S1597" t="str">
        <f>IF(OR(Loans[[#This Row],[LoanStatus]]="Default",Loans[[#This Row],[LoanStatus]]="Watchlist",Loans[[#This Row],[CollateralRisk]]="Undersecured",Loans[[#This Row],[RiskCategory]]="High Risk"),"High Risk Exposure","Normal")</f>
        <v>High Risk Exposure</v>
      </c>
      <c r="T1597" t="str" cm="1">
        <f t="array" ref="T1597">_xlfn.IFS(
Loans[[#This Row],[LoanStatus]]="Default","Critical",
OR(Loans[[#This Row],[LoanStatus]]="Watchlist",Loans[[#This Row],[CollateralRisk]]="Undersecured",Loans[[#This Row],[RiskCategory]]="High Risk"),"High",
TRUE,"Normal"
)</f>
        <v>High</v>
      </c>
    </row>
    <row r="1598" spans="1:20" x14ac:dyDescent="0.35">
      <c r="A1598" t="s">
        <v>2413</v>
      </c>
      <c r="B1598" t="s">
        <v>1081</v>
      </c>
      <c r="C1598" t="s">
        <v>181</v>
      </c>
      <c r="D1598" t="s">
        <v>157</v>
      </c>
      <c r="E1598" s="34">
        <v>25000000</v>
      </c>
      <c r="F1598" s="29">
        <v>9.6699999999999994E-2</v>
      </c>
      <c r="G1598" s="30">
        <v>44977</v>
      </c>
      <c r="H1598">
        <v>48</v>
      </c>
      <c r="I1598">
        <v>0</v>
      </c>
      <c r="J1598" s="34">
        <v>34000000</v>
      </c>
      <c r="K1598" t="s">
        <v>171</v>
      </c>
      <c r="L1598" s="34">
        <f>PMT(Loans[[#This Row],[InterestRate]]/12,Loans[[#This Row],[LoanTenureMonths]],-Loans[[#This Row],[LoanAmount]])</f>
        <v>630109.92419573176</v>
      </c>
      <c r="M1598" s="30">
        <f>EDATE(Loans[[#This Row],[LoanStartDate]],Loans[[#This Row],[LoanTenureMonths]])</f>
        <v>46438</v>
      </c>
      <c r="N1598" s="33">
        <f>IF(Loans[[#This Row],[LoanAmount]]=0,0,Loans[[#This Row],[CollateralValue]]/Loans[[#This Row],[LoanAmount]])</f>
        <v>1.36</v>
      </c>
      <c r="O1598" t="str">
        <f>IF(Loans[[#This Row],[CollateralCoverageRatio]]&lt;1,"Undersecured","Secured")</f>
        <v>Secured</v>
      </c>
      <c r="P1598" t="str">
        <f>_xlfn.XLOOKUP(Loans[[#This Row],[BranchCode]],BranchesTbl[BranchCode],BranchesTbl[BranchName])</f>
        <v>Kitale</v>
      </c>
      <c r="Q1598">
        <f>_xlfn.XLOOKUP(Loans[[#This Row],[CustomerID]],CustomerTbl[CustomerID],CustomerTbl[RiskScore])</f>
        <v>463</v>
      </c>
      <c r="R1598" t="str">
        <f>IFERROR(INDEX(RiskTbl[Risk_Category],MATCH(Loans[[#This Row],[RiskScore]],RiskTbl[Score_Min],1)),"Unknown")</f>
        <v>High Risk</v>
      </c>
      <c r="S1598" t="str">
        <f>IF(OR(Loans[[#This Row],[LoanStatus]]="Default",Loans[[#This Row],[LoanStatus]]="Watchlist",Loans[[#This Row],[CollateralRisk]]="Undersecured",Loans[[#This Row],[RiskCategory]]="High Risk"),"High Risk Exposure","Normal")</f>
        <v>High Risk Exposure</v>
      </c>
      <c r="T1598" t="str" cm="1">
        <f t="array" ref="T1598">_xlfn.IFS(
Loans[[#This Row],[LoanStatus]]="Default","Critical",
OR(Loans[[#This Row],[LoanStatus]]="Watchlist",Loans[[#This Row],[CollateralRisk]]="Undersecured",Loans[[#This Row],[RiskCategory]]="High Risk"),"High",
TRUE,"Normal"
)</f>
        <v>High</v>
      </c>
    </row>
    <row r="1599" spans="1:20" x14ac:dyDescent="0.35">
      <c r="A1599" t="s">
        <v>2414</v>
      </c>
      <c r="B1599" t="s">
        <v>2008</v>
      </c>
      <c r="C1599" t="s">
        <v>270</v>
      </c>
      <c r="D1599" t="s">
        <v>155</v>
      </c>
      <c r="E1599" s="34">
        <v>500000</v>
      </c>
      <c r="F1599" s="29">
        <v>0.1633</v>
      </c>
      <c r="G1599" s="30">
        <v>43924</v>
      </c>
      <c r="H1599">
        <v>36</v>
      </c>
      <c r="I1599">
        <v>90</v>
      </c>
      <c r="J1599" s="34">
        <v>0</v>
      </c>
      <c r="K1599" t="s">
        <v>199</v>
      </c>
      <c r="L1599" s="34">
        <f>PMT(Loans[[#This Row],[InterestRate]]/12,Loans[[#This Row],[LoanTenureMonths]],-Loans[[#This Row],[LoanAmount]])</f>
        <v>17660.085960794495</v>
      </c>
      <c r="M1599" s="30">
        <f>EDATE(Loans[[#This Row],[LoanStartDate]],Loans[[#This Row],[LoanTenureMonths]])</f>
        <v>45019</v>
      </c>
      <c r="N1599" s="33">
        <f>IF(Loans[[#This Row],[LoanAmount]]=0,0,Loans[[#This Row],[CollateralValue]]/Loans[[#This Row],[LoanAmount]])</f>
        <v>0</v>
      </c>
      <c r="O1599" t="str">
        <f>IF(Loans[[#This Row],[CollateralCoverageRatio]]&lt;1,"Undersecured","Secured")</f>
        <v>Undersecured</v>
      </c>
      <c r="P1599" t="str">
        <f>_xlfn.XLOOKUP(Loans[[#This Row],[BranchCode]],BranchesTbl[BranchCode],BranchesTbl[BranchName])</f>
        <v>Nakuru</v>
      </c>
      <c r="Q1599">
        <f>_xlfn.XLOOKUP(Loans[[#This Row],[CustomerID]],CustomerTbl[CustomerID],CustomerTbl[RiskScore])</f>
        <v>634</v>
      </c>
      <c r="R1599" t="str">
        <f>IFERROR(INDEX(RiskTbl[Risk_Category],MATCH(Loans[[#This Row],[RiskScore]],RiskTbl[Score_Min],1)),"Unknown")</f>
        <v>Medium Risk</v>
      </c>
      <c r="S1599" t="str">
        <f>IF(OR(Loans[[#This Row],[LoanStatus]]="Default",Loans[[#This Row],[LoanStatus]]="Watchlist",Loans[[#This Row],[CollateralRisk]]="Undersecured",Loans[[#This Row],[RiskCategory]]="High Risk"),"High Risk Exposure","Normal")</f>
        <v>High Risk Exposure</v>
      </c>
      <c r="T1599" t="str" cm="1">
        <f t="array" ref="T1599">_xlfn.IFS(
Loans[[#This Row],[LoanStatus]]="Default","Critical",
OR(Loans[[#This Row],[LoanStatus]]="Watchlist",Loans[[#This Row],[CollateralRisk]]="Undersecured",Loans[[#This Row],[RiskCategory]]="High Risk"),"High",
TRUE,"Normal"
)</f>
        <v>High</v>
      </c>
    </row>
    <row r="1600" spans="1:20" x14ac:dyDescent="0.35">
      <c r="A1600" t="s">
        <v>2415</v>
      </c>
      <c r="B1600" t="s">
        <v>596</v>
      </c>
      <c r="C1600" t="s">
        <v>270</v>
      </c>
      <c r="D1600" t="s">
        <v>158</v>
      </c>
      <c r="E1600" s="34">
        <v>6000000</v>
      </c>
      <c r="F1600" s="29">
        <v>0.15140000000000001</v>
      </c>
      <c r="G1600" s="30">
        <v>43884</v>
      </c>
      <c r="H1600">
        <v>12</v>
      </c>
      <c r="I1600">
        <v>0</v>
      </c>
      <c r="J1600" s="34">
        <v>8340000</v>
      </c>
      <c r="K1600" t="s">
        <v>171</v>
      </c>
      <c r="L1600" s="34">
        <f>PMT(Loans[[#This Row],[InterestRate]]/12,Loans[[#This Row],[LoanTenureMonths]],-Loans[[#This Row],[LoanAmount]])</f>
        <v>541946.3246843674</v>
      </c>
      <c r="M1600" s="30">
        <f>EDATE(Loans[[#This Row],[LoanStartDate]],Loans[[#This Row],[LoanTenureMonths]])</f>
        <v>44250</v>
      </c>
      <c r="N1600" s="33">
        <f>IF(Loans[[#This Row],[LoanAmount]]=0,0,Loans[[#This Row],[CollateralValue]]/Loans[[#This Row],[LoanAmount]])</f>
        <v>1.39</v>
      </c>
      <c r="O1600" t="str">
        <f>IF(Loans[[#This Row],[CollateralCoverageRatio]]&lt;1,"Undersecured","Secured")</f>
        <v>Secured</v>
      </c>
      <c r="P1600" t="str">
        <f>_xlfn.XLOOKUP(Loans[[#This Row],[BranchCode]],BranchesTbl[BranchCode],BranchesTbl[BranchName])</f>
        <v>Nakuru</v>
      </c>
      <c r="Q1600">
        <f>_xlfn.XLOOKUP(Loans[[#This Row],[CustomerID]],CustomerTbl[CustomerID],CustomerTbl[RiskScore])</f>
        <v>444</v>
      </c>
      <c r="R1600" t="str">
        <f>IFERROR(INDEX(RiskTbl[Risk_Category],MATCH(Loans[[#This Row],[RiskScore]],RiskTbl[Score_Min],1)),"Unknown")</f>
        <v>High Risk</v>
      </c>
      <c r="S1600" t="str">
        <f>IF(OR(Loans[[#This Row],[LoanStatus]]="Default",Loans[[#This Row],[LoanStatus]]="Watchlist",Loans[[#This Row],[CollateralRisk]]="Undersecured",Loans[[#This Row],[RiskCategory]]="High Risk"),"High Risk Exposure","Normal")</f>
        <v>High Risk Exposure</v>
      </c>
      <c r="T1600" t="str" cm="1">
        <f t="array" ref="T1600">_xlfn.IFS(
Loans[[#This Row],[LoanStatus]]="Default","Critical",
OR(Loans[[#This Row],[LoanStatus]]="Watchlist",Loans[[#This Row],[CollateralRisk]]="Undersecured",Loans[[#This Row],[RiskCategory]]="High Risk"),"High",
TRUE,"Normal"
)</f>
        <v>High</v>
      </c>
    </row>
    <row r="1601" spans="1:20" x14ac:dyDescent="0.35">
      <c r="A1601" t="s">
        <v>2416</v>
      </c>
      <c r="B1601" t="s">
        <v>367</v>
      </c>
      <c r="C1601" t="s">
        <v>239</v>
      </c>
      <c r="D1601" t="s">
        <v>156</v>
      </c>
      <c r="E1601" s="34">
        <v>6000000</v>
      </c>
      <c r="F1601" s="29">
        <v>0.19439999999999999</v>
      </c>
      <c r="G1601" s="30">
        <v>45912</v>
      </c>
      <c r="H1601">
        <v>12</v>
      </c>
      <c r="I1601">
        <v>5</v>
      </c>
      <c r="J1601" s="34">
        <v>3060000</v>
      </c>
      <c r="K1601" t="s">
        <v>171</v>
      </c>
      <c r="L1601" s="34">
        <f>PMT(Loans[[#This Row],[InterestRate]]/12,Loans[[#This Row],[LoanTenureMonths]],-Loans[[#This Row],[LoanAmount]])</f>
        <v>554200.20690122526</v>
      </c>
      <c r="M1601" s="30">
        <f>EDATE(Loans[[#This Row],[LoanStartDate]],Loans[[#This Row],[LoanTenureMonths]])</f>
        <v>46277</v>
      </c>
      <c r="N1601" s="33">
        <f>IF(Loans[[#This Row],[LoanAmount]]=0,0,Loans[[#This Row],[CollateralValue]]/Loans[[#This Row],[LoanAmount]])</f>
        <v>0.51</v>
      </c>
      <c r="O1601" t="str">
        <f>IF(Loans[[#This Row],[CollateralCoverageRatio]]&lt;1,"Undersecured","Secured")</f>
        <v>Undersecured</v>
      </c>
      <c r="P1601" t="str">
        <f>_xlfn.XLOOKUP(Loans[[#This Row],[BranchCode]],BranchesTbl[BranchCode],BranchesTbl[BranchName])</f>
        <v>Machakos</v>
      </c>
      <c r="Q1601">
        <f>_xlfn.XLOOKUP(Loans[[#This Row],[CustomerID]],CustomerTbl[CustomerID],CustomerTbl[RiskScore])</f>
        <v>313</v>
      </c>
      <c r="R1601" t="str">
        <f>IFERROR(INDEX(RiskTbl[Risk_Category],MATCH(Loans[[#This Row],[RiskScore]],RiskTbl[Score_Min],1)),"Unknown")</f>
        <v>High Risk</v>
      </c>
      <c r="S1601" t="str">
        <f>IF(OR(Loans[[#This Row],[LoanStatus]]="Default",Loans[[#This Row],[LoanStatus]]="Watchlist",Loans[[#This Row],[CollateralRisk]]="Undersecured",Loans[[#This Row],[RiskCategory]]="High Risk"),"High Risk Exposure","Normal")</f>
        <v>High Risk Exposure</v>
      </c>
      <c r="T1601" t="str" cm="1">
        <f t="array" ref="T1601">_xlfn.IFS(
Loans[[#This Row],[LoanStatus]]="Default","Critical",
OR(Loans[[#This Row],[LoanStatus]]="Watchlist",Loans[[#This Row],[CollateralRisk]]="Undersecured",Loans[[#This Row],[RiskCategory]]="High Risk"),"High",
TRUE,"Normal"
)</f>
        <v>High</v>
      </c>
    </row>
    <row r="1602" spans="1:20" x14ac:dyDescent="0.35">
      <c r="A1602" t="s">
        <v>2417</v>
      </c>
      <c r="B1602" t="s">
        <v>1357</v>
      </c>
      <c r="C1602" t="s">
        <v>187</v>
      </c>
      <c r="D1602" t="s">
        <v>155</v>
      </c>
      <c r="E1602" s="34">
        <v>1000000</v>
      </c>
      <c r="F1602" s="29">
        <v>0.1608</v>
      </c>
      <c r="G1602" s="30">
        <v>45324</v>
      </c>
      <c r="H1602">
        <v>24</v>
      </c>
      <c r="I1602">
        <v>0</v>
      </c>
      <c r="J1602" s="34">
        <v>0</v>
      </c>
      <c r="K1602" t="s">
        <v>171</v>
      </c>
      <c r="L1602" s="34">
        <f>PMT(Loans[[#This Row],[InterestRate]]/12,Loans[[#This Row],[LoanTenureMonths]],-Loans[[#This Row],[LoanAmount]])</f>
        <v>49001.34385932039</v>
      </c>
      <c r="M1602" s="30">
        <f>EDATE(Loans[[#This Row],[LoanStartDate]],Loans[[#This Row],[LoanTenureMonths]])</f>
        <v>46055</v>
      </c>
      <c r="N1602" s="33">
        <f>IF(Loans[[#This Row],[LoanAmount]]=0,0,Loans[[#This Row],[CollateralValue]]/Loans[[#This Row],[LoanAmount]])</f>
        <v>0</v>
      </c>
      <c r="O1602" t="str">
        <f>IF(Loans[[#This Row],[CollateralCoverageRatio]]&lt;1,"Undersecured","Secured")</f>
        <v>Undersecured</v>
      </c>
      <c r="P1602" t="str">
        <f>_xlfn.XLOOKUP(Loans[[#This Row],[BranchCode]],BranchesTbl[BranchCode],BranchesTbl[BranchName])</f>
        <v>Eldoret</v>
      </c>
      <c r="Q1602">
        <f>_xlfn.XLOOKUP(Loans[[#This Row],[CustomerID]],CustomerTbl[CustomerID],CustomerTbl[RiskScore])</f>
        <v>311</v>
      </c>
      <c r="R1602" t="str">
        <f>IFERROR(INDEX(RiskTbl[Risk_Category],MATCH(Loans[[#This Row],[RiskScore]],RiskTbl[Score_Min],1)),"Unknown")</f>
        <v>High Risk</v>
      </c>
      <c r="S1602" t="str">
        <f>IF(OR(Loans[[#This Row],[LoanStatus]]="Default",Loans[[#This Row],[LoanStatus]]="Watchlist",Loans[[#This Row],[CollateralRisk]]="Undersecured",Loans[[#This Row],[RiskCategory]]="High Risk"),"High Risk Exposure","Normal")</f>
        <v>High Risk Exposure</v>
      </c>
      <c r="T1602" t="str" cm="1">
        <f t="array" ref="T1602">_xlfn.IFS(
Loans[[#This Row],[LoanStatus]]="Default","Critical",
OR(Loans[[#This Row],[LoanStatus]]="Watchlist",Loans[[#This Row],[CollateralRisk]]="Undersecured",Loans[[#This Row],[RiskCategory]]="High Risk"),"High",
TRUE,"Normal"
)</f>
        <v>High</v>
      </c>
    </row>
    <row r="1603" spans="1:20" x14ac:dyDescent="0.35">
      <c r="A1603" t="s">
        <v>2418</v>
      </c>
      <c r="B1603" t="s">
        <v>2018</v>
      </c>
      <c r="C1603" t="s">
        <v>193</v>
      </c>
      <c r="D1603" t="s">
        <v>156</v>
      </c>
      <c r="E1603" s="34">
        <v>3000000</v>
      </c>
      <c r="F1603" s="29">
        <v>0.2394</v>
      </c>
      <c r="G1603" s="30">
        <v>45085</v>
      </c>
      <c r="H1603">
        <v>36</v>
      </c>
      <c r="I1603">
        <v>0</v>
      </c>
      <c r="J1603" s="34">
        <v>4440000</v>
      </c>
      <c r="K1603" t="s">
        <v>171</v>
      </c>
      <c r="L1603" s="34">
        <f>PMT(Loans[[#This Row],[InterestRate]]/12,Loans[[#This Row],[LoanTenureMonths]],-Loans[[#This Row],[LoanAmount]])</f>
        <v>117604.06853308898</v>
      </c>
      <c r="M1603" s="30">
        <f>EDATE(Loans[[#This Row],[LoanStartDate]],Loans[[#This Row],[LoanTenureMonths]])</f>
        <v>46181</v>
      </c>
      <c r="N1603" s="33">
        <f>IF(Loans[[#This Row],[LoanAmount]]=0,0,Loans[[#This Row],[CollateralValue]]/Loans[[#This Row],[LoanAmount]])</f>
        <v>1.48</v>
      </c>
      <c r="O1603" t="str">
        <f>IF(Loans[[#This Row],[CollateralCoverageRatio]]&lt;1,"Undersecured","Secured")</f>
        <v>Secured</v>
      </c>
      <c r="P1603" t="str">
        <f>_xlfn.XLOOKUP(Loans[[#This Row],[BranchCode]],BranchesTbl[BranchCode],BranchesTbl[BranchName])</f>
        <v>Mombasa</v>
      </c>
      <c r="Q1603">
        <f>_xlfn.XLOOKUP(Loans[[#This Row],[CustomerID]],CustomerTbl[CustomerID],CustomerTbl[RiskScore])</f>
        <v>322</v>
      </c>
      <c r="R1603" t="str">
        <f>IFERROR(INDEX(RiskTbl[Risk_Category],MATCH(Loans[[#This Row],[RiskScore]],RiskTbl[Score_Min],1)),"Unknown")</f>
        <v>High Risk</v>
      </c>
      <c r="S1603" t="str">
        <f>IF(OR(Loans[[#This Row],[LoanStatus]]="Default",Loans[[#This Row],[LoanStatus]]="Watchlist",Loans[[#This Row],[CollateralRisk]]="Undersecured",Loans[[#This Row],[RiskCategory]]="High Risk"),"High Risk Exposure","Normal")</f>
        <v>High Risk Exposure</v>
      </c>
      <c r="T1603" t="str" cm="1">
        <f t="array" ref="T1603">_xlfn.IFS(
Loans[[#This Row],[LoanStatus]]="Default","Critical",
OR(Loans[[#This Row],[LoanStatus]]="Watchlist",Loans[[#This Row],[CollateralRisk]]="Undersecured",Loans[[#This Row],[RiskCategory]]="High Risk"),"High",
TRUE,"Normal"
)</f>
        <v>High</v>
      </c>
    </row>
    <row r="1604" spans="1:20" x14ac:dyDescent="0.35">
      <c r="A1604" t="s">
        <v>2419</v>
      </c>
      <c r="B1604" t="s">
        <v>1242</v>
      </c>
      <c r="C1604" t="s">
        <v>239</v>
      </c>
      <c r="D1604" t="s">
        <v>155</v>
      </c>
      <c r="E1604" s="34">
        <v>250000</v>
      </c>
      <c r="F1604" s="29">
        <v>0.22209999999999999</v>
      </c>
      <c r="G1604" s="30">
        <v>44517</v>
      </c>
      <c r="H1604">
        <v>60</v>
      </c>
      <c r="I1604">
        <v>0</v>
      </c>
      <c r="J1604" s="34">
        <v>0</v>
      </c>
      <c r="K1604" t="s">
        <v>171</v>
      </c>
      <c r="L1604" s="34">
        <f>PMT(Loans[[#This Row],[InterestRate]]/12,Loans[[#This Row],[LoanTenureMonths]],-Loans[[#This Row],[LoanAmount]])</f>
        <v>6934.6108810528867</v>
      </c>
      <c r="M1604" s="30">
        <f>EDATE(Loans[[#This Row],[LoanStartDate]],Loans[[#This Row],[LoanTenureMonths]])</f>
        <v>46343</v>
      </c>
      <c r="N1604" s="33">
        <f>IF(Loans[[#This Row],[LoanAmount]]=0,0,Loans[[#This Row],[CollateralValue]]/Loans[[#This Row],[LoanAmount]])</f>
        <v>0</v>
      </c>
      <c r="O1604" t="str">
        <f>IF(Loans[[#This Row],[CollateralCoverageRatio]]&lt;1,"Undersecured","Secured")</f>
        <v>Undersecured</v>
      </c>
      <c r="P1604" t="str">
        <f>_xlfn.XLOOKUP(Loans[[#This Row],[BranchCode]],BranchesTbl[BranchCode],BranchesTbl[BranchName])</f>
        <v>Machakos</v>
      </c>
      <c r="Q1604">
        <f>_xlfn.XLOOKUP(Loans[[#This Row],[CustomerID]],CustomerTbl[CustomerID],CustomerTbl[RiskScore])</f>
        <v>349</v>
      </c>
      <c r="R1604" t="str">
        <f>IFERROR(INDEX(RiskTbl[Risk_Category],MATCH(Loans[[#This Row],[RiskScore]],RiskTbl[Score_Min],1)),"Unknown")</f>
        <v>High Risk</v>
      </c>
      <c r="S1604" t="str">
        <f>IF(OR(Loans[[#This Row],[LoanStatus]]="Default",Loans[[#This Row],[LoanStatus]]="Watchlist",Loans[[#This Row],[CollateralRisk]]="Undersecured",Loans[[#This Row],[RiskCategory]]="High Risk"),"High Risk Exposure","Normal")</f>
        <v>High Risk Exposure</v>
      </c>
      <c r="T1604" t="str" cm="1">
        <f t="array" ref="T1604">_xlfn.IFS(
Loans[[#This Row],[LoanStatus]]="Default","Critical",
OR(Loans[[#This Row],[LoanStatus]]="Watchlist",Loans[[#This Row],[CollateralRisk]]="Undersecured",Loans[[#This Row],[RiskCategory]]="High Risk"),"High",
TRUE,"Normal"
)</f>
        <v>High</v>
      </c>
    </row>
    <row r="1605" spans="1:20" x14ac:dyDescent="0.35">
      <c r="A1605" t="s">
        <v>2420</v>
      </c>
      <c r="B1605" t="s">
        <v>2421</v>
      </c>
      <c r="C1605" t="s">
        <v>170</v>
      </c>
      <c r="D1605" t="s">
        <v>158</v>
      </c>
      <c r="E1605" s="34">
        <v>3000000</v>
      </c>
      <c r="F1605" s="29">
        <v>0.1603</v>
      </c>
      <c r="G1605" s="30">
        <v>45986</v>
      </c>
      <c r="H1605">
        <v>60</v>
      </c>
      <c r="I1605">
        <v>120</v>
      </c>
      <c r="J1605" s="34">
        <v>3810000</v>
      </c>
      <c r="K1605" t="s">
        <v>178</v>
      </c>
      <c r="L1605" s="34">
        <f>PMT(Loans[[#This Row],[InterestRate]]/12,Loans[[#This Row],[LoanTenureMonths]],-Loans[[#This Row],[LoanAmount]])</f>
        <v>73001.999894064589</v>
      </c>
      <c r="M1605" s="30">
        <f>EDATE(Loans[[#This Row],[LoanStartDate]],Loans[[#This Row],[LoanTenureMonths]])</f>
        <v>47812</v>
      </c>
      <c r="N1605" s="33">
        <f>IF(Loans[[#This Row],[LoanAmount]]=0,0,Loans[[#This Row],[CollateralValue]]/Loans[[#This Row],[LoanAmount]])</f>
        <v>1.27</v>
      </c>
      <c r="O1605" t="str">
        <f>IF(Loans[[#This Row],[CollateralCoverageRatio]]&lt;1,"Undersecured","Secured")</f>
        <v>Secured</v>
      </c>
      <c r="P1605" t="str">
        <f>_xlfn.XLOOKUP(Loans[[#This Row],[BranchCode]],BranchesTbl[BranchCode],BranchesTbl[BranchName])</f>
        <v>Thika</v>
      </c>
      <c r="Q1605">
        <f>_xlfn.XLOOKUP(Loans[[#This Row],[CustomerID]],CustomerTbl[CustomerID],CustomerTbl[RiskScore])</f>
        <v>422</v>
      </c>
      <c r="R1605" t="str">
        <f>IFERROR(INDEX(RiskTbl[Risk_Category],MATCH(Loans[[#This Row],[RiskScore]],RiskTbl[Score_Min],1)),"Unknown")</f>
        <v>High Risk</v>
      </c>
      <c r="S1605" t="str">
        <f>IF(OR(Loans[[#This Row],[LoanStatus]]="Default",Loans[[#This Row],[LoanStatus]]="Watchlist",Loans[[#This Row],[CollateralRisk]]="Undersecured",Loans[[#This Row],[RiskCategory]]="High Risk"),"High Risk Exposure","Normal")</f>
        <v>High Risk Exposure</v>
      </c>
      <c r="T1605" t="str" cm="1">
        <f t="array" ref="T1605">_xlfn.IFS(
Loans[[#This Row],[LoanStatus]]="Default","Critical",
OR(Loans[[#This Row],[LoanStatus]]="Watchlist",Loans[[#This Row],[CollateralRisk]]="Undersecured",Loans[[#This Row],[RiskCategory]]="High Risk"),"High",
TRUE,"Normal"
)</f>
        <v>Critical</v>
      </c>
    </row>
    <row r="1606" spans="1:20" x14ac:dyDescent="0.35">
      <c r="A1606" t="s">
        <v>2422</v>
      </c>
      <c r="B1606" t="s">
        <v>661</v>
      </c>
      <c r="C1606" t="s">
        <v>184</v>
      </c>
      <c r="D1606" t="s">
        <v>158</v>
      </c>
      <c r="E1606" s="34">
        <v>3000000</v>
      </c>
      <c r="F1606" s="29">
        <v>0.1273</v>
      </c>
      <c r="G1606" s="30">
        <v>45156</v>
      </c>
      <c r="H1606">
        <v>72</v>
      </c>
      <c r="I1606">
        <v>120</v>
      </c>
      <c r="J1606" s="34">
        <v>3420000</v>
      </c>
      <c r="K1606" t="s">
        <v>178</v>
      </c>
      <c r="L1606" s="34">
        <f>PMT(Loans[[#This Row],[InterestRate]]/12,Loans[[#This Row],[LoanTenureMonths]],-Loans[[#This Row],[LoanAmount]])</f>
        <v>59795.653489450371</v>
      </c>
      <c r="M1606" s="30">
        <f>EDATE(Loans[[#This Row],[LoanStartDate]],Loans[[#This Row],[LoanTenureMonths]])</f>
        <v>47348</v>
      </c>
      <c r="N1606" s="33">
        <f>IF(Loans[[#This Row],[LoanAmount]]=0,0,Loans[[#This Row],[CollateralValue]]/Loans[[#This Row],[LoanAmount]])</f>
        <v>1.1399999999999999</v>
      </c>
      <c r="O1606" t="str">
        <f>IF(Loans[[#This Row],[CollateralCoverageRatio]]&lt;1,"Undersecured","Secured")</f>
        <v>Secured</v>
      </c>
      <c r="P1606" t="str">
        <f>_xlfn.XLOOKUP(Loans[[#This Row],[BranchCode]],BranchesTbl[BranchCode],BranchesTbl[BranchName])</f>
        <v>Kisumu</v>
      </c>
      <c r="Q1606">
        <f>_xlfn.XLOOKUP(Loans[[#This Row],[CustomerID]],CustomerTbl[CustomerID],CustomerTbl[RiskScore])</f>
        <v>732</v>
      </c>
      <c r="R1606" t="str">
        <f>IFERROR(INDEX(RiskTbl[Risk_Category],MATCH(Loans[[#This Row],[RiskScore]],RiskTbl[Score_Min],1)),"Unknown")</f>
        <v>Low Risk</v>
      </c>
      <c r="S1606" t="str">
        <f>IF(OR(Loans[[#This Row],[LoanStatus]]="Default",Loans[[#This Row],[LoanStatus]]="Watchlist",Loans[[#This Row],[CollateralRisk]]="Undersecured",Loans[[#This Row],[RiskCategory]]="High Risk"),"High Risk Exposure","Normal")</f>
        <v>High Risk Exposure</v>
      </c>
      <c r="T1606" t="str" cm="1">
        <f t="array" ref="T1606">_xlfn.IFS(
Loans[[#This Row],[LoanStatus]]="Default","Critical",
OR(Loans[[#This Row],[LoanStatus]]="Watchlist",Loans[[#This Row],[CollateralRisk]]="Undersecured",Loans[[#This Row],[RiskCategory]]="High Risk"),"High",
TRUE,"Normal"
)</f>
        <v>Critical</v>
      </c>
    </row>
    <row r="1607" spans="1:20" x14ac:dyDescent="0.35">
      <c r="A1607" t="s">
        <v>2423</v>
      </c>
      <c r="B1607" t="s">
        <v>2424</v>
      </c>
      <c r="C1607" t="s">
        <v>206</v>
      </c>
      <c r="D1607" t="s">
        <v>157</v>
      </c>
      <c r="E1607" s="34">
        <v>25000000</v>
      </c>
      <c r="F1607" s="29">
        <v>0.1128</v>
      </c>
      <c r="G1607" s="30">
        <v>44216</v>
      </c>
      <c r="H1607">
        <v>48</v>
      </c>
      <c r="I1607">
        <v>0</v>
      </c>
      <c r="J1607" s="34">
        <v>26500000</v>
      </c>
      <c r="K1607" t="s">
        <v>171</v>
      </c>
      <c r="L1607" s="34">
        <f>PMT(Loans[[#This Row],[InterestRate]]/12,Loans[[#This Row],[LoanTenureMonths]],-Loans[[#This Row],[LoanAmount]])</f>
        <v>649542.74070398405</v>
      </c>
      <c r="M1607" s="30">
        <f>EDATE(Loans[[#This Row],[LoanStartDate]],Loans[[#This Row],[LoanTenureMonths]])</f>
        <v>45677</v>
      </c>
      <c r="N1607" s="33">
        <f>IF(Loans[[#This Row],[LoanAmount]]=0,0,Loans[[#This Row],[CollateralValue]]/Loans[[#This Row],[LoanAmount]])</f>
        <v>1.06</v>
      </c>
      <c r="O1607" t="str">
        <f>IF(Loans[[#This Row],[CollateralCoverageRatio]]&lt;1,"Undersecured","Secured")</f>
        <v>Secured</v>
      </c>
      <c r="P1607" t="str">
        <f>_xlfn.XLOOKUP(Loans[[#This Row],[BranchCode]],BranchesTbl[BranchCode],BranchesTbl[BranchName])</f>
        <v>Nyahururu</v>
      </c>
      <c r="Q1607">
        <f>_xlfn.XLOOKUP(Loans[[#This Row],[CustomerID]],CustomerTbl[CustomerID],CustomerTbl[RiskScore])</f>
        <v>404</v>
      </c>
      <c r="R1607" t="str">
        <f>IFERROR(INDEX(RiskTbl[Risk_Category],MATCH(Loans[[#This Row],[RiskScore]],RiskTbl[Score_Min],1)),"Unknown")</f>
        <v>High Risk</v>
      </c>
      <c r="S1607" t="str">
        <f>IF(OR(Loans[[#This Row],[LoanStatus]]="Default",Loans[[#This Row],[LoanStatus]]="Watchlist",Loans[[#This Row],[CollateralRisk]]="Undersecured",Loans[[#This Row],[RiskCategory]]="High Risk"),"High Risk Exposure","Normal")</f>
        <v>High Risk Exposure</v>
      </c>
      <c r="T1607" t="str" cm="1">
        <f t="array" ref="T1607">_xlfn.IFS(
Loans[[#This Row],[LoanStatus]]="Default","Critical",
OR(Loans[[#This Row],[LoanStatus]]="Watchlist",Loans[[#This Row],[CollateralRisk]]="Undersecured",Loans[[#This Row],[RiskCategory]]="High Risk"),"High",
TRUE,"Normal"
)</f>
        <v>High</v>
      </c>
    </row>
    <row r="1608" spans="1:20" x14ac:dyDescent="0.35">
      <c r="A1608" t="s">
        <v>2425</v>
      </c>
      <c r="B1608" t="s">
        <v>1388</v>
      </c>
      <c r="C1608" t="s">
        <v>184</v>
      </c>
      <c r="D1608" t="s">
        <v>157</v>
      </c>
      <c r="E1608" s="34">
        <v>80000000</v>
      </c>
      <c r="F1608" s="29">
        <v>0.1288</v>
      </c>
      <c r="G1608" s="30">
        <v>43956</v>
      </c>
      <c r="H1608">
        <v>36</v>
      </c>
      <c r="I1608">
        <v>10</v>
      </c>
      <c r="J1608" s="34">
        <v>92000000</v>
      </c>
      <c r="K1608" t="s">
        <v>171</v>
      </c>
      <c r="L1608" s="34">
        <f>PMT(Loans[[#This Row],[InterestRate]]/12,Loans[[#This Row],[LoanTenureMonths]],-Loans[[#This Row],[LoanAmount]])</f>
        <v>2690894.5265646866</v>
      </c>
      <c r="M1608" s="30">
        <f>EDATE(Loans[[#This Row],[LoanStartDate]],Loans[[#This Row],[LoanTenureMonths]])</f>
        <v>45051</v>
      </c>
      <c r="N1608" s="33">
        <f>IF(Loans[[#This Row],[LoanAmount]]=0,0,Loans[[#This Row],[CollateralValue]]/Loans[[#This Row],[LoanAmount]])</f>
        <v>1.1499999999999999</v>
      </c>
      <c r="O1608" t="str">
        <f>IF(Loans[[#This Row],[CollateralCoverageRatio]]&lt;1,"Undersecured","Secured")</f>
        <v>Secured</v>
      </c>
      <c r="P1608" t="str">
        <f>_xlfn.XLOOKUP(Loans[[#This Row],[BranchCode]],BranchesTbl[BranchCode],BranchesTbl[BranchName])</f>
        <v>Kisumu</v>
      </c>
      <c r="Q1608">
        <f>_xlfn.XLOOKUP(Loans[[#This Row],[CustomerID]],CustomerTbl[CustomerID],CustomerTbl[RiskScore])</f>
        <v>603</v>
      </c>
      <c r="R1608" t="str">
        <f>IFERROR(INDEX(RiskTbl[Risk_Category],MATCH(Loans[[#This Row],[RiskScore]],RiskTbl[Score_Min],1)),"Unknown")</f>
        <v>Medium Risk</v>
      </c>
      <c r="S1608" t="str">
        <f>IF(OR(Loans[[#This Row],[LoanStatus]]="Default",Loans[[#This Row],[LoanStatus]]="Watchlist",Loans[[#This Row],[CollateralRisk]]="Undersecured",Loans[[#This Row],[RiskCategory]]="High Risk"),"High Risk Exposure","Normal")</f>
        <v>Normal</v>
      </c>
      <c r="T1608" t="str" cm="1">
        <f t="array" ref="T1608">_xlfn.IFS(
Loans[[#This Row],[LoanStatus]]="Default","Critical",
OR(Loans[[#This Row],[LoanStatus]]="Watchlist",Loans[[#This Row],[CollateralRisk]]="Undersecured",Loans[[#This Row],[RiskCategory]]="High Risk"),"High",
TRUE,"Normal"
)</f>
        <v>Normal</v>
      </c>
    </row>
    <row r="1609" spans="1:20" x14ac:dyDescent="0.35">
      <c r="A1609" t="s">
        <v>2426</v>
      </c>
      <c r="B1609" t="s">
        <v>1867</v>
      </c>
      <c r="C1609" t="s">
        <v>181</v>
      </c>
      <c r="D1609" t="s">
        <v>157</v>
      </c>
      <c r="E1609" s="34">
        <v>25000000</v>
      </c>
      <c r="F1609" s="29">
        <v>0.1343</v>
      </c>
      <c r="G1609" s="30">
        <v>44167</v>
      </c>
      <c r="H1609">
        <v>24</v>
      </c>
      <c r="I1609">
        <v>120</v>
      </c>
      <c r="J1609" s="34">
        <v>18500000</v>
      </c>
      <c r="K1609" t="s">
        <v>178</v>
      </c>
      <c r="L1609" s="34">
        <f>PMT(Loans[[#This Row],[InterestRate]]/12,Loans[[#This Row],[LoanTenureMonths]],-Loans[[#This Row],[LoanAmount]])</f>
        <v>1193601.1722619908</v>
      </c>
      <c r="M1609" s="30">
        <f>EDATE(Loans[[#This Row],[LoanStartDate]],Loans[[#This Row],[LoanTenureMonths]])</f>
        <v>44897</v>
      </c>
      <c r="N1609" s="33">
        <f>IF(Loans[[#This Row],[LoanAmount]]=0,0,Loans[[#This Row],[CollateralValue]]/Loans[[#This Row],[LoanAmount]])</f>
        <v>0.74</v>
      </c>
      <c r="O1609" t="str">
        <f>IF(Loans[[#This Row],[CollateralCoverageRatio]]&lt;1,"Undersecured","Secured")</f>
        <v>Undersecured</v>
      </c>
      <c r="P1609" t="str">
        <f>_xlfn.XLOOKUP(Loans[[#This Row],[BranchCode]],BranchesTbl[BranchCode],BranchesTbl[BranchName])</f>
        <v>Kitale</v>
      </c>
      <c r="Q1609">
        <f>_xlfn.XLOOKUP(Loans[[#This Row],[CustomerID]],CustomerTbl[CustomerID],CustomerTbl[RiskScore])</f>
        <v>825</v>
      </c>
      <c r="R1609" t="str">
        <f>IFERROR(INDEX(RiskTbl[Risk_Category],MATCH(Loans[[#This Row],[RiskScore]],RiskTbl[Score_Min],1)),"Unknown")</f>
        <v>Prime</v>
      </c>
      <c r="S1609" t="str">
        <f>IF(OR(Loans[[#This Row],[LoanStatus]]="Default",Loans[[#This Row],[LoanStatus]]="Watchlist",Loans[[#This Row],[CollateralRisk]]="Undersecured",Loans[[#This Row],[RiskCategory]]="High Risk"),"High Risk Exposure","Normal")</f>
        <v>High Risk Exposure</v>
      </c>
      <c r="T1609" t="str" cm="1">
        <f t="array" ref="T1609">_xlfn.IFS(
Loans[[#This Row],[LoanStatus]]="Default","Critical",
OR(Loans[[#This Row],[LoanStatus]]="Watchlist",Loans[[#This Row],[CollateralRisk]]="Undersecured",Loans[[#This Row],[RiskCategory]]="High Risk"),"High",
TRUE,"Normal"
)</f>
        <v>Critical</v>
      </c>
    </row>
    <row r="1610" spans="1:20" x14ac:dyDescent="0.35">
      <c r="A1610" t="s">
        <v>2427</v>
      </c>
      <c r="B1610" t="s">
        <v>1537</v>
      </c>
      <c r="C1610" t="s">
        <v>177</v>
      </c>
      <c r="D1610" t="s">
        <v>156</v>
      </c>
      <c r="E1610" s="34">
        <v>1000000</v>
      </c>
      <c r="F1610" s="29">
        <v>0.1867</v>
      </c>
      <c r="G1610" s="30">
        <v>45509</v>
      </c>
      <c r="H1610">
        <v>60</v>
      </c>
      <c r="I1610">
        <v>0</v>
      </c>
      <c r="J1610" s="34">
        <v>560000</v>
      </c>
      <c r="K1610" t="s">
        <v>171</v>
      </c>
      <c r="L1610" s="34">
        <f>PMT(Loans[[#This Row],[InterestRate]]/12,Loans[[#This Row],[LoanTenureMonths]],-Loans[[#This Row],[LoanAmount]])</f>
        <v>25759.310784870664</v>
      </c>
      <c r="M1610" s="30">
        <f>EDATE(Loans[[#This Row],[LoanStartDate]],Loans[[#This Row],[LoanTenureMonths]])</f>
        <v>47335</v>
      </c>
      <c r="N1610" s="33">
        <f>IF(Loans[[#This Row],[LoanAmount]]=0,0,Loans[[#This Row],[CollateralValue]]/Loans[[#This Row],[LoanAmount]])</f>
        <v>0.56000000000000005</v>
      </c>
      <c r="O1610" t="str">
        <f>IF(Loans[[#This Row],[CollateralCoverageRatio]]&lt;1,"Undersecured","Secured")</f>
        <v>Undersecured</v>
      </c>
      <c r="P1610" t="str">
        <f>_xlfn.XLOOKUP(Loans[[#This Row],[BranchCode]],BranchesTbl[BranchCode],BranchesTbl[BranchName])</f>
        <v>Naivasha</v>
      </c>
      <c r="Q1610">
        <f>_xlfn.XLOOKUP(Loans[[#This Row],[CustomerID]],CustomerTbl[CustomerID],CustomerTbl[RiskScore])</f>
        <v>609</v>
      </c>
      <c r="R1610" t="str">
        <f>IFERROR(INDEX(RiskTbl[Risk_Category],MATCH(Loans[[#This Row],[RiskScore]],RiskTbl[Score_Min],1)),"Unknown")</f>
        <v>Medium Risk</v>
      </c>
      <c r="S1610" t="str">
        <f>IF(OR(Loans[[#This Row],[LoanStatus]]="Default",Loans[[#This Row],[LoanStatus]]="Watchlist",Loans[[#This Row],[CollateralRisk]]="Undersecured",Loans[[#This Row],[RiskCategory]]="High Risk"),"High Risk Exposure","Normal")</f>
        <v>High Risk Exposure</v>
      </c>
      <c r="T1610" t="str" cm="1">
        <f t="array" ref="T1610">_xlfn.IFS(
Loans[[#This Row],[LoanStatus]]="Default","Critical",
OR(Loans[[#This Row],[LoanStatus]]="Watchlist",Loans[[#This Row],[CollateralRisk]]="Undersecured",Loans[[#This Row],[RiskCategory]]="High Risk"),"High",
TRUE,"Normal"
)</f>
        <v>High</v>
      </c>
    </row>
    <row r="1611" spans="1:20" x14ac:dyDescent="0.35">
      <c r="A1611" t="s">
        <v>2428</v>
      </c>
      <c r="B1611" t="s">
        <v>2429</v>
      </c>
      <c r="C1611" t="s">
        <v>270</v>
      </c>
      <c r="D1611" t="s">
        <v>157</v>
      </c>
      <c r="E1611" s="34">
        <v>6000000</v>
      </c>
      <c r="F1611" s="29">
        <v>9.1999999999999998E-2</v>
      </c>
      <c r="G1611" s="30">
        <v>44600</v>
      </c>
      <c r="H1611">
        <v>48</v>
      </c>
      <c r="I1611">
        <v>45</v>
      </c>
      <c r="J1611" s="34">
        <v>6060000</v>
      </c>
      <c r="K1611" t="s">
        <v>199</v>
      </c>
      <c r="L1611" s="34">
        <f>PMT(Loans[[#This Row],[InterestRate]]/12,Loans[[#This Row],[LoanTenureMonths]],-Loans[[#This Row],[LoanAmount]])</f>
        <v>149880.70568602809</v>
      </c>
      <c r="M1611" s="30">
        <f>EDATE(Loans[[#This Row],[LoanStartDate]],Loans[[#This Row],[LoanTenureMonths]])</f>
        <v>46061</v>
      </c>
      <c r="N1611" s="33">
        <f>IF(Loans[[#This Row],[LoanAmount]]=0,0,Loans[[#This Row],[CollateralValue]]/Loans[[#This Row],[LoanAmount]])</f>
        <v>1.01</v>
      </c>
      <c r="O1611" t="str">
        <f>IF(Loans[[#This Row],[CollateralCoverageRatio]]&lt;1,"Undersecured","Secured")</f>
        <v>Secured</v>
      </c>
      <c r="P1611" t="str">
        <f>_xlfn.XLOOKUP(Loans[[#This Row],[BranchCode]],BranchesTbl[BranchCode],BranchesTbl[BranchName])</f>
        <v>Nakuru</v>
      </c>
      <c r="Q1611">
        <f>_xlfn.XLOOKUP(Loans[[#This Row],[CustomerID]],CustomerTbl[CustomerID],CustomerTbl[RiskScore])</f>
        <v>377</v>
      </c>
      <c r="R1611" t="str">
        <f>IFERROR(INDEX(RiskTbl[Risk_Category],MATCH(Loans[[#This Row],[RiskScore]],RiskTbl[Score_Min],1)),"Unknown")</f>
        <v>High Risk</v>
      </c>
      <c r="S1611" t="str">
        <f>IF(OR(Loans[[#This Row],[LoanStatus]]="Default",Loans[[#This Row],[LoanStatus]]="Watchlist",Loans[[#This Row],[CollateralRisk]]="Undersecured",Loans[[#This Row],[RiskCategory]]="High Risk"),"High Risk Exposure","Normal")</f>
        <v>High Risk Exposure</v>
      </c>
      <c r="T1611" t="str" cm="1">
        <f t="array" ref="T1611">_xlfn.IFS(
Loans[[#This Row],[LoanStatus]]="Default","Critical",
OR(Loans[[#This Row],[LoanStatus]]="Watchlist",Loans[[#This Row],[CollateralRisk]]="Undersecured",Loans[[#This Row],[RiskCategory]]="High Risk"),"High",
TRUE,"Normal"
)</f>
        <v>High</v>
      </c>
    </row>
    <row r="1612" spans="1:20" x14ac:dyDescent="0.35">
      <c r="A1612" t="s">
        <v>2430</v>
      </c>
      <c r="B1612" t="s">
        <v>1419</v>
      </c>
      <c r="C1612" t="s">
        <v>170</v>
      </c>
      <c r="D1612" t="s">
        <v>156</v>
      </c>
      <c r="E1612" s="34">
        <v>3000000</v>
      </c>
      <c r="F1612" s="29">
        <v>0.21729999999999999</v>
      </c>
      <c r="G1612" s="30">
        <v>45810</v>
      </c>
      <c r="H1612">
        <v>72</v>
      </c>
      <c r="I1612">
        <v>0</v>
      </c>
      <c r="J1612" s="34">
        <v>3900000</v>
      </c>
      <c r="K1612" t="s">
        <v>171</v>
      </c>
      <c r="L1612" s="34">
        <f>PMT(Loans[[#This Row],[InterestRate]]/12,Loans[[#This Row],[LoanTenureMonths]],-Loans[[#This Row],[LoanAmount]])</f>
        <v>74898.33672191044</v>
      </c>
      <c r="M1612" s="30">
        <f>EDATE(Loans[[#This Row],[LoanStartDate]],Loans[[#This Row],[LoanTenureMonths]])</f>
        <v>48001</v>
      </c>
      <c r="N1612" s="33">
        <f>IF(Loans[[#This Row],[LoanAmount]]=0,0,Loans[[#This Row],[CollateralValue]]/Loans[[#This Row],[LoanAmount]])</f>
        <v>1.3</v>
      </c>
      <c r="O1612" t="str">
        <f>IF(Loans[[#This Row],[CollateralCoverageRatio]]&lt;1,"Undersecured","Secured")</f>
        <v>Secured</v>
      </c>
      <c r="P1612" t="str">
        <f>_xlfn.XLOOKUP(Loans[[#This Row],[BranchCode]],BranchesTbl[BranchCode],BranchesTbl[BranchName])</f>
        <v>Thika</v>
      </c>
      <c r="Q1612">
        <f>_xlfn.XLOOKUP(Loans[[#This Row],[CustomerID]],CustomerTbl[CustomerID],CustomerTbl[RiskScore])</f>
        <v>459</v>
      </c>
      <c r="R1612" t="str">
        <f>IFERROR(INDEX(RiskTbl[Risk_Category],MATCH(Loans[[#This Row],[RiskScore]],RiskTbl[Score_Min],1)),"Unknown")</f>
        <v>High Risk</v>
      </c>
      <c r="S1612" t="str">
        <f>IF(OR(Loans[[#This Row],[LoanStatus]]="Default",Loans[[#This Row],[LoanStatus]]="Watchlist",Loans[[#This Row],[CollateralRisk]]="Undersecured",Loans[[#This Row],[RiskCategory]]="High Risk"),"High Risk Exposure","Normal")</f>
        <v>High Risk Exposure</v>
      </c>
      <c r="T1612" t="str" cm="1">
        <f t="array" ref="T1612">_xlfn.IFS(
Loans[[#This Row],[LoanStatus]]="Default","Critical",
OR(Loans[[#This Row],[LoanStatus]]="Watchlist",Loans[[#This Row],[CollateralRisk]]="Undersecured",Loans[[#This Row],[RiskCategory]]="High Risk"),"High",
TRUE,"Normal"
)</f>
        <v>High</v>
      </c>
    </row>
    <row r="1613" spans="1:20" x14ac:dyDescent="0.35">
      <c r="A1613" t="s">
        <v>2431</v>
      </c>
      <c r="B1613" t="s">
        <v>2240</v>
      </c>
      <c r="C1613" t="s">
        <v>193</v>
      </c>
      <c r="D1613" t="s">
        <v>158</v>
      </c>
      <c r="E1613" s="34">
        <v>3000000</v>
      </c>
      <c r="F1613" s="29">
        <v>0.1399</v>
      </c>
      <c r="G1613" s="30">
        <v>45893</v>
      </c>
      <c r="H1613">
        <v>12</v>
      </c>
      <c r="I1613">
        <v>20</v>
      </c>
      <c r="J1613" s="34">
        <v>2730000</v>
      </c>
      <c r="K1613" t="s">
        <v>171</v>
      </c>
      <c r="L1613" s="34">
        <f>PMT(Loans[[#This Row],[InterestRate]]/12,Loans[[#This Row],[LoanTenureMonths]],-Loans[[#This Row],[LoanAmount]])</f>
        <v>269347.23747745086</v>
      </c>
      <c r="M1613" s="30">
        <f>EDATE(Loans[[#This Row],[LoanStartDate]],Loans[[#This Row],[LoanTenureMonths]])</f>
        <v>46258</v>
      </c>
      <c r="N1613" s="33">
        <f>IF(Loans[[#This Row],[LoanAmount]]=0,0,Loans[[#This Row],[CollateralValue]]/Loans[[#This Row],[LoanAmount]])</f>
        <v>0.91</v>
      </c>
      <c r="O1613" t="str">
        <f>IF(Loans[[#This Row],[CollateralCoverageRatio]]&lt;1,"Undersecured","Secured")</f>
        <v>Undersecured</v>
      </c>
      <c r="P1613" t="str">
        <f>_xlfn.XLOOKUP(Loans[[#This Row],[BranchCode]],BranchesTbl[BranchCode],BranchesTbl[BranchName])</f>
        <v>Mombasa</v>
      </c>
      <c r="Q1613">
        <f>_xlfn.XLOOKUP(Loans[[#This Row],[CustomerID]],CustomerTbl[CustomerID],CustomerTbl[RiskScore])</f>
        <v>600</v>
      </c>
      <c r="R1613" t="str">
        <f>IFERROR(INDEX(RiskTbl[Risk_Category],MATCH(Loans[[#This Row],[RiskScore]],RiskTbl[Score_Min],1)),"Unknown")</f>
        <v>Medium Risk</v>
      </c>
      <c r="S1613" t="str">
        <f>IF(OR(Loans[[#This Row],[LoanStatus]]="Default",Loans[[#This Row],[LoanStatus]]="Watchlist",Loans[[#This Row],[CollateralRisk]]="Undersecured",Loans[[#This Row],[RiskCategory]]="High Risk"),"High Risk Exposure","Normal")</f>
        <v>High Risk Exposure</v>
      </c>
      <c r="T1613" t="str" cm="1">
        <f t="array" ref="T1613">_xlfn.IFS(
Loans[[#This Row],[LoanStatus]]="Default","Critical",
OR(Loans[[#This Row],[LoanStatus]]="Watchlist",Loans[[#This Row],[CollateralRisk]]="Undersecured",Loans[[#This Row],[RiskCategory]]="High Risk"),"High",
TRUE,"Normal"
)</f>
        <v>High</v>
      </c>
    </row>
    <row r="1614" spans="1:20" x14ac:dyDescent="0.35">
      <c r="A1614" t="s">
        <v>2432</v>
      </c>
      <c r="B1614" t="s">
        <v>377</v>
      </c>
      <c r="C1614" t="s">
        <v>187</v>
      </c>
      <c r="D1614" t="s">
        <v>155</v>
      </c>
      <c r="E1614" s="34">
        <v>500000</v>
      </c>
      <c r="F1614" s="29">
        <v>0.161</v>
      </c>
      <c r="G1614" s="30">
        <v>45517</v>
      </c>
      <c r="H1614">
        <v>36</v>
      </c>
      <c r="I1614">
        <v>120</v>
      </c>
      <c r="J1614" s="34">
        <v>0</v>
      </c>
      <c r="K1614" t="s">
        <v>178</v>
      </c>
      <c r="L1614" s="34">
        <f>PMT(Loans[[#This Row],[InterestRate]]/12,Loans[[#This Row],[LoanTenureMonths]],-Loans[[#This Row],[LoanAmount]])</f>
        <v>17603.211601880492</v>
      </c>
      <c r="M1614" s="30">
        <f>EDATE(Loans[[#This Row],[LoanStartDate]],Loans[[#This Row],[LoanTenureMonths]])</f>
        <v>46612</v>
      </c>
      <c r="N1614" s="33">
        <f>IF(Loans[[#This Row],[LoanAmount]]=0,0,Loans[[#This Row],[CollateralValue]]/Loans[[#This Row],[LoanAmount]])</f>
        <v>0</v>
      </c>
      <c r="O1614" t="str">
        <f>IF(Loans[[#This Row],[CollateralCoverageRatio]]&lt;1,"Undersecured","Secured")</f>
        <v>Undersecured</v>
      </c>
      <c r="P1614" t="str">
        <f>_xlfn.XLOOKUP(Loans[[#This Row],[BranchCode]],BranchesTbl[BranchCode],BranchesTbl[BranchName])</f>
        <v>Eldoret</v>
      </c>
      <c r="Q1614">
        <f>_xlfn.XLOOKUP(Loans[[#This Row],[CustomerID]],CustomerTbl[CustomerID],CustomerTbl[RiskScore])</f>
        <v>850</v>
      </c>
      <c r="R1614" t="str">
        <f>IFERROR(INDEX(RiskTbl[Risk_Category],MATCH(Loans[[#This Row],[RiskScore]],RiskTbl[Score_Min],1)),"Unknown")</f>
        <v>Prime</v>
      </c>
      <c r="S1614" t="str">
        <f>IF(OR(Loans[[#This Row],[LoanStatus]]="Default",Loans[[#This Row],[LoanStatus]]="Watchlist",Loans[[#This Row],[CollateralRisk]]="Undersecured",Loans[[#This Row],[RiskCategory]]="High Risk"),"High Risk Exposure","Normal")</f>
        <v>High Risk Exposure</v>
      </c>
      <c r="T1614" t="str" cm="1">
        <f t="array" ref="T1614">_xlfn.IFS(
Loans[[#This Row],[LoanStatus]]="Default","Critical",
OR(Loans[[#This Row],[LoanStatus]]="Watchlist",Loans[[#This Row],[CollateralRisk]]="Undersecured",Loans[[#This Row],[RiskCategory]]="High Risk"),"High",
TRUE,"Normal"
)</f>
        <v>Critical</v>
      </c>
    </row>
    <row r="1615" spans="1:20" x14ac:dyDescent="0.35">
      <c r="A1615" t="s">
        <v>2433</v>
      </c>
      <c r="B1615" t="s">
        <v>186</v>
      </c>
      <c r="C1615" t="s">
        <v>267</v>
      </c>
      <c r="D1615" t="s">
        <v>158</v>
      </c>
      <c r="E1615" s="34">
        <v>1000000</v>
      </c>
      <c r="F1615" s="29">
        <v>0.17280000000000001</v>
      </c>
      <c r="G1615" s="30">
        <v>44268</v>
      </c>
      <c r="H1615">
        <v>60</v>
      </c>
      <c r="I1615">
        <v>0</v>
      </c>
      <c r="J1615" s="34">
        <v>1190000</v>
      </c>
      <c r="K1615" t="s">
        <v>171</v>
      </c>
      <c r="L1615" s="34">
        <f>PMT(Loans[[#This Row],[InterestRate]]/12,Loans[[#This Row],[LoanTenureMonths]],-Loans[[#This Row],[LoanAmount]])</f>
        <v>25003.378443616024</v>
      </c>
      <c r="M1615" s="30">
        <f>EDATE(Loans[[#This Row],[LoanStartDate]],Loans[[#This Row],[LoanTenureMonths]])</f>
        <v>46094</v>
      </c>
      <c r="N1615" s="33">
        <f>IF(Loans[[#This Row],[LoanAmount]]=0,0,Loans[[#This Row],[CollateralValue]]/Loans[[#This Row],[LoanAmount]])</f>
        <v>1.19</v>
      </c>
      <c r="O1615" t="str">
        <f>IF(Loans[[#This Row],[CollateralCoverageRatio]]&lt;1,"Undersecured","Secured")</f>
        <v>Secured</v>
      </c>
      <c r="P1615" t="str">
        <f>_xlfn.XLOOKUP(Loans[[#This Row],[BranchCode]],BranchesTbl[BranchCode],BranchesTbl[BranchName])</f>
        <v>Malindi</v>
      </c>
      <c r="Q1615">
        <f>_xlfn.XLOOKUP(Loans[[#This Row],[CustomerID]],CustomerTbl[CustomerID],CustomerTbl[RiskScore])</f>
        <v>587</v>
      </c>
      <c r="R1615" t="str">
        <f>IFERROR(INDEX(RiskTbl[Risk_Category],MATCH(Loans[[#This Row],[RiskScore]],RiskTbl[Score_Min],1)),"Unknown")</f>
        <v>Medium Risk</v>
      </c>
      <c r="S1615" t="str">
        <f>IF(OR(Loans[[#This Row],[LoanStatus]]="Default",Loans[[#This Row],[LoanStatus]]="Watchlist",Loans[[#This Row],[CollateralRisk]]="Undersecured",Loans[[#This Row],[RiskCategory]]="High Risk"),"High Risk Exposure","Normal")</f>
        <v>Normal</v>
      </c>
      <c r="T1615" t="str" cm="1">
        <f t="array" ref="T1615">_xlfn.IFS(
Loans[[#This Row],[LoanStatus]]="Default","Critical",
OR(Loans[[#This Row],[LoanStatus]]="Watchlist",Loans[[#This Row],[CollateralRisk]]="Undersecured",Loans[[#This Row],[RiskCategory]]="High Risk"),"High",
TRUE,"Normal"
)</f>
        <v>Normal</v>
      </c>
    </row>
    <row r="1616" spans="1:20" x14ac:dyDescent="0.35">
      <c r="A1616" t="s">
        <v>2434</v>
      </c>
      <c r="B1616" t="s">
        <v>1153</v>
      </c>
      <c r="C1616" t="s">
        <v>190</v>
      </c>
      <c r="D1616" t="s">
        <v>156</v>
      </c>
      <c r="E1616" s="34">
        <v>25000000</v>
      </c>
      <c r="F1616" s="29">
        <v>0.17230000000000001</v>
      </c>
      <c r="G1616" s="30">
        <v>44635</v>
      </c>
      <c r="H1616">
        <v>12</v>
      </c>
      <c r="I1616">
        <v>90</v>
      </c>
      <c r="J1616" s="34">
        <v>24000000</v>
      </c>
      <c r="K1616" t="s">
        <v>199</v>
      </c>
      <c r="L1616" s="34">
        <f>PMT(Loans[[#This Row],[InterestRate]]/12,Loans[[#This Row],[LoanTenureMonths]],-Loans[[#This Row],[LoanAmount]])</f>
        <v>2282848.4575780896</v>
      </c>
      <c r="M1616" s="30">
        <f>EDATE(Loans[[#This Row],[LoanStartDate]],Loans[[#This Row],[LoanTenureMonths]])</f>
        <v>45000</v>
      </c>
      <c r="N1616" s="33">
        <f>IF(Loans[[#This Row],[LoanAmount]]=0,0,Loans[[#This Row],[CollateralValue]]/Loans[[#This Row],[LoanAmount]])</f>
        <v>0.96</v>
      </c>
      <c r="O1616" t="str">
        <f>IF(Loans[[#This Row],[CollateralCoverageRatio]]&lt;1,"Undersecured","Secured")</f>
        <v>Undersecured</v>
      </c>
      <c r="P1616" t="str">
        <f>_xlfn.XLOOKUP(Loans[[#This Row],[BranchCode]],BranchesTbl[BranchCode],BranchesTbl[BranchName])</f>
        <v>Nyeri</v>
      </c>
      <c r="Q1616">
        <f>_xlfn.XLOOKUP(Loans[[#This Row],[CustomerID]],CustomerTbl[CustomerID],CustomerTbl[RiskScore])</f>
        <v>468</v>
      </c>
      <c r="R1616" t="str">
        <f>IFERROR(INDEX(RiskTbl[Risk_Category],MATCH(Loans[[#This Row],[RiskScore]],RiskTbl[Score_Min],1)),"Unknown")</f>
        <v>High Risk</v>
      </c>
      <c r="S1616" t="str">
        <f>IF(OR(Loans[[#This Row],[LoanStatus]]="Default",Loans[[#This Row],[LoanStatus]]="Watchlist",Loans[[#This Row],[CollateralRisk]]="Undersecured",Loans[[#This Row],[RiskCategory]]="High Risk"),"High Risk Exposure","Normal")</f>
        <v>High Risk Exposure</v>
      </c>
      <c r="T1616" t="str" cm="1">
        <f t="array" ref="T1616">_xlfn.IFS(
Loans[[#This Row],[LoanStatus]]="Default","Critical",
OR(Loans[[#This Row],[LoanStatus]]="Watchlist",Loans[[#This Row],[CollateralRisk]]="Undersecured",Loans[[#This Row],[RiskCategory]]="High Risk"),"High",
TRUE,"Normal"
)</f>
        <v>High</v>
      </c>
    </row>
    <row r="1617" spans="1:20" x14ac:dyDescent="0.35">
      <c r="A1617" t="s">
        <v>2435</v>
      </c>
      <c r="B1617" t="s">
        <v>651</v>
      </c>
      <c r="C1617" t="s">
        <v>181</v>
      </c>
      <c r="D1617" t="s">
        <v>155</v>
      </c>
      <c r="E1617" s="34">
        <v>500000</v>
      </c>
      <c r="F1617" s="29">
        <v>0.2712</v>
      </c>
      <c r="G1617" s="30">
        <v>45150</v>
      </c>
      <c r="H1617">
        <v>72</v>
      </c>
      <c r="I1617">
        <v>120</v>
      </c>
      <c r="J1617" s="34">
        <v>0</v>
      </c>
      <c r="K1617" t="s">
        <v>178</v>
      </c>
      <c r="L1617" s="34">
        <f>PMT(Loans[[#This Row],[InterestRate]]/12,Loans[[#This Row],[LoanTenureMonths]],-Loans[[#This Row],[LoanAmount]])</f>
        <v>14126.246326582028</v>
      </c>
      <c r="M1617" s="30">
        <f>EDATE(Loans[[#This Row],[LoanStartDate]],Loans[[#This Row],[LoanTenureMonths]])</f>
        <v>47342</v>
      </c>
      <c r="N1617" s="33">
        <f>IF(Loans[[#This Row],[LoanAmount]]=0,0,Loans[[#This Row],[CollateralValue]]/Loans[[#This Row],[LoanAmount]])</f>
        <v>0</v>
      </c>
      <c r="O1617" t="str">
        <f>IF(Loans[[#This Row],[CollateralCoverageRatio]]&lt;1,"Undersecured","Secured")</f>
        <v>Undersecured</v>
      </c>
      <c r="P1617" t="str">
        <f>_xlfn.XLOOKUP(Loans[[#This Row],[BranchCode]],BranchesTbl[BranchCode],BranchesTbl[BranchName])</f>
        <v>Kitale</v>
      </c>
      <c r="Q1617">
        <f>_xlfn.XLOOKUP(Loans[[#This Row],[CustomerID]],CustomerTbl[CustomerID],CustomerTbl[RiskScore])</f>
        <v>539</v>
      </c>
      <c r="R1617" t="str">
        <f>IFERROR(INDEX(RiskTbl[Risk_Category],MATCH(Loans[[#This Row],[RiskScore]],RiskTbl[Score_Min],1)),"Unknown")</f>
        <v>High Risk</v>
      </c>
      <c r="S1617" t="str">
        <f>IF(OR(Loans[[#This Row],[LoanStatus]]="Default",Loans[[#This Row],[LoanStatus]]="Watchlist",Loans[[#This Row],[CollateralRisk]]="Undersecured",Loans[[#This Row],[RiskCategory]]="High Risk"),"High Risk Exposure","Normal")</f>
        <v>High Risk Exposure</v>
      </c>
      <c r="T1617" t="str" cm="1">
        <f t="array" ref="T1617">_xlfn.IFS(
Loans[[#This Row],[LoanStatus]]="Default","Critical",
OR(Loans[[#This Row],[LoanStatus]]="Watchlist",Loans[[#This Row],[CollateralRisk]]="Undersecured",Loans[[#This Row],[RiskCategory]]="High Risk"),"High",
TRUE,"Normal"
)</f>
        <v>Critical</v>
      </c>
    </row>
    <row r="1618" spans="1:20" x14ac:dyDescent="0.35">
      <c r="A1618" t="s">
        <v>2436</v>
      </c>
      <c r="B1618" t="s">
        <v>559</v>
      </c>
      <c r="C1618" t="s">
        <v>190</v>
      </c>
      <c r="D1618" t="s">
        <v>156</v>
      </c>
      <c r="E1618" s="34">
        <v>6000000</v>
      </c>
      <c r="F1618" s="29">
        <v>0.15759999999999999</v>
      </c>
      <c r="G1618" s="30">
        <v>44570</v>
      </c>
      <c r="H1618">
        <v>12</v>
      </c>
      <c r="I1618">
        <v>0</v>
      </c>
      <c r="J1618" s="34">
        <v>7620000</v>
      </c>
      <c r="K1618" t="s">
        <v>171</v>
      </c>
      <c r="L1618" s="34">
        <f>PMT(Loans[[#This Row],[InterestRate]]/12,Loans[[#This Row],[LoanTenureMonths]],-Loans[[#This Row],[LoanAmount]])</f>
        <v>543703.94313209387</v>
      </c>
      <c r="M1618" s="30">
        <f>EDATE(Loans[[#This Row],[LoanStartDate]],Loans[[#This Row],[LoanTenureMonths]])</f>
        <v>44935</v>
      </c>
      <c r="N1618" s="33">
        <f>IF(Loans[[#This Row],[LoanAmount]]=0,0,Loans[[#This Row],[CollateralValue]]/Loans[[#This Row],[LoanAmount]])</f>
        <v>1.27</v>
      </c>
      <c r="O1618" t="str">
        <f>IF(Loans[[#This Row],[CollateralCoverageRatio]]&lt;1,"Undersecured","Secured")</f>
        <v>Secured</v>
      </c>
      <c r="P1618" t="str">
        <f>_xlfn.XLOOKUP(Loans[[#This Row],[BranchCode]],BranchesTbl[BranchCode],BranchesTbl[BranchName])</f>
        <v>Nyeri</v>
      </c>
      <c r="Q1618">
        <f>_xlfn.XLOOKUP(Loans[[#This Row],[CustomerID]],CustomerTbl[CustomerID],CustomerTbl[RiskScore])</f>
        <v>306</v>
      </c>
      <c r="R1618" t="str">
        <f>IFERROR(INDEX(RiskTbl[Risk_Category],MATCH(Loans[[#This Row],[RiskScore]],RiskTbl[Score_Min],1)),"Unknown")</f>
        <v>High Risk</v>
      </c>
      <c r="S1618" t="str">
        <f>IF(OR(Loans[[#This Row],[LoanStatus]]="Default",Loans[[#This Row],[LoanStatus]]="Watchlist",Loans[[#This Row],[CollateralRisk]]="Undersecured",Loans[[#This Row],[RiskCategory]]="High Risk"),"High Risk Exposure","Normal")</f>
        <v>High Risk Exposure</v>
      </c>
      <c r="T1618" t="str" cm="1">
        <f t="array" ref="T1618">_xlfn.IFS(
Loans[[#This Row],[LoanStatus]]="Default","Critical",
OR(Loans[[#This Row],[LoanStatus]]="Watchlist",Loans[[#This Row],[CollateralRisk]]="Undersecured",Loans[[#This Row],[RiskCategory]]="High Risk"),"High",
TRUE,"Normal"
)</f>
        <v>High</v>
      </c>
    </row>
    <row r="1619" spans="1:20" x14ac:dyDescent="0.35">
      <c r="A1619" t="s">
        <v>2437</v>
      </c>
      <c r="B1619" t="s">
        <v>1649</v>
      </c>
      <c r="C1619" t="s">
        <v>181</v>
      </c>
      <c r="D1619" t="s">
        <v>156</v>
      </c>
      <c r="E1619" s="34">
        <v>1000000</v>
      </c>
      <c r="F1619" s="29">
        <v>0.161</v>
      </c>
      <c r="G1619" s="30">
        <v>44032</v>
      </c>
      <c r="H1619">
        <v>24</v>
      </c>
      <c r="I1619">
        <v>5</v>
      </c>
      <c r="J1619" s="34">
        <v>630000</v>
      </c>
      <c r="K1619" t="s">
        <v>171</v>
      </c>
      <c r="L1619" s="34">
        <f>PMT(Loans[[#This Row],[InterestRate]]/12,Loans[[#This Row],[LoanTenureMonths]],-Loans[[#This Row],[LoanAmount]])</f>
        <v>49010.904885459036</v>
      </c>
      <c r="M1619" s="30">
        <f>EDATE(Loans[[#This Row],[LoanStartDate]],Loans[[#This Row],[LoanTenureMonths]])</f>
        <v>44762</v>
      </c>
      <c r="N1619" s="33">
        <f>IF(Loans[[#This Row],[LoanAmount]]=0,0,Loans[[#This Row],[CollateralValue]]/Loans[[#This Row],[LoanAmount]])</f>
        <v>0.63</v>
      </c>
      <c r="O1619" t="str">
        <f>IF(Loans[[#This Row],[CollateralCoverageRatio]]&lt;1,"Undersecured","Secured")</f>
        <v>Undersecured</v>
      </c>
      <c r="P1619" t="str">
        <f>_xlfn.XLOOKUP(Loans[[#This Row],[BranchCode]],BranchesTbl[BranchCode],BranchesTbl[BranchName])</f>
        <v>Kitale</v>
      </c>
      <c r="Q1619">
        <f>_xlfn.XLOOKUP(Loans[[#This Row],[CustomerID]],CustomerTbl[CustomerID],CustomerTbl[RiskScore])</f>
        <v>578</v>
      </c>
      <c r="R1619" t="str">
        <f>IFERROR(INDEX(RiskTbl[Risk_Category],MATCH(Loans[[#This Row],[RiskScore]],RiskTbl[Score_Min],1)),"Unknown")</f>
        <v>High Risk</v>
      </c>
      <c r="S1619" t="str">
        <f>IF(OR(Loans[[#This Row],[LoanStatus]]="Default",Loans[[#This Row],[LoanStatus]]="Watchlist",Loans[[#This Row],[CollateralRisk]]="Undersecured",Loans[[#This Row],[RiskCategory]]="High Risk"),"High Risk Exposure","Normal")</f>
        <v>High Risk Exposure</v>
      </c>
      <c r="T1619" t="str" cm="1">
        <f t="array" ref="T1619">_xlfn.IFS(
Loans[[#This Row],[LoanStatus]]="Default","Critical",
OR(Loans[[#This Row],[LoanStatus]]="Watchlist",Loans[[#This Row],[CollateralRisk]]="Undersecured",Loans[[#This Row],[RiskCategory]]="High Risk"),"High",
TRUE,"Normal"
)</f>
        <v>High</v>
      </c>
    </row>
    <row r="1620" spans="1:20" x14ac:dyDescent="0.35">
      <c r="A1620" t="s">
        <v>2438</v>
      </c>
      <c r="B1620" t="s">
        <v>1826</v>
      </c>
      <c r="C1620" t="s">
        <v>170</v>
      </c>
      <c r="D1620" t="s">
        <v>155</v>
      </c>
      <c r="E1620" s="34">
        <v>1000000</v>
      </c>
      <c r="F1620" s="29">
        <v>0.1666</v>
      </c>
      <c r="G1620" s="30">
        <v>45366</v>
      </c>
      <c r="H1620">
        <v>48</v>
      </c>
      <c r="I1620">
        <v>5</v>
      </c>
      <c r="J1620" s="34">
        <v>0</v>
      </c>
      <c r="K1620" t="s">
        <v>171</v>
      </c>
      <c r="L1620" s="34">
        <f>PMT(Loans[[#This Row],[InterestRate]]/12,Loans[[#This Row],[LoanTenureMonths]],-Loans[[#This Row],[LoanAmount]])</f>
        <v>28679.438737851684</v>
      </c>
      <c r="M1620" s="30">
        <f>EDATE(Loans[[#This Row],[LoanStartDate]],Loans[[#This Row],[LoanTenureMonths]])</f>
        <v>46827</v>
      </c>
      <c r="N1620" s="33">
        <f>IF(Loans[[#This Row],[LoanAmount]]=0,0,Loans[[#This Row],[CollateralValue]]/Loans[[#This Row],[LoanAmount]])</f>
        <v>0</v>
      </c>
      <c r="O1620" t="str">
        <f>IF(Loans[[#This Row],[CollateralCoverageRatio]]&lt;1,"Undersecured","Secured")</f>
        <v>Undersecured</v>
      </c>
      <c r="P1620" t="str">
        <f>_xlfn.XLOOKUP(Loans[[#This Row],[BranchCode]],BranchesTbl[BranchCode],BranchesTbl[BranchName])</f>
        <v>Thika</v>
      </c>
      <c r="Q1620">
        <f>_xlfn.XLOOKUP(Loans[[#This Row],[CustomerID]],CustomerTbl[CustomerID],CustomerTbl[RiskScore])</f>
        <v>498</v>
      </c>
      <c r="R1620" t="str">
        <f>IFERROR(INDEX(RiskTbl[Risk_Category],MATCH(Loans[[#This Row],[RiskScore]],RiskTbl[Score_Min],1)),"Unknown")</f>
        <v>High Risk</v>
      </c>
      <c r="S1620" t="str">
        <f>IF(OR(Loans[[#This Row],[LoanStatus]]="Default",Loans[[#This Row],[LoanStatus]]="Watchlist",Loans[[#This Row],[CollateralRisk]]="Undersecured",Loans[[#This Row],[RiskCategory]]="High Risk"),"High Risk Exposure","Normal")</f>
        <v>High Risk Exposure</v>
      </c>
      <c r="T1620" t="str" cm="1">
        <f t="array" ref="T1620">_xlfn.IFS(
Loans[[#This Row],[LoanStatus]]="Default","Critical",
OR(Loans[[#This Row],[LoanStatus]]="Watchlist",Loans[[#This Row],[CollateralRisk]]="Undersecured",Loans[[#This Row],[RiskCategory]]="High Risk"),"High",
TRUE,"Normal"
)</f>
        <v>High</v>
      </c>
    </row>
    <row r="1621" spans="1:20" x14ac:dyDescent="0.35">
      <c r="A1621" t="s">
        <v>2439</v>
      </c>
      <c r="B1621" t="s">
        <v>337</v>
      </c>
      <c r="C1621" t="s">
        <v>190</v>
      </c>
      <c r="D1621" t="s">
        <v>156</v>
      </c>
      <c r="E1621" s="34">
        <v>1000000</v>
      </c>
      <c r="F1621" s="29">
        <v>0.22370000000000001</v>
      </c>
      <c r="G1621" s="30">
        <v>45786</v>
      </c>
      <c r="H1621">
        <v>24</v>
      </c>
      <c r="I1621">
        <v>120</v>
      </c>
      <c r="J1621" s="34">
        <v>1100000</v>
      </c>
      <c r="K1621" t="s">
        <v>178</v>
      </c>
      <c r="L1621" s="34">
        <f>PMT(Loans[[#This Row],[InterestRate]]/12,Loans[[#This Row],[LoanTenureMonths]],-Loans[[#This Row],[LoanAmount]])</f>
        <v>52061.052484653497</v>
      </c>
      <c r="M1621" s="30">
        <f>EDATE(Loans[[#This Row],[LoanStartDate]],Loans[[#This Row],[LoanTenureMonths]])</f>
        <v>46516</v>
      </c>
      <c r="N1621" s="33">
        <f>IF(Loans[[#This Row],[LoanAmount]]=0,0,Loans[[#This Row],[CollateralValue]]/Loans[[#This Row],[LoanAmount]])</f>
        <v>1.1000000000000001</v>
      </c>
      <c r="O1621" t="str">
        <f>IF(Loans[[#This Row],[CollateralCoverageRatio]]&lt;1,"Undersecured","Secured")</f>
        <v>Secured</v>
      </c>
      <c r="P1621" t="str">
        <f>_xlfn.XLOOKUP(Loans[[#This Row],[BranchCode]],BranchesTbl[BranchCode],BranchesTbl[BranchName])</f>
        <v>Nyeri</v>
      </c>
      <c r="Q1621">
        <f>_xlfn.XLOOKUP(Loans[[#This Row],[CustomerID]],CustomerTbl[CustomerID],CustomerTbl[RiskScore])</f>
        <v>402</v>
      </c>
      <c r="R1621" t="str">
        <f>IFERROR(INDEX(RiskTbl[Risk_Category],MATCH(Loans[[#This Row],[RiskScore]],RiskTbl[Score_Min],1)),"Unknown")</f>
        <v>High Risk</v>
      </c>
      <c r="S1621" t="str">
        <f>IF(OR(Loans[[#This Row],[LoanStatus]]="Default",Loans[[#This Row],[LoanStatus]]="Watchlist",Loans[[#This Row],[CollateralRisk]]="Undersecured",Loans[[#This Row],[RiskCategory]]="High Risk"),"High Risk Exposure","Normal")</f>
        <v>High Risk Exposure</v>
      </c>
      <c r="T1621" t="str" cm="1">
        <f t="array" ref="T1621">_xlfn.IFS(
Loans[[#This Row],[LoanStatus]]="Default","Critical",
OR(Loans[[#This Row],[LoanStatus]]="Watchlist",Loans[[#This Row],[CollateralRisk]]="Undersecured",Loans[[#This Row],[RiskCategory]]="High Risk"),"High",
TRUE,"Normal"
)</f>
        <v>Critical</v>
      </c>
    </row>
    <row r="1622" spans="1:20" x14ac:dyDescent="0.35">
      <c r="A1622" t="s">
        <v>2440</v>
      </c>
      <c r="B1622" t="s">
        <v>1442</v>
      </c>
      <c r="C1622" t="s">
        <v>190</v>
      </c>
      <c r="D1622" t="s">
        <v>158</v>
      </c>
      <c r="E1622" s="34">
        <v>6000000</v>
      </c>
      <c r="F1622" s="29">
        <v>0.15340000000000001</v>
      </c>
      <c r="G1622" s="30">
        <v>44034</v>
      </c>
      <c r="H1622">
        <v>60</v>
      </c>
      <c r="I1622">
        <v>120</v>
      </c>
      <c r="J1622" s="34">
        <v>6300000</v>
      </c>
      <c r="K1622" t="s">
        <v>178</v>
      </c>
      <c r="L1622" s="34">
        <f>PMT(Loans[[#This Row],[InterestRate]]/12,Loans[[#This Row],[LoanTenureMonths]],-Loans[[#This Row],[LoanAmount]])</f>
        <v>143812.63558513721</v>
      </c>
      <c r="M1622" s="30">
        <f>EDATE(Loans[[#This Row],[LoanStartDate]],Loans[[#This Row],[LoanTenureMonths]])</f>
        <v>45860</v>
      </c>
      <c r="N1622" s="33">
        <f>IF(Loans[[#This Row],[LoanAmount]]=0,0,Loans[[#This Row],[CollateralValue]]/Loans[[#This Row],[LoanAmount]])</f>
        <v>1.05</v>
      </c>
      <c r="O1622" t="str">
        <f>IF(Loans[[#This Row],[CollateralCoverageRatio]]&lt;1,"Undersecured","Secured")</f>
        <v>Secured</v>
      </c>
      <c r="P1622" t="str">
        <f>_xlfn.XLOOKUP(Loans[[#This Row],[BranchCode]],BranchesTbl[BranchCode],BranchesTbl[BranchName])</f>
        <v>Nyeri</v>
      </c>
      <c r="Q1622">
        <f>_xlfn.XLOOKUP(Loans[[#This Row],[CustomerID]],CustomerTbl[CustomerID],CustomerTbl[RiskScore])</f>
        <v>532</v>
      </c>
      <c r="R1622" t="str">
        <f>IFERROR(INDEX(RiskTbl[Risk_Category],MATCH(Loans[[#This Row],[RiskScore]],RiskTbl[Score_Min],1)),"Unknown")</f>
        <v>High Risk</v>
      </c>
      <c r="S1622" t="str">
        <f>IF(OR(Loans[[#This Row],[LoanStatus]]="Default",Loans[[#This Row],[LoanStatus]]="Watchlist",Loans[[#This Row],[CollateralRisk]]="Undersecured",Loans[[#This Row],[RiskCategory]]="High Risk"),"High Risk Exposure","Normal")</f>
        <v>High Risk Exposure</v>
      </c>
      <c r="T1622" t="str" cm="1">
        <f t="array" ref="T1622">_xlfn.IFS(
Loans[[#This Row],[LoanStatus]]="Default","Critical",
OR(Loans[[#This Row],[LoanStatus]]="Watchlist",Loans[[#This Row],[CollateralRisk]]="Undersecured",Loans[[#This Row],[RiskCategory]]="High Risk"),"High",
TRUE,"Normal"
)</f>
        <v>Critical</v>
      </c>
    </row>
    <row r="1623" spans="1:20" x14ac:dyDescent="0.35">
      <c r="A1623" t="s">
        <v>2441</v>
      </c>
      <c r="B1623" t="s">
        <v>245</v>
      </c>
      <c r="C1623" t="s">
        <v>219</v>
      </c>
      <c r="D1623" t="s">
        <v>157</v>
      </c>
      <c r="E1623" s="34">
        <v>25000000</v>
      </c>
      <c r="F1623" s="29">
        <v>0.128</v>
      </c>
      <c r="G1623" s="30">
        <v>45741</v>
      </c>
      <c r="H1623">
        <v>36</v>
      </c>
      <c r="I1623">
        <v>10</v>
      </c>
      <c r="J1623" s="34">
        <v>21500000</v>
      </c>
      <c r="K1623" t="s">
        <v>171</v>
      </c>
      <c r="L1623" s="34">
        <f>PMT(Loans[[#This Row],[InterestRate]]/12,Loans[[#This Row],[LoanTenureMonths]],-Loans[[#This Row],[LoanAmount]])</f>
        <v>839942.50662439235</v>
      </c>
      <c r="M1623" s="30">
        <f>EDATE(Loans[[#This Row],[LoanStartDate]],Loans[[#This Row],[LoanTenureMonths]])</f>
        <v>46837</v>
      </c>
      <c r="N1623" s="33">
        <f>IF(Loans[[#This Row],[LoanAmount]]=0,0,Loans[[#This Row],[CollateralValue]]/Loans[[#This Row],[LoanAmount]])</f>
        <v>0.86</v>
      </c>
      <c r="O1623" t="str">
        <f>IF(Loans[[#This Row],[CollateralCoverageRatio]]&lt;1,"Undersecured","Secured")</f>
        <v>Undersecured</v>
      </c>
      <c r="P1623" t="str">
        <f>_xlfn.XLOOKUP(Loans[[#This Row],[BranchCode]],BranchesTbl[BranchCode],BranchesTbl[BranchName])</f>
        <v>Meru</v>
      </c>
      <c r="Q1623">
        <f>_xlfn.XLOOKUP(Loans[[#This Row],[CustomerID]],CustomerTbl[CustomerID],CustomerTbl[RiskScore])</f>
        <v>763</v>
      </c>
      <c r="R1623" t="str">
        <f>IFERROR(INDEX(RiskTbl[Risk_Category],MATCH(Loans[[#This Row],[RiskScore]],RiskTbl[Score_Min],1)),"Unknown")</f>
        <v>Very Low Risk</v>
      </c>
      <c r="S1623" t="str">
        <f>IF(OR(Loans[[#This Row],[LoanStatus]]="Default",Loans[[#This Row],[LoanStatus]]="Watchlist",Loans[[#This Row],[CollateralRisk]]="Undersecured",Loans[[#This Row],[RiskCategory]]="High Risk"),"High Risk Exposure","Normal")</f>
        <v>High Risk Exposure</v>
      </c>
      <c r="T1623" t="str" cm="1">
        <f t="array" ref="T1623">_xlfn.IFS(
Loans[[#This Row],[LoanStatus]]="Default","Critical",
OR(Loans[[#This Row],[LoanStatus]]="Watchlist",Loans[[#This Row],[CollateralRisk]]="Undersecured",Loans[[#This Row],[RiskCategory]]="High Risk"),"High",
TRUE,"Normal"
)</f>
        <v>High</v>
      </c>
    </row>
    <row r="1624" spans="1:20" x14ac:dyDescent="0.35">
      <c r="A1624" t="s">
        <v>2442</v>
      </c>
      <c r="B1624" t="s">
        <v>2443</v>
      </c>
      <c r="C1624" t="s">
        <v>181</v>
      </c>
      <c r="D1624" t="s">
        <v>156</v>
      </c>
      <c r="E1624" s="34">
        <v>1000000</v>
      </c>
      <c r="F1624" s="29">
        <v>0.1956</v>
      </c>
      <c r="G1624" s="30">
        <v>45966</v>
      </c>
      <c r="H1624">
        <v>36</v>
      </c>
      <c r="I1624">
        <v>10</v>
      </c>
      <c r="J1624" s="34">
        <v>1000000</v>
      </c>
      <c r="K1624" t="s">
        <v>171</v>
      </c>
      <c r="L1624" s="34">
        <f>PMT(Loans[[#This Row],[InterestRate]]/12,Loans[[#This Row],[LoanTenureMonths]],-Loans[[#This Row],[LoanAmount]])</f>
        <v>36939.771378982077</v>
      </c>
      <c r="M1624" s="30">
        <f>EDATE(Loans[[#This Row],[LoanStartDate]],Loans[[#This Row],[LoanTenureMonths]])</f>
        <v>47062</v>
      </c>
      <c r="N1624" s="33">
        <f>IF(Loans[[#This Row],[LoanAmount]]=0,0,Loans[[#This Row],[CollateralValue]]/Loans[[#This Row],[LoanAmount]])</f>
        <v>1</v>
      </c>
      <c r="O1624" t="str">
        <f>IF(Loans[[#This Row],[CollateralCoverageRatio]]&lt;1,"Undersecured","Secured")</f>
        <v>Secured</v>
      </c>
      <c r="P1624" t="str">
        <f>_xlfn.XLOOKUP(Loans[[#This Row],[BranchCode]],BranchesTbl[BranchCode],BranchesTbl[BranchName])</f>
        <v>Kitale</v>
      </c>
      <c r="Q1624">
        <f>_xlfn.XLOOKUP(Loans[[#This Row],[CustomerID]],CustomerTbl[CustomerID],CustomerTbl[RiskScore])</f>
        <v>304</v>
      </c>
      <c r="R1624" t="str">
        <f>IFERROR(INDEX(RiskTbl[Risk_Category],MATCH(Loans[[#This Row],[RiskScore]],RiskTbl[Score_Min],1)),"Unknown")</f>
        <v>High Risk</v>
      </c>
      <c r="S1624" t="str">
        <f>IF(OR(Loans[[#This Row],[LoanStatus]]="Default",Loans[[#This Row],[LoanStatus]]="Watchlist",Loans[[#This Row],[CollateralRisk]]="Undersecured",Loans[[#This Row],[RiskCategory]]="High Risk"),"High Risk Exposure","Normal")</f>
        <v>High Risk Exposure</v>
      </c>
      <c r="T1624" t="str" cm="1">
        <f t="array" ref="T1624">_xlfn.IFS(
Loans[[#This Row],[LoanStatus]]="Default","Critical",
OR(Loans[[#This Row],[LoanStatus]]="Watchlist",Loans[[#This Row],[CollateralRisk]]="Undersecured",Loans[[#This Row],[RiskCategory]]="High Risk"),"High",
TRUE,"Normal"
)</f>
        <v>High</v>
      </c>
    </row>
    <row r="1625" spans="1:20" x14ac:dyDescent="0.35">
      <c r="A1625" t="s">
        <v>2444</v>
      </c>
      <c r="B1625" t="s">
        <v>1357</v>
      </c>
      <c r="C1625" t="s">
        <v>270</v>
      </c>
      <c r="D1625" t="s">
        <v>158</v>
      </c>
      <c r="E1625" s="34">
        <v>3000000</v>
      </c>
      <c r="F1625" s="29">
        <v>0.19689999999999999</v>
      </c>
      <c r="G1625" s="30">
        <v>45028</v>
      </c>
      <c r="H1625">
        <v>36</v>
      </c>
      <c r="I1625">
        <v>10</v>
      </c>
      <c r="J1625" s="34">
        <v>3510000</v>
      </c>
      <c r="K1625" t="s">
        <v>171</v>
      </c>
      <c r="L1625" s="34">
        <f>PMT(Loans[[#This Row],[InterestRate]]/12,Loans[[#This Row],[LoanTenureMonths]],-Loans[[#This Row],[LoanAmount]])</f>
        <v>111017.4556542346</v>
      </c>
      <c r="M1625" s="30">
        <f>EDATE(Loans[[#This Row],[LoanStartDate]],Loans[[#This Row],[LoanTenureMonths]])</f>
        <v>46124</v>
      </c>
      <c r="N1625" s="33">
        <f>IF(Loans[[#This Row],[LoanAmount]]=0,0,Loans[[#This Row],[CollateralValue]]/Loans[[#This Row],[LoanAmount]])</f>
        <v>1.17</v>
      </c>
      <c r="O1625" t="str">
        <f>IF(Loans[[#This Row],[CollateralCoverageRatio]]&lt;1,"Undersecured","Secured")</f>
        <v>Secured</v>
      </c>
      <c r="P1625" t="str">
        <f>_xlfn.XLOOKUP(Loans[[#This Row],[BranchCode]],BranchesTbl[BranchCode],BranchesTbl[BranchName])</f>
        <v>Nakuru</v>
      </c>
      <c r="Q1625">
        <f>_xlfn.XLOOKUP(Loans[[#This Row],[CustomerID]],CustomerTbl[CustomerID],CustomerTbl[RiskScore])</f>
        <v>311</v>
      </c>
      <c r="R1625" t="str">
        <f>IFERROR(INDEX(RiskTbl[Risk_Category],MATCH(Loans[[#This Row],[RiskScore]],RiskTbl[Score_Min],1)),"Unknown")</f>
        <v>High Risk</v>
      </c>
      <c r="S1625" t="str">
        <f>IF(OR(Loans[[#This Row],[LoanStatus]]="Default",Loans[[#This Row],[LoanStatus]]="Watchlist",Loans[[#This Row],[CollateralRisk]]="Undersecured",Loans[[#This Row],[RiskCategory]]="High Risk"),"High Risk Exposure","Normal")</f>
        <v>High Risk Exposure</v>
      </c>
      <c r="T1625" t="str" cm="1">
        <f t="array" ref="T1625">_xlfn.IFS(
Loans[[#This Row],[LoanStatus]]="Default","Critical",
OR(Loans[[#This Row],[LoanStatus]]="Watchlist",Loans[[#This Row],[CollateralRisk]]="Undersecured",Loans[[#This Row],[RiskCategory]]="High Risk"),"High",
TRUE,"Normal"
)</f>
        <v>High</v>
      </c>
    </row>
    <row r="1626" spans="1:20" x14ac:dyDescent="0.35">
      <c r="A1626" t="s">
        <v>2445</v>
      </c>
      <c r="B1626" t="s">
        <v>296</v>
      </c>
      <c r="C1626" t="s">
        <v>267</v>
      </c>
      <c r="D1626" t="s">
        <v>157</v>
      </c>
      <c r="E1626" s="34">
        <v>80000000</v>
      </c>
      <c r="F1626" s="29">
        <v>9.1300000000000006E-2</v>
      </c>
      <c r="G1626" s="30">
        <v>45645</v>
      </c>
      <c r="H1626">
        <v>72</v>
      </c>
      <c r="I1626">
        <v>10</v>
      </c>
      <c r="J1626" s="34">
        <v>86400000</v>
      </c>
      <c r="K1626" t="s">
        <v>171</v>
      </c>
      <c r="L1626" s="34">
        <f>PMT(Loans[[#This Row],[InterestRate]]/12,Loans[[#This Row],[LoanTenureMonths]],-Loans[[#This Row],[LoanAmount]])</f>
        <v>1447209.9935613053</v>
      </c>
      <c r="M1626" s="30">
        <f>EDATE(Loans[[#This Row],[LoanStartDate]],Loans[[#This Row],[LoanTenureMonths]])</f>
        <v>47836</v>
      </c>
      <c r="N1626" s="33">
        <f>IF(Loans[[#This Row],[LoanAmount]]=0,0,Loans[[#This Row],[CollateralValue]]/Loans[[#This Row],[LoanAmount]])</f>
        <v>1.08</v>
      </c>
      <c r="O1626" t="str">
        <f>IF(Loans[[#This Row],[CollateralCoverageRatio]]&lt;1,"Undersecured","Secured")</f>
        <v>Secured</v>
      </c>
      <c r="P1626" t="str">
        <f>_xlfn.XLOOKUP(Loans[[#This Row],[BranchCode]],BranchesTbl[BranchCode],BranchesTbl[BranchName])</f>
        <v>Malindi</v>
      </c>
      <c r="Q1626">
        <f>_xlfn.XLOOKUP(Loans[[#This Row],[CustomerID]],CustomerTbl[CustomerID],CustomerTbl[RiskScore])</f>
        <v>847</v>
      </c>
      <c r="R1626" t="str">
        <f>IFERROR(INDEX(RiskTbl[Risk_Category],MATCH(Loans[[#This Row],[RiskScore]],RiskTbl[Score_Min],1)),"Unknown")</f>
        <v>Prime</v>
      </c>
      <c r="S1626" t="str">
        <f>IF(OR(Loans[[#This Row],[LoanStatus]]="Default",Loans[[#This Row],[LoanStatus]]="Watchlist",Loans[[#This Row],[CollateralRisk]]="Undersecured",Loans[[#This Row],[RiskCategory]]="High Risk"),"High Risk Exposure","Normal")</f>
        <v>Normal</v>
      </c>
      <c r="T1626" t="str" cm="1">
        <f t="array" ref="T1626">_xlfn.IFS(
Loans[[#This Row],[LoanStatus]]="Default","Critical",
OR(Loans[[#This Row],[LoanStatus]]="Watchlist",Loans[[#This Row],[CollateralRisk]]="Undersecured",Loans[[#This Row],[RiskCategory]]="High Risk"),"High",
TRUE,"Normal"
)</f>
        <v>Normal</v>
      </c>
    </row>
    <row r="1627" spans="1:20" x14ac:dyDescent="0.35">
      <c r="A1627" t="s">
        <v>2446</v>
      </c>
      <c r="B1627" t="s">
        <v>2244</v>
      </c>
      <c r="C1627" t="s">
        <v>184</v>
      </c>
      <c r="D1627" t="s">
        <v>158</v>
      </c>
      <c r="E1627" s="34">
        <v>1000000</v>
      </c>
      <c r="F1627" s="29">
        <v>0.1318</v>
      </c>
      <c r="G1627" s="30">
        <v>44986</v>
      </c>
      <c r="H1627">
        <v>12</v>
      </c>
      <c r="I1627">
        <v>120</v>
      </c>
      <c r="J1627" s="34">
        <v>560000</v>
      </c>
      <c r="K1627" t="s">
        <v>178</v>
      </c>
      <c r="L1627" s="34">
        <f>PMT(Loans[[#This Row],[InterestRate]]/12,Loans[[#This Row],[LoanTenureMonths]],-Loans[[#This Row],[LoanAmount]])</f>
        <v>89401.747323262403</v>
      </c>
      <c r="M1627" s="30">
        <f>EDATE(Loans[[#This Row],[LoanStartDate]],Loans[[#This Row],[LoanTenureMonths]])</f>
        <v>45352</v>
      </c>
      <c r="N1627" s="33">
        <f>IF(Loans[[#This Row],[LoanAmount]]=0,0,Loans[[#This Row],[CollateralValue]]/Loans[[#This Row],[LoanAmount]])</f>
        <v>0.56000000000000005</v>
      </c>
      <c r="O1627" t="str">
        <f>IF(Loans[[#This Row],[CollateralCoverageRatio]]&lt;1,"Undersecured","Secured")</f>
        <v>Undersecured</v>
      </c>
      <c r="P1627" t="str">
        <f>_xlfn.XLOOKUP(Loans[[#This Row],[BranchCode]],BranchesTbl[BranchCode],BranchesTbl[BranchName])</f>
        <v>Kisumu</v>
      </c>
      <c r="Q1627">
        <f>_xlfn.XLOOKUP(Loans[[#This Row],[CustomerID]],CustomerTbl[CustomerID],CustomerTbl[RiskScore])</f>
        <v>625</v>
      </c>
      <c r="R1627" t="str">
        <f>IFERROR(INDEX(RiskTbl[Risk_Category],MATCH(Loans[[#This Row],[RiskScore]],RiskTbl[Score_Min],1)),"Unknown")</f>
        <v>Medium Risk</v>
      </c>
      <c r="S1627" t="str">
        <f>IF(OR(Loans[[#This Row],[LoanStatus]]="Default",Loans[[#This Row],[LoanStatus]]="Watchlist",Loans[[#This Row],[CollateralRisk]]="Undersecured",Loans[[#This Row],[RiskCategory]]="High Risk"),"High Risk Exposure","Normal")</f>
        <v>High Risk Exposure</v>
      </c>
      <c r="T1627" t="str" cm="1">
        <f t="array" ref="T1627">_xlfn.IFS(
Loans[[#This Row],[LoanStatus]]="Default","Critical",
OR(Loans[[#This Row],[LoanStatus]]="Watchlist",Loans[[#This Row],[CollateralRisk]]="Undersecured",Loans[[#This Row],[RiskCategory]]="High Risk"),"High",
TRUE,"Normal"
)</f>
        <v>Critical</v>
      </c>
    </row>
    <row r="1628" spans="1:20" x14ac:dyDescent="0.35">
      <c r="A1628" t="s">
        <v>2447</v>
      </c>
      <c r="B1628" t="s">
        <v>391</v>
      </c>
      <c r="C1628" t="s">
        <v>184</v>
      </c>
      <c r="D1628" t="s">
        <v>155</v>
      </c>
      <c r="E1628" s="34">
        <v>100000</v>
      </c>
      <c r="F1628" s="29">
        <v>0.16009999999999999</v>
      </c>
      <c r="G1628" s="30">
        <v>44901</v>
      </c>
      <c r="H1628">
        <v>60</v>
      </c>
      <c r="I1628">
        <v>10</v>
      </c>
      <c r="J1628" s="34">
        <v>0</v>
      </c>
      <c r="K1628" t="s">
        <v>171</v>
      </c>
      <c r="L1628" s="34">
        <f>PMT(Loans[[#This Row],[InterestRate]]/12,Loans[[#This Row],[LoanTenureMonths]],-Loans[[#This Row],[LoanAmount]])</f>
        <v>2432.3370760029666</v>
      </c>
      <c r="M1628" s="30">
        <f>EDATE(Loans[[#This Row],[LoanStartDate]],Loans[[#This Row],[LoanTenureMonths]])</f>
        <v>46727</v>
      </c>
      <c r="N1628" s="33">
        <f>IF(Loans[[#This Row],[LoanAmount]]=0,0,Loans[[#This Row],[CollateralValue]]/Loans[[#This Row],[LoanAmount]])</f>
        <v>0</v>
      </c>
      <c r="O1628" t="str">
        <f>IF(Loans[[#This Row],[CollateralCoverageRatio]]&lt;1,"Undersecured","Secured")</f>
        <v>Undersecured</v>
      </c>
      <c r="P1628" t="str">
        <f>_xlfn.XLOOKUP(Loans[[#This Row],[BranchCode]],BranchesTbl[BranchCode],BranchesTbl[BranchName])</f>
        <v>Kisumu</v>
      </c>
      <c r="Q1628">
        <f>_xlfn.XLOOKUP(Loans[[#This Row],[CustomerID]],CustomerTbl[CustomerID],CustomerTbl[RiskScore])</f>
        <v>411</v>
      </c>
      <c r="R1628" t="str">
        <f>IFERROR(INDEX(RiskTbl[Risk_Category],MATCH(Loans[[#This Row],[RiskScore]],RiskTbl[Score_Min],1)),"Unknown")</f>
        <v>High Risk</v>
      </c>
      <c r="S1628" t="str">
        <f>IF(OR(Loans[[#This Row],[LoanStatus]]="Default",Loans[[#This Row],[LoanStatus]]="Watchlist",Loans[[#This Row],[CollateralRisk]]="Undersecured",Loans[[#This Row],[RiskCategory]]="High Risk"),"High Risk Exposure","Normal")</f>
        <v>High Risk Exposure</v>
      </c>
      <c r="T1628" t="str" cm="1">
        <f t="array" ref="T1628">_xlfn.IFS(
Loans[[#This Row],[LoanStatus]]="Default","Critical",
OR(Loans[[#This Row],[LoanStatus]]="Watchlist",Loans[[#This Row],[CollateralRisk]]="Undersecured",Loans[[#This Row],[RiskCategory]]="High Risk"),"High",
TRUE,"Normal"
)</f>
        <v>High</v>
      </c>
    </row>
    <row r="1629" spans="1:20" x14ac:dyDescent="0.35">
      <c r="A1629" t="s">
        <v>2448</v>
      </c>
      <c r="B1629" t="s">
        <v>457</v>
      </c>
      <c r="C1629" t="s">
        <v>239</v>
      </c>
      <c r="D1629" t="s">
        <v>155</v>
      </c>
      <c r="E1629" s="34">
        <v>500000</v>
      </c>
      <c r="F1629" s="29">
        <v>0.19450000000000001</v>
      </c>
      <c r="G1629" s="30">
        <v>44138</v>
      </c>
      <c r="H1629">
        <v>24</v>
      </c>
      <c r="I1629">
        <v>0</v>
      </c>
      <c r="J1629" s="34">
        <v>0</v>
      </c>
      <c r="K1629" t="s">
        <v>171</v>
      </c>
      <c r="L1629" s="34">
        <f>PMT(Loans[[#This Row],[InterestRate]]/12,Loans[[#This Row],[LoanTenureMonths]],-Loans[[#This Row],[LoanAmount]])</f>
        <v>25313.760324138668</v>
      </c>
      <c r="M1629" s="30">
        <f>EDATE(Loans[[#This Row],[LoanStartDate]],Loans[[#This Row],[LoanTenureMonths]])</f>
        <v>44868</v>
      </c>
      <c r="N1629" s="33">
        <f>IF(Loans[[#This Row],[LoanAmount]]=0,0,Loans[[#This Row],[CollateralValue]]/Loans[[#This Row],[LoanAmount]])</f>
        <v>0</v>
      </c>
      <c r="O1629" t="str">
        <f>IF(Loans[[#This Row],[CollateralCoverageRatio]]&lt;1,"Undersecured","Secured")</f>
        <v>Undersecured</v>
      </c>
      <c r="P1629" t="str">
        <f>_xlfn.XLOOKUP(Loans[[#This Row],[BranchCode]],BranchesTbl[BranchCode],BranchesTbl[BranchName])</f>
        <v>Machakos</v>
      </c>
      <c r="Q1629">
        <f>_xlfn.XLOOKUP(Loans[[#This Row],[CustomerID]],CustomerTbl[CustomerID],CustomerTbl[RiskScore])</f>
        <v>802</v>
      </c>
      <c r="R1629" t="str">
        <f>IFERROR(INDEX(RiskTbl[Risk_Category],MATCH(Loans[[#This Row],[RiskScore]],RiskTbl[Score_Min],1)),"Unknown")</f>
        <v>Prime</v>
      </c>
      <c r="S1629" t="str">
        <f>IF(OR(Loans[[#This Row],[LoanStatus]]="Default",Loans[[#This Row],[LoanStatus]]="Watchlist",Loans[[#This Row],[CollateralRisk]]="Undersecured",Loans[[#This Row],[RiskCategory]]="High Risk"),"High Risk Exposure","Normal")</f>
        <v>High Risk Exposure</v>
      </c>
      <c r="T1629" t="str" cm="1">
        <f t="array" ref="T1629">_xlfn.IFS(
Loans[[#This Row],[LoanStatus]]="Default","Critical",
OR(Loans[[#This Row],[LoanStatus]]="Watchlist",Loans[[#This Row],[CollateralRisk]]="Undersecured",Loans[[#This Row],[RiskCategory]]="High Risk"),"High",
TRUE,"Normal"
)</f>
        <v>High</v>
      </c>
    </row>
    <row r="1630" spans="1:20" x14ac:dyDescent="0.35">
      <c r="A1630" t="s">
        <v>2449</v>
      </c>
      <c r="B1630" t="s">
        <v>2310</v>
      </c>
      <c r="C1630" t="s">
        <v>270</v>
      </c>
      <c r="D1630" t="s">
        <v>155</v>
      </c>
      <c r="E1630" s="34">
        <v>1000000</v>
      </c>
      <c r="F1630" s="29">
        <v>0.24299999999999999</v>
      </c>
      <c r="G1630" s="30">
        <v>45044</v>
      </c>
      <c r="H1630">
        <v>24</v>
      </c>
      <c r="I1630">
        <v>45</v>
      </c>
      <c r="J1630" s="34">
        <v>0</v>
      </c>
      <c r="K1630" t="s">
        <v>199</v>
      </c>
      <c r="L1630" s="34">
        <f>PMT(Loans[[#This Row],[InterestRate]]/12,Loans[[#This Row],[LoanTenureMonths]],-Loans[[#This Row],[LoanAmount]])</f>
        <v>53020.948194343844</v>
      </c>
      <c r="M1630" s="30">
        <f>EDATE(Loans[[#This Row],[LoanStartDate]],Loans[[#This Row],[LoanTenureMonths]])</f>
        <v>45775</v>
      </c>
      <c r="N1630" s="33">
        <f>IF(Loans[[#This Row],[LoanAmount]]=0,0,Loans[[#This Row],[CollateralValue]]/Loans[[#This Row],[LoanAmount]])</f>
        <v>0</v>
      </c>
      <c r="O1630" t="str">
        <f>IF(Loans[[#This Row],[CollateralCoverageRatio]]&lt;1,"Undersecured","Secured")</f>
        <v>Undersecured</v>
      </c>
      <c r="P1630" t="str">
        <f>_xlfn.XLOOKUP(Loans[[#This Row],[BranchCode]],BranchesTbl[BranchCode],BranchesTbl[BranchName])</f>
        <v>Nakuru</v>
      </c>
      <c r="Q1630">
        <f>_xlfn.XLOOKUP(Loans[[#This Row],[CustomerID]],CustomerTbl[CustomerID],CustomerTbl[RiskScore])</f>
        <v>715</v>
      </c>
      <c r="R1630" t="str">
        <f>IFERROR(INDEX(RiskTbl[Risk_Category],MATCH(Loans[[#This Row],[RiskScore]],RiskTbl[Score_Min],1)),"Unknown")</f>
        <v>Low Risk</v>
      </c>
      <c r="S1630" t="str">
        <f>IF(OR(Loans[[#This Row],[LoanStatus]]="Default",Loans[[#This Row],[LoanStatus]]="Watchlist",Loans[[#This Row],[CollateralRisk]]="Undersecured",Loans[[#This Row],[RiskCategory]]="High Risk"),"High Risk Exposure","Normal")</f>
        <v>High Risk Exposure</v>
      </c>
      <c r="T1630" t="str" cm="1">
        <f t="array" ref="T1630">_xlfn.IFS(
Loans[[#This Row],[LoanStatus]]="Default","Critical",
OR(Loans[[#This Row],[LoanStatus]]="Watchlist",Loans[[#This Row],[CollateralRisk]]="Undersecured",Loans[[#This Row],[RiskCategory]]="High Risk"),"High",
TRUE,"Normal"
)</f>
        <v>High</v>
      </c>
    </row>
    <row r="1631" spans="1:20" x14ac:dyDescent="0.35">
      <c r="A1631" t="s">
        <v>2450</v>
      </c>
      <c r="B1631" t="s">
        <v>1392</v>
      </c>
      <c r="C1631" t="s">
        <v>193</v>
      </c>
      <c r="D1631" t="s">
        <v>157</v>
      </c>
      <c r="E1631" s="34">
        <v>6000000</v>
      </c>
      <c r="F1631" s="29">
        <v>0.1143</v>
      </c>
      <c r="G1631" s="30">
        <v>44509</v>
      </c>
      <c r="H1631">
        <v>48</v>
      </c>
      <c r="I1631">
        <v>90</v>
      </c>
      <c r="J1631" s="34">
        <v>7380000</v>
      </c>
      <c r="K1631" t="s">
        <v>199</v>
      </c>
      <c r="L1631" s="34">
        <f>PMT(Loans[[#This Row],[InterestRate]]/12,Loans[[#This Row],[LoanTenureMonths]],-Loans[[#This Row],[LoanAmount]])</f>
        <v>156329.04041043913</v>
      </c>
      <c r="M1631" s="30">
        <f>EDATE(Loans[[#This Row],[LoanStartDate]],Loans[[#This Row],[LoanTenureMonths]])</f>
        <v>45970</v>
      </c>
      <c r="N1631" s="33">
        <f>IF(Loans[[#This Row],[LoanAmount]]=0,0,Loans[[#This Row],[CollateralValue]]/Loans[[#This Row],[LoanAmount]])</f>
        <v>1.23</v>
      </c>
      <c r="O1631" t="str">
        <f>IF(Loans[[#This Row],[CollateralCoverageRatio]]&lt;1,"Undersecured","Secured")</f>
        <v>Secured</v>
      </c>
      <c r="P1631" t="str">
        <f>_xlfn.XLOOKUP(Loans[[#This Row],[BranchCode]],BranchesTbl[BranchCode],BranchesTbl[BranchName])</f>
        <v>Mombasa</v>
      </c>
      <c r="Q1631">
        <f>_xlfn.XLOOKUP(Loans[[#This Row],[CustomerID]],CustomerTbl[CustomerID],CustomerTbl[RiskScore])</f>
        <v>625</v>
      </c>
      <c r="R1631" t="str">
        <f>IFERROR(INDEX(RiskTbl[Risk_Category],MATCH(Loans[[#This Row],[RiskScore]],RiskTbl[Score_Min],1)),"Unknown")</f>
        <v>Medium Risk</v>
      </c>
      <c r="S1631" t="str">
        <f>IF(OR(Loans[[#This Row],[LoanStatus]]="Default",Loans[[#This Row],[LoanStatus]]="Watchlist",Loans[[#This Row],[CollateralRisk]]="Undersecured",Loans[[#This Row],[RiskCategory]]="High Risk"),"High Risk Exposure","Normal")</f>
        <v>High Risk Exposure</v>
      </c>
      <c r="T1631" t="str" cm="1">
        <f t="array" ref="T1631">_xlfn.IFS(
Loans[[#This Row],[LoanStatus]]="Default","Critical",
OR(Loans[[#This Row],[LoanStatus]]="Watchlist",Loans[[#This Row],[CollateralRisk]]="Undersecured",Loans[[#This Row],[RiskCategory]]="High Risk"),"High",
TRUE,"Normal"
)</f>
        <v>High</v>
      </c>
    </row>
    <row r="1632" spans="1:20" x14ac:dyDescent="0.35">
      <c r="A1632" t="s">
        <v>2451</v>
      </c>
      <c r="B1632" t="s">
        <v>1541</v>
      </c>
      <c r="C1632" t="s">
        <v>184</v>
      </c>
      <c r="D1632" t="s">
        <v>158</v>
      </c>
      <c r="E1632" s="34">
        <v>6000000</v>
      </c>
      <c r="F1632" s="29">
        <v>0.12759999999999999</v>
      </c>
      <c r="G1632" s="30">
        <v>45569</v>
      </c>
      <c r="H1632">
        <v>48</v>
      </c>
      <c r="I1632">
        <v>5</v>
      </c>
      <c r="J1632" s="34">
        <v>7020000</v>
      </c>
      <c r="K1632" t="s">
        <v>171</v>
      </c>
      <c r="L1632" s="34">
        <f>PMT(Loans[[#This Row],[InterestRate]]/12,Loans[[#This Row],[LoanTenureMonths]],-Loans[[#This Row],[LoanAmount]])</f>
        <v>160251.18674947659</v>
      </c>
      <c r="M1632" s="30">
        <f>EDATE(Loans[[#This Row],[LoanStartDate]],Loans[[#This Row],[LoanTenureMonths]])</f>
        <v>47030</v>
      </c>
      <c r="N1632" s="33">
        <f>IF(Loans[[#This Row],[LoanAmount]]=0,0,Loans[[#This Row],[CollateralValue]]/Loans[[#This Row],[LoanAmount]])</f>
        <v>1.17</v>
      </c>
      <c r="O1632" t="str">
        <f>IF(Loans[[#This Row],[CollateralCoverageRatio]]&lt;1,"Undersecured","Secured")</f>
        <v>Secured</v>
      </c>
      <c r="P1632" t="str">
        <f>_xlfn.XLOOKUP(Loans[[#This Row],[BranchCode]],BranchesTbl[BranchCode],BranchesTbl[BranchName])</f>
        <v>Kisumu</v>
      </c>
      <c r="Q1632">
        <f>_xlfn.XLOOKUP(Loans[[#This Row],[CustomerID]],CustomerTbl[CustomerID],CustomerTbl[RiskScore])</f>
        <v>314</v>
      </c>
      <c r="R1632" t="str">
        <f>IFERROR(INDEX(RiskTbl[Risk_Category],MATCH(Loans[[#This Row],[RiskScore]],RiskTbl[Score_Min],1)),"Unknown")</f>
        <v>High Risk</v>
      </c>
      <c r="S1632" t="str">
        <f>IF(OR(Loans[[#This Row],[LoanStatus]]="Default",Loans[[#This Row],[LoanStatus]]="Watchlist",Loans[[#This Row],[CollateralRisk]]="Undersecured",Loans[[#This Row],[RiskCategory]]="High Risk"),"High Risk Exposure","Normal")</f>
        <v>High Risk Exposure</v>
      </c>
      <c r="T1632" t="str" cm="1">
        <f t="array" ref="T1632">_xlfn.IFS(
Loans[[#This Row],[LoanStatus]]="Default","Critical",
OR(Loans[[#This Row],[LoanStatus]]="Watchlist",Loans[[#This Row],[CollateralRisk]]="Undersecured",Loans[[#This Row],[RiskCategory]]="High Risk"),"High",
TRUE,"Normal"
)</f>
        <v>High</v>
      </c>
    </row>
    <row r="1633" spans="1:20" x14ac:dyDescent="0.35">
      <c r="A1633" t="s">
        <v>2452</v>
      </c>
      <c r="B1633" t="s">
        <v>841</v>
      </c>
      <c r="C1633" t="s">
        <v>190</v>
      </c>
      <c r="D1633" t="s">
        <v>158</v>
      </c>
      <c r="E1633" s="34">
        <v>3000000</v>
      </c>
      <c r="F1633" s="29">
        <v>0.16869999999999999</v>
      </c>
      <c r="G1633" s="30">
        <v>44453</v>
      </c>
      <c r="H1633">
        <v>48</v>
      </c>
      <c r="I1633">
        <v>120</v>
      </c>
      <c r="J1633" s="34">
        <v>2370000</v>
      </c>
      <c r="K1633" t="s">
        <v>178</v>
      </c>
      <c r="L1633" s="34">
        <f>PMT(Loans[[#This Row],[InterestRate]]/12,Loans[[#This Row],[LoanTenureMonths]],-Loans[[#This Row],[LoanAmount]])</f>
        <v>86363.486309557047</v>
      </c>
      <c r="M1633" s="30">
        <f>EDATE(Loans[[#This Row],[LoanStartDate]],Loans[[#This Row],[LoanTenureMonths]])</f>
        <v>45914</v>
      </c>
      <c r="N1633" s="33">
        <f>IF(Loans[[#This Row],[LoanAmount]]=0,0,Loans[[#This Row],[CollateralValue]]/Loans[[#This Row],[LoanAmount]])</f>
        <v>0.79</v>
      </c>
      <c r="O1633" t="str">
        <f>IF(Loans[[#This Row],[CollateralCoverageRatio]]&lt;1,"Undersecured","Secured")</f>
        <v>Undersecured</v>
      </c>
      <c r="P1633" t="str">
        <f>_xlfn.XLOOKUP(Loans[[#This Row],[BranchCode]],BranchesTbl[BranchCode],BranchesTbl[BranchName])</f>
        <v>Nyeri</v>
      </c>
      <c r="Q1633">
        <f>_xlfn.XLOOKUP(Loans[[#This Row],[CustomerID]],CustomerTbl[CustomerID],CustomerTbl[RiskScore])</f>
        <v>810</v>
      </c>
      <c r="R1633" t="str">
        <f>IFERROR(INDEX(RiskTbl[Risk_Category],MATCH(Loans[[#This Row],[RiskScore]],RiskTbl[Score_Min],1)),"Unknown")</f>
        <v>Prime</v>
      </c>
      <c r="S1633" t="str">
        <f>IF(OR(Loans[[#This Row],[LoanStatus]]="Default",Loans[[#This Row],[LoanStatus]]="Watchlist",Loans[[#This Row],[CollateralRisk]]="Undersecured",Loans[[#This Row],[RiskCategory]]="High Risk"),"High Risk Exposure","Normal")</f>
        <v>High Risk Exposure</v>
      </c>
      <c r="T1633" t="str" cm="1">
        <f t="array" ref="T1633">_xlfn.IFS(
Loans[[#This Row],[LoanStatus]]="Default","Critical",
OR(Loans[[#This Row],[LoanStatus]]="Watchlist",Loans[[#This Row],[CollateralRisk]]="Undersecured",Loans[[#This Row],[RiskCategory]]="High Risk"),"High",
TRUE,"Normal"
)</f>
        <v>Critical</v>
      </c>
    </row>
    <row r="1634" spans="1:20" x14ac:dyDescent="0.35">
      <c r="A1634" t="s">
        <v>2453</v>
      </c>
      <c r="B1634" t="s">
        <v>183</v>
      </c>
      <c r="C1634" t="s">
        <v>190</v>
      </c>
      <c r="D1634" t="s">
        <v>158</v>
      </c>
      <c r="E1634" s="34">
        <v>6000000</v>
      </c>
      <c r="F1634" s="29">
        <v>0.1273</v>
      </c>
      <c r="G1634" s="30">
        <v>43933</v>
      </c>
      <c r="H1634">
        <v>60</v>
      </c>
      <c r="I1634">
        <v>10</v>
      </c>
      <c r="J1634" s="34">
        <v>4860000</v>
      </c>
      <c r="K1634" t="s">
        <v>171</v>
      </c>
      <c r="L1634" s="34">
        <f>PMT(Loans[[#This Row],[InterestRate]]/12,Loans[[#This Row],[LoanTenureMonths]],-Loans[[#This Row],[LoanAmount]])</f>
        <v>135690.57833346588</v>
      </c>
      <c r="M1634" s="30">
        <f>EDATE(Loans[[#This Row],[LoanStartDate]],Loans[[#This Row],[LoanTenureMonths]])</f>
        <v>45759</v>
      </c>
      <c r="N1634" s="33">
        <f>IF(Loans[[#This Row],[LoanAmount]]=0,0,Loans[[#This Row],[CollateralValue]]/Loans[[#This Row],[LoanAmount]])</f>
        <v>0.81</v>
      </c>
      <c r="O1634" t="str">
        <f>IF(Loans[[#This Row],[CollateralCoverageRatio]]&lt;1,"Undersecured","Secured")</f>
        <v>Undersecured</v>
      </c>
      <c r="P1634" t="str">
        <f>_xlfn.XLOOKUP(Loans[[#This Row],[BranchCode]],BranchesTbl[BranchCode],BranchesTbl[BranchName])</f>
        <v>Nyeri</v>
      </c>
      <c r="Q1634">
        <f>_xlfn.XLOOKUP(Loans[[#This Row],[CustomerID]],CustomerTbl[CustomerID],CustomerTbl[RiskScore])</f>
        <v>446</v>
      </c>
      <c r="R1634" t="str">
        <f>IFERROR(INDEX(RiskTbl[Risk_Category],MATCH(Loans[[#This Row],[RiskScore]],RiskTbl[Score_Min],1)),"Unknown")</f>
        <v>High Risk</v>
      </c>
      <c r="S1634" t="str">
        <f>IF(OR(Loans[[#This Row],[LoanStatus]]="Default",Loans[[#This Row],[LoanStatus]]="Watchlist",Loans[[#This Row],[CollateralRisk]]="Undersecured",Loans[[#This Row],[RiskCategory]]="High Risk"),"High Risk Exposure","Normal")</f>
        <v>High Risk Exposure</v>
      </c>
      <c r="T1634" t="str" cm="1">
        <f t="array" ref="T1634">_xlfn.IFS(
Loans[[#This Row],[LoanStatus]]="Default","Critical",
OR(Loans[[#This Row],[LoanStatus]]="Watchlist",Loans[[#This Row],[CollateralRisk]]="Undersecured",Loans[[#This Row],[RiskCategory]]="High Risk"),"High",
TRUE,"Normal"
)</f>
        <v>High</v>
      </c>
    </row>
    <row r="1635" spans="1:20" x14ac:dyDescent="0.35">
      <c r="A1635" t="s">
        <v>2454</v>
      </c>
      <c r="B1635" t="s">
        <v>1157</v>
      </c>
      <c r="C1635" t="s">
        <v>239</v>
      </c>
      <c r="D1635" t="s">
        <v>157</v>
      </c>
      <c r="E1635" s="34">
        <v>80000000</v>
      </c>
      <c r="F1635" s="29">
        <v>0.10390000000000001</v>
      </c>
      <c r="G1635" s="30">
        <v>45156</v>
      </c>
      <c r="H1635">
        <v>60</v>
      </c>
      <c r="I1635">
        <v>5</v>
      </c>
      <c r="J1635" s="34">
        <v>55200000</v>
      </c>
      <c r="K1635" t="s">
        <v>171</v>
      </c>
      <c r="L1635" s="34">
        <f>PMT(Loans[[#This Row],[InterestRate]]/12,Loans[[#This Row],[LoanTenureMonths]],-Loans[[#This Row],[LoanAmount]])</f>
        <v>1715155.913186959</v>
      </c>
      <c r="M1635" s="30">
        <f>EDATE(Loans[[#This Row],[LoanStartDate]],Loans[[#This Row],[LoanTenureMonths]])</f>
        <v>46983</v>
      </c>
      <c r="N1635" s="33">
        <f>IF(Loans[[#This Row],[LoanAmount]]=0,0,Loans[[#This Row],[CollateralValue]]/Loans[[#This Row],[LoanAmount]])</f>
        <v>0.69</v>
      </c>
      <c r="O1635" t="str">
        <f>IF(Loans[[#This Row],[CollateralCoverageRatio]]&lt;1,"Undersecured","Secured")</f>
        <v>Undersecured</v>
      </c>
      <c r="P1635" t="str">
        <f>_xlfn.XLOOKUP(Loans[[#This Row],[BranchCode]],BranchesTbl[BranchCode],BranchesTbl[BranchName])</f>
        <v>Machakos</v>
      </c>
      <c r="Q1635">
        <f>_xlfn.XLOOKUP(Loans[[#This Row],[CustomerID]],CustomerTbl[CustomerID],CustomerTbl[RiskScore])</f>
        <v>769</v>
      </c>
      <c r="R1635" t="str">
        <f>IFERROR(INDEX(RiskTbl[Risk_Category],MATCH(Loans[[#This Row],[RiskScore]],RiskTbl[Score_Min],1)),"Unknown")</f>
        <v>Very Low Risk</v>
      </c>
      <c r="S1635" t="str">
        <f>IF(OR(Loans[[#This Row],[LoanStatus]]="Default",Loans[[#This Row],[LoanStatus]]="Watchlist",Loans[[#This Row],[CollateralRisk]]="Undersecured",Loans[[#This Row],[RiskCategory]]="High Risk"),"High Risk Exposure","Normal")</f>
        <v>High Risk Exposure</v>
      </c>
      <c r="T1635" t="str" cm="1">
        <f t="array" ref="T1635">_xlfn.IFS(
Loans[[#This Row],[LoanStatus]]="Default","Critical",
OR(Loans[[#This Row],[LoanStatus]]="Watchlist",Loans[[#This Row],[CollateralRisk]]="Undersecured",Loans[[#This Row],[RiskCategory]]="High Risk"),"High",
TRUE,"Normal"
)</f>
        <v>High</v>
      </c>
    </row>
    <row r="1636" spans="1:20" x14ac:dyDescent="0.35">
      <c r="A1636" t="s">
        <v>2455</v>
      </c>
      <c r="B1636" t="s">
        <v>400</v>
      </c>
      <c r="C1636" t="s">
        <v>206</v>
      </c>
      <c r="D1636" t="s">
        <v>155</v>
      </c>
      <c r="E1636" s="34">
        <v>1000000</v>
      </c>
      <c r="F1636" s="29">
        <v>0.2089</v>
      </c>
      <c r="G1636" s="30">
        <v>45004</v>
      </c>
      <c r="H1636">
        <v>24</v>
      </c>
      <c r="I1636">
        <v>0</v>
      </c>
      <c r="J1636" s="34">
        <v>0</v>
      </c>
      <c r="K1636" t="s">
        <v>171</v>
      </c>
      <c r="L1636" s="34">
        <f>PMT(Loans[[#This Row],[InterestRate]]/12,Loans[[#This Row],[LoanTenureMonths]],-Loans[[#This Row],[LoanAmount]])</f>
        <v>51331.637526411141</v>
      </c>
      <c r="M1636" s="30">
        <f>EDATE(Loans[[#This Row],[LoanStartDate]],Loans[[#This Row],[LoanTenureMonths]])</f>
        <v>45735</v>
      </c>
      <c r="N1636" s="33">
        <f>IF(Loans[[#This Row],[LoanAmount]]=0,0,Loans[[#This Row],[CollateralValue]]/Loans[[#This Row],[LoanAmount]])</f>
        <v>0</v>
      </c>
      <c r="O1636" t="str">
        <f>IF(Loans[[#This Row],[CollateralCoverageRatio]]&lt;1,"Undersecured","Secured")</f>
        <v>Undersecured</v>
      </c>
      <c r="P1636" t="str">
        <f>_xlfn.XLOOKUP(Loans[[#This Row],[BranchCode]],BranchesTbl[BranchCode],BranchesTbl[BranchName])</f>
        <v>Nyahururu</v>
      </c>
      <c r="Q1636">
        <f>_xlfn.XLOOKUP(Loans[[#This Row],[CustomerID]],CustomerTbl[CustomerID],CustomerTbl[RiskScore])</f>
        <v>724</v>
      </c>
      <c r="R1636" t="str">
        <f>IFERROR(INDEX(RiskTbl[Risk_Category],MATCH(Loans[[#This Row],[RiskScore]],RiskTbl[Score_Min],1)),"Unknown")</f>
        <v>Low Risk</v>
      </c>
      <c r="S1636" t="str">
        <f>IF(OR(Loans[[#This Row],[LoanStatus]]="Default",Loans[[#This Row],[LoanStatus]]="Watchlist",Loans[[#This Row],[CollateralRisk]]="Undersecured",Loans[[#This Row],[RiskCategory]]="High Risk"),"High Risk Exposure","Normal")</f>
        <v>High Risk Exposure</v>
      </c>
      <c r="T1636" t="str" cm="1">
        <f t="array" ref="T1636">_xlfn.IFS(
Loans[[#This Row],[LoanStatus]]="Default","Critical",
OR(Loans[[#This Row],[LoanStatus]]="Watchlist",Loans[[#This Row],[CollateralRisk]]="Undersecured",Loans[[#This Row],[RiskCategory]]="High Risk"),"High",
TRUE,"Normal"
)</f>
        <v>High</v>
      </c>
    </row>
    <row r="1637" spans="1:20" x14ac:dyDescent="0.35">
      <c r="A1637" t="s">
        <v>2456</v>
      </c>
      <c r="B1637" t="s">
        <v>1161</v>
      </c>
      <c r="C1637" t="s">
        <v>190</v>
      </c>
      <c r="D1637" t="s">
        <v>156</v>
      </c>
      <c r="E1637" s="34">
        <v>25000000</v>
      </c>
      <c r="F1637" s="29">
        <v>0.21870000000000001</v>
      </c>
      <c r="G1637" s="30">
        <v>44018</v>
      </c>
      <c r="H1637">
        <v>60</v>
      </c>
      <c r="I1637">
        <v>5</v>
      </c>
      <c r="J1637" s="34">
        <v>28000000</v>
      </c>
      <c r="K1637" t="s">
        <v>171</v>
      </c>
      <c r="L1637" s="34">
        <f>PMT(Loans[[#This Row],[InterestRate]]/12,Loans[[#This Row],[LoanTenureMonths]],-Loans[[#This Row],[LoanAmount]])</f>
        <v>688626.2266116828</v>
      </c>
      <c r="M1637" s="30">
        <f>EDATE(Loans[[#This Row],[LoanStartDate]],Loans[[#This Row],[LoanTenureMonths]])</f>
        <v>45844</v>
      </c>
      <c r="N1637" s="33">
        <f>IF(Loans[[#This Row],[LoanAmount]]=0,0,Loans[[#This Row],[CollateralValue]]/Loans[[#This Row],[LoanAmount]])</f>
        <v>1.1200000000000001</v>
      </c>
      <c r="O1637" t="str">
        <f>IF(Loans[[#This Row],[CollateralCoverageRatio]]&lt;1,"Undersecured","Secured")</f>
        <v>Secured</v>
      </c>
      <c r="P1637" t="str">
        <f>_xlfn.XLOOKUP(Loans[[#This Row],[BranchCode]],BranchesTbl[BranchCode],BranchesTbl[BranchName])</f>
        <v>Nyeri</v>
      </c>
      <c r="Q1637">
        <f>_xlfn.XLOOKUP(Loans[[#This Row],[CustomerID]],CustomerTbl[CustomerID],CustomerTbl[RiskScore])</f>
        <v>389</v>
      </c>
      <c r="R1637" t="str">
        <f>IFERROR(INDEX(RiskTbl[Risk_Category],MATCH(Loans[[#This Row],[RiskScore]],RiskTbl[Score_Min],1)),"Unknown")</f>
        <v>High Risk</v>
      </c>
      <c r="S1637" t="str">
        <f>IF(OR(Loans[[#This Row],[LoanStatus]]="Default",Loans[[#This Row],[LoanStatus]]="Watchlist",Loans[[#This Row],[CollateralRisk]]="Undersecured",Loans[[#This Row],[RiskCategory]]="High Risk"),"High Risk Exposure","Normal")</f>
        <v>High Risk Exposure</v>
      </c>
      <c r="T1637" t="str" cm="1">
        <f t="array" ref="T1637">_xlfn.IFS(
Loans[[#This Row],[LoanStatus]]="Default","Critical",
OR(Loans[[#This Row],[LoanStatus]]="Watchlist",Loans[[#This Row],[CollateralRisk]]="Undersecured",Loans[[#This Row],[RiskCategory]]="High Risk"),"High",
TRUE,"Normal"
)</f>
        <v>High</v>
      </c>
    </row>
    <row r="1638" spans="1:20" x14ac:dyDescent="0.35">
      <c r="A1638" t="s">
        <v>2457</v>
      </c>
      <c r="B1638" t="s">
        <v>710</v>
      </c>
      <c r="C1638" t="s">
        <v>270</v>
      </c>
      <c r="D1638" t="s">
        <v>155</v>
      </c>
      <c r="E1638" s="34">
        <v>250000</v>
      </c>
      <c r="F1638" s="29">
        <v>0.21560000000000001</v>
      </c>
      <c r="G1638" s="30">
        <v>45444</v>
      </c>
      <c r="H1638">
        <v>48</v>
      </c>
      <c r="I1638">
        <v>45</v>
      </c>
      <c r="J1638" s="34">
        <v>0</v>
      </c>
      <c r="K1638" t="s">
        <v>199</v>
      </c>
      <c r="L1638" s="34">
        <f>PMT(Loans[[#This Row],[InterestRate]]/12,Loans[[#This Row],[LoanTenureMonths]],-Loans[[#This Row],[LoanAmount]])</f>
        <v>7816.9224201528814</v>
      </c>
      <c r="M1638" s="30">
        <f>EDATE(Loans[[#This Row],[LoanStartDate]],Loans[[#This Row],[LoanTenureMonths]])</f>
        <v>46905</v>
      </c>
      <c r="N1638" s="33">
        <f>IF(Loans[[#This Row],[LoanAmount]]=0,0,Loans[[#This Row],[CollateralValue]]/Loans[[#This Row],[LoanAmount]])</f>
        <v>0</v>
      </c>
      <c r="O1638" t="str">
        <f>IF(Loans[[#This Row],[CollateralCoverageRatio]]&lt;1,"Undersecured","Secured")</f>
        <v>Undersecured</v>
      </c>
      <c r="P1638" t="str">
        <f>_xlfn.XLOOKUP(Loans[[#This Row],[BranchCode]],BranchesTbl[BranchCode],BranchesTbl[BranchName])</f>
        <v>Nakuru</v>
      </c>
      <c r="Q1638">
        <f>_xlfn.XLOOKUP(Loans[[#This Row],[CustomerID]],CustomerTbl[CustomerID],CustomerTbl[RiskScore])</f>
        <v>775</v>
      </c>
      <c r="R1638" t="str">
        <f>IFERROR(INDEX(RiskTbl[Risk_Category],MATCH(Loans[[#This Row],[RiskScore]],RiskTbl[Score_Min],1)),"Unknown")</f>
        <v>Very Low Risk</v>
      </c>
      <c r="S1638" t="str">
        <f>IF(OR(Loans[[#This Row],[LoanStatus]]="Default",Loans[[#This Row],[LoanStatus]]="Watchlist",Loans[[#This Row],[CollateralRisk]]="Undersecured",Loans[[#This Row],[RiskCategory]]="High Risk"),"High Risk Exposure","Normal")</f>
        <v>High Risk Exposure</v>
      </c>
      <c r="T1638" t="str" cm="1">
        <f t="array" ref="T1638">_xlfn.IFS(
Loans[[#This Row],[LoanStatus]]="Default","Critical",
OR(Loans[[#This Row],[LoanStatus]]="Watchlist",Loans[[#This Row],[CollateralRisk]]="Undersecured",Loans[[#This Row],[RiskCategory]]="High Risk"),"High",
TRUE,"Normal"
)</f>
        <v>High</v>
      </c>
    </row>
    <row r="1639" spans="1:20" x14ac:dyDescent="0.35">
      <c r="A1639" t="s">
        <v>2458</v>
      </c>
      <c r="B1639" t="s">
        <v>393</v>
      </c>
      <c r="C1639" t="s">
        <v>193</v>
      </c>
      <c r="D1639" t="s">
        <v>157</v>
      </c>
      <c r="E1639" s="34">
        <v>80000000</v>
      </c>
      <c r="F1639" s="29">
        <v>0.11849999999999999</v>
      </c>
      <c r="G1639" s="30">
        <v>44221</v>
      </c>
      <c r="H1639">
        <v>72</v>
      </c>
      <c r="I1639">
        <v>20</v>
      </c>
      <c r="J1639" s="34">
        <v>55200000</v>
      </c>
      <c r="K1639" t="s">
        <v>171</v>
      </c>
      <c r="L1639" s="34">
        <f>PMT(Loans[[#This Row],[InterestRate]]/12,Loans[[#This Row],[LoanTenureMonths]],-Loans[[#This Row],[LoanAmount]])</f>
        <v>1557782.1152111248</v>
      </c>
      <c r="M1639" s="30">
        <f>EDATE(Loans[[#This Row],[LoanStartDate]],Loans[[#This Row],[LoanTenureMonths]])</f>
        <v>46412</v>
      </c>
      <c r="N1639" s="33">
        <f>IF(Loans[[#This Row],[LoanAmount]]=0,0,Loans[[#This Row],[CollateralValue]]/Loans[[#This Row],[LoanAmount]])</f>
        <v>0.69</v>
      </c>
      <c r="O1639" t="str">
        <f>IF(Loans[[#This Row],[CollateralCoverageRatio]]&lt;1,"Undersecured","Secured")</f>
        <v>Undersecured</v>
      </c>
      <c r="P1639" t="str">
        <f>_xlfn.XLOOKUP(Loans[[#This Row],[BranchCode]],BranchesTbl[BranchCode],BranchesTbl[BranchName])</f>
        <v>Mombasa</v>
      </c>
      <c r="Q1639">
        <f>_xlfn.XLOOKUP(Loans[[#This Row],[CustomerID]],CustomerTbl[CustomerID],CustomerTbl[RiskScore])</f>
        <v>445</v>
      </c>
      <c r="R1639" t="str">
        <f>IFERROR(INDEX(RiskTbl[Risk_Category],MATCH(Loans[[#This Row],[RiskScore]],RiskTbl[Score_Min],1)),"Unknown")</f>
        <v>High Risk</v>
      </c>
      <c r="S1639" t="str">
        <f>IF(OR(Loans[[#This Row],[LoanStatus]]="Default",Loans[[#This Row],[LoanStatus]]="Watchlist",Loans[[#This Row],[CollateralRisk]]="Undersecured",Loans[[#This Row],[RiskCategory]]="High Risk"),"High Risk Exposure","Normal")</f>
        <v>High Risk Exposure</v>
      </c>
      <c r="T1639" t="str" cm="1">
        <f t="array" ref="T1639">_xlfn.IFS(
Loans[[#This Row],[LoanStatus]]="Default","Critical",
OR(Loans[[#This Row],[LoanStatus]]="Watchlist",Loans[[#This Row],[CollateralRisk]]="Undersecured",Loans[[#This Row],[RiskCategory]]="High Risk"),"High",
TRUE,"Normal"
)</f>
        <v>High</v>
      </c>
    </row>
    <row r="1640" spans="1:20" x14ac:dyDescent="0.35">
      <c r="A1640" t="s">
        <v>2459</v>
      </c>
      <c r="B1640" t="s">
        <v>1503</v>
      </c>
      <c r="C1640" t="s">
        <v>181</v>
      </c>
      <c r="D1640" t="s">
        <v>157</v>
      </c>
      <c r="E1640" s="34">
        <v>6000000</v>
      </c>
      <c r="F1640" s="29">
        <v>9.0800000000000006E-2</v>
      </c>
      <c r="G1640" s="30">
        <v>45452</v>
      </c>
      <c r="H1640">
        <v>36</v>
      </c>
      <c r="I1640">
        <v>90</v>
      </c>
      <c r="J1640" s="34">
        <v>7620000</v>
      </c>
      <c r="K1640" t="s">
        <v>199</v>
      </c>
      <c r="L1640" s="34">
        <f>PMT(Loans[[#This Row],[InterestRate]]/12,Loans[[#This Row],[LoanTenureMonths]],-Loans[[#This Row],[LoanAmount]])</f>
        <v>191021.8725760589</v>
      </c>
      <c r="M1640" s="30">
        <f>EDATE(Loans[[#This Row],[LoanStartDate]],Loans[[#This Row],[LoanTenureMonths]])</f>
        <v>46547</v>
      </c>
      <c r="N1640" s="33">
        <f>IF(Loans[[#This Row],[LoanAmount]]=0,0,Loans[[#This Row],[CollateralValue]]/Loans[[#This Row],[LoanAmount]])</f>
        <v>1.27</v>
      </c>
      <c r="O1640" t="str">
        <f>IF(Loans[[#This Row],[CollateralCoverageRatio]]&lt;1,"Undersecured","Secured")</f>
        <v>Secured</v>
      </c>
      <c r="P1640" t="str">
        <f>_xlfn.XLOOKUP(Loans[[#This Row],[BranchCode]],BranchesTbl[BranchCode],BranchesTbl[BranchName])</f>
        <v>Kitale</v>
      </c>
      <c r="Q1640">
        <f>_xlfn.XLOOKUP(Loans[[#This Row],[CustomerID]],CustomerTbl[CustomerID],CustomerTbl[RiskScore])</f>
        <v>671</v>
      </c>
      <c r="R1640" t="str">
        <f>IFERROR(INDEX(RiskTbl[Risk_Category],MATCH(Loans[[#This Row],[RiskScore]],RiskTbl[Score_Min],1)),"Unknown")</f>
        <v>Low Risk</v>
      </c>
      <c r="S1640" t="str">
        <f>IF(OR(Loans[[#This Row],[LoanStatus]]="Default",Loans[[#This Row],[LoanStatus]]="Watchlist",Loans[[#This Row],[CollateralRisk]]="Undersecured",Loans[[#This Row],[RiskCategory]]="High Risk"),"High Risk Exposure","Normal")</f>
        <v>High Risk Exposure</v>
      </c>
      <c r="T1640" t="str" cm="1">
        <f t="array" ref="T1640">_xlfn.IFS(
Loans[[#This Row],[LoanStatus]]="Default","Critical",
OR(Loans[[#This Row],[LoanStatus]]="Watchlist",Loans[[#This Row],[CollateralRisk]]="Undersecured",Loans[[#This Row],[RiskCategory]]="High Risk"),"High",
TRUE,"Normal"
)</f>
        <v>High</v>
      </c>
    </row>
    <row r="1641" spans="1:20" x14ac:dyDescent="0.35">
      <c r="A1641" t="s">
        <v>2460</v>
      </c>
      <c r="B1641" t="s">
        <v>590</v>
      </c>
      <c r="C1641" t="s">
        <v>196</v>
      </c>
      <c r="D1641" t="s">
        <v>157</v>
      </c>
      <c r="E1641" s="34">
        <v>25000000</v>
      </c>
      <c r="F1641" s="29">
        <v>9.7500000000000003E-2</v>
      </c>
      <c r="G1641" s="30">
        <v>44000</v>
      </c>
      <c r="H1641">
        <v>36</v>
      </c>
      <c r="I1641">
        <v>5</v>
      </c>
      <c r="J1641" s="34">
        <v>22000000</v>
      </c>
      <c r="K1641" t="s">
        <v>171</v>
      </c>
      <c r="L1641" s="34">
        <f>PMT(Loans[[#This Row],[InterestRate]]/12,Loans[[#This Row],[LoanTenureMonths]],-Loans[[#This Row],[LoanAmount]])</f>
        <v>803748.52536121651</v>
      </c>
      <c r="M1641" s="30">
        <f>EDATE(Loans[[#This Row],[LoanStartDate]],Loans[[#This Row],[LoanTenureMonths]])</f>
        <v>45095</v>
      </c>
      <c r="N1641" s="33">
        <f>IF(Loans[[#This Row],[LoanAmount]]=0,0,Loans[[#This Row],[CollateralValue]]/Loans[[#This Row],[LoanAmount]])</f>
        <v>0.88</v>
      </c>
      <c r="O1641" t="str">
        <f>IF(Loans[[#This Row],[CollateralCoverageRatio]]&lt;1,"Undersecured","Secured")</f>
        <v>Undersecured</v>
      </c>
      <c r="P1641" t="str">
        <f>_xlfn.XLOOKUP(Loans[[#This Row],[BranchCode]],BranchesTbl[BranchCode],BranchesTbl[BranchName])</f>
        <v>Karen</v>
      </c>
      <c r="Q1641">
        <f>_xlfn.XLOOKUP(Loans[[#This Row],[CustomerID]],CustomerTbl[CustomerID],CustomerTbl[RiskScore])</f>
        <v>434</v>
      </c>
      <c r="R1641" t="str">
        <f>IFERROR(INDEX(RiskTbl[Risk_Category],MATCH(Loans[[#This Row],[RiskScore]],RiskTbl[Score_Min],1)),"Unknown")</f>
        <v>High Risk</v>
      </c>
      <c r="S1641" t="str">
        <f>IF(OR(Loans[[#This Row],[LoanStatus]]="Default",Loans[[#This Row],[LoanStatus]]="Watchlist",Loans[[#This Row],[CollateralRisk]]="Undersecured",Loans[[#This Row],[RiskCategory]]="High Risk"),"High Risk Exposure","Normal")</f>
        <v>High Risk Exposure</v>
      </c>
      <c r="T1641" t="str" cm="1">
        <f t="array" ref="T1641">_xlfn.IFS(
Loans[[#This Row],[LoanStatus]]="Default","Critical",
OR(Loans[[#This Row],[LoanStatus]]="Watchlist",Loans[[#This Row],[CollateralRisk]]="Undersecured",Loans[[#This Row],[RiskCategory]]="High Risk"),"High",
TRUE,"Normal"
)</f>
        <v>High</v>
      </c>
    </row>
    <row r="1642" spans="1:20" x14ac:dyDescent="0.35">
      <c r="A1642" t="s">
        <v>2461</v>
      </c>
      <c r="B1642" t="s">
        <v>1808</v>
      </c>
      <c r="C1642" t="s">
        <v>232</v>
      </c>
      <c r="D1642" t="s">
        <v>158</v>
      </c>
      <c r="E1642" s="34">
        <v>500000</v>
      </c>
      <c r="F1642" s="29">
        <v>0.1699</v>
      </c>
      <c r="G1642" s="30">
        <v>45456</v>
      </c>
      <c r="H1642">
        <v>60</v>
      </c>
      <c r="I1642">
        <v>45</v>
      </c>
      <c r="J1642" s="34">
        <v>400000</v>
      </c>
      <c r="K1642" t="s">
        <v>199</v>
      </c>
      <c r="L1642" s="34">
        <f>PMT(Loans[[#This Row],[InterestRate]]/12,Loans[[#This Row],[LoanTenureMonths]],-Loans[[#This Row],[LoanAmount]])</f>
        <v>12423.599566288252</v>
      </c>
      <c r="M1642" s="30">
        <f>EDATE(Loans[[#This Row],[LoanStartDate]],Loans[[#This Row],[LoanTenureMonths]])</f>
        <v>47282</v>
      </c>
      <c r="N1642" s="33">
        <f>IF(Loans[[#This Row],[LoanAmount]]=0,0,Loans[[#This Row],[CollateralValue]]/Loans[[#This Row],[LoanAmount]])</f>
        <v>0.8</v>
      </c>
      <c r="O1642" t="str">
        <f>IF(Loans[[#This Row],[CollateralCoverageRatio]]&lt;1,"Undersecured","Secured")</f>
        <v>Undersecured</v>
      </c>
      <c r="P1642" t="str">
        <f>_xlfn.XLOOKUP(Loans[[#This Row],[BranchCode]],BranchesTbl[BranchCode],BranchesTbl[BranchName])</f>
        <v>Upper Hill</v>
      </c>
      <c r="Q1642">
        <f>_xlfn.XLOOKUP(Loans[[#This Row],[CustomerID]],CustomerTbl[CustomerID],CustomerTbl[RiskScore])</f>
        <v>688</v>
      </c>
      <c r="R1642" t="str">
        <f>IFERROR(INDEX(RiskTbl[Risk_Category],MATCH(Loans[[#This Row],[RiskScore]],RiskTbl[Score_Min],1)),"Unknown")</f>
        <v>Low Risk</v>
      </c>
      <c r="S1642" t="str">
        <f>IF(OR(Loans[[#This Row],[LoanStatus]]="Default",Loans[[#This Row],[LoanStatus]]="Watchlist",Loans[[#This Row],[CollateralRisk]]="Undersecured",Loans[[#This Row],[RiskCategory]]="High Risk"),"High Risk Exposure","Normal")</f>
        <v>High Risk Exposure</v>
      </c>
      <c r="T1642" t="str" cm="1">
        <f t="array" ref="T1642">_xlfn.IFS(
Loans[[#This Row],[LoanStatus]]="Default","Critical",
OR(Loans[[#This Row],[LoanStatus]]="Watchlist",Loans[[#This Row],[CollateralRisk]]="Undersecured",Loans[[#This Row],[RiskCategory]]="High Risk"),"High",
TRUE,"Normal"
)</f>
        <v>High</v>
      </c>
    </row>
    <row r="1643" spans="1:20" x14ac:dyDescent="0.35">
      <c r="A1643" t="s">
        <v>2462</v>
      </c>
      <c r="B1643" t="s">
        <v>381</v>
      </c>
      <c r="C1643" t="s">
        <v>239</v>
      </c>
      <c r="D1643" t="s">
        <v>157</v>
      </c>
      <c r="E1643" s="34">
        <v>25000000</v>
      </c>
      <c r="F1643" s="29">
        <v>0.1077</v>
      </c>
      <c r="G1643" s="30">
        <v>45896</v>
      </c>
      <c r="H1643">
        <v>60</v>
      </c>
      <c r="I1643">
        <v>20</v>
      </c>
      <c r="J1643" s="34">
        <v>19750000</v>
      </c>
      <c r="K1643" t="s">
        <v>171</v>
      </c>
      <c r="L1643" s="34">
        <f>PMT(Loans[[#This Row],[InterestRate]]/12,Loans[[#This Row],[LoanTenureMonths]],-Loans[[#This Row],[LoanAmount]])</f>
        <v>540697.39824162028</v>
      </c>
      <c r="M1643" s="30">
        <f>EDATE(Loans[[#This Row],[LoanStartDate]],Loans[[#This Row],[LoanTenureMonths]])</f>
        <v>47722</v>
      </c>
      <c r="N1643" s="33">
        <f>IF(Loans[[#This Row],[LoanAmount]]=0,0,Loans[[#This Row],[CollateralValue]]/Loans[[#This Row],[LoanAmount]])</f>
        <v>0.79</v>
      </c>
      <c r="O1643" t="str">
        <f>IF(Loans[[#This Row],[CollateralCoverageRatio]]&lt;1,"Undersecured","Secured")</f>
        <v>Undersecured</v>
      </c>
      <c r="P1643" t="str">
        <f>_xlfn.XLOOKUP(Loans[[#This Row],[BranchCode]],BranchesTbl[BranchCode],BranchesTbl[BranchName])</f>
        <v>Machakos</v>
      </c>
      <c r="Q1643">
        <f>_xlfn.XLOOKUP(Loans[[#This Row],[CustomerID]],CustomerTbl[CustomerID],CustomerTbl[RiskScore])</f>
        <v>628</v>
      </c>
      <c r="R1643" t="str">
        <f>IFERROR(INDEX(RiskTbl[Risk_Category],MATCH(Loans[[#This Row],[RiskScore]],RiskTbl[Score_Min],1)),"Unknown")</f>
        <v>Medium Risk</v>
      </c>
      <c r="S1643" t="str">
        <f>IF(OR(Loans[[#This Row],[LoanStatus]]="Default",Loans[[#This Row],[LoanStatus]]="Watchlist",Loans[[#This Row],[CollateralRisk]]="Undersecured",Loans[[#This Row],[RiskCategory]]="High Risk"),"High Risk Exposure","Normal")</f>
        <v>High Risk Exposure</v>
      </c>
      <c r="T1643" t="str" cm="1">
        <f t="array" ref="T1643">_xlfn.IFS(
Loans[[#This Row],[LoanStatus]]="Default","Critical",
OR(Loans[[#This Row],[LoanStatus]]="Watchlist",Loans[[#This Row],[CollateralRisk]]="Undersecured",Loans[[#This Row],[RiskCategory]]="High Risk"),"High",
TRUE,"Normal"
)</f>
        <v>High</v>
      </c>
    </row>
    <row r="1644" spans="1:20" x14ac:dyDescent="0.35">
      <c r="A1644" t="s">
        <v>2463</v>
      </c>
      <c r="B1644" t="s">
        <v>425</v>
      </c>
      <c r="C1644" t="s">
        <v>196</v>
      </c>
      <c r="D1644" t="s">
        <v>157</v>
      </c>
      <c r="E1644" s="34">
        <v>25000000</v>
      </c>
      <c r="F1644" s="29">
        <v>0.13850000000000001</v>
      </c>
      <c r="G1644" s="30">
        <v>44704</v>
      </c>
      <c r="H1644">
        <v>60</v>
      </c>
      <c r="I1644">
        <v>45</v>
      </c>
      <c r="J1644" s="34">
        <v>35250000</v>
      </c>
      <c r="K1644" t="s">
        <v>199</v>
      </c>
      <c r="L1644" s="34">
        <f>PMT(Loans[[#This Row],[InterestRate]]/12,Loans[[#This Row],[LoanTenureMonths]],-Loans[[#This Row],[LoanAmount]])</f>
        <v>579763.9608894632</v>
      </c>
      <c r="M1644" s="30">
        <f>EDATE(Loans[[#This Row],[LoanStartDate]],Loans[[#This Row],[LoanTenureMonths]])</f>
        <v>46530</v>
      </c>
      <c r="N1644" s="33">
        <f>IF(Loans[[#This Row],[LoanAmount]]=0,0,Loans[[#This Row],[CollateralValue]]/Loans[[#This Row],[LoanAmount]])</f>
        <v>1.41</v>
      </c>
      <c r="O1644" t="str">
        <f>IF(Loans[[#This Row],[CollateralCoverageRatio]]&lt;1,"Undersecured","Secured")</f>
        <v>Secured</v>
      </c>
      <c r="P1644" t="str">
        <f>_xlfn.XLOOKUP(Loans[[#This Row],[BranchCode]],BranchesTbl[BranchCode],BranchesTbl[BranchName])</f>
        <v>Karen</v>
      </c>
      <c r="Q1644">
        <f>_xlfn.XLOOKUP(Loans[[#This Row],[CustomerID]],CustomerTbl[CustomerID],CustomerTbl[RiskScore])</f>
        <v>426</v>
      </c>
      <c r="R1644" t="str">
        <f>IFERROR(INDEX(RiskTbl[Risk_Category],MATCH(Loans[[#This Row],[RiskScore]],RiskTbl[Score_Min],1)),"Unknown")</f>
        <v>High Risk</v>
      </c>
      <c r="S1644" t="str">
        <f>IF(OR(Loans[[#This Row],[LoanStatus]]="Default",Loans[[#This Row],[LoanStatus]]="Watchlist",Loans[[#This Row],[CollateralRisk]]="Undersecured",Loans[[#This Row],[RiskCategory]]="High Risk"),"High Risk Exposure","Normal")</f>
        <v>High Risk Exposure</v>
      </c>
      <c r="T1644" t="str" cm="1">
        <f t="array" ref="T1644">_xlfn.IFS(
Loans[[#This Row],[LoanStatus]]="Default","Critical",
OR(Loans[[#This Row],[LoanStatus]]="Watchlist",Loans[[#This Row],[CollateralRisk]]="Undersecured",Loans[[#This Row],[RiskCategory]]="High Risk"),"High",
TRUE,"Normal"
)</f>
        <v>High</v>
      </c>
    </row>
    <row r="1645" spans="1:20" x14ac:dyDescent="0.35">
      <c r="A1645" t="s">
        <v>2464</v>
      </c>
      <c r="B1645" t="s">
        <v>733</v>
      </c>
      <c r="C1645" t="s">
        <v>181</v>
      </c>
      <c r="D1645" t="s">
        <v>155</v>
      </c>
      <c r="E1645" s="34">
        <v>500000</v>
      </c>
      <c r="F1645" s="29">
        <v>0.2233</v>
      </c>
      <c r="G1645" s="30">
        <v>45232</v>
      </c>
      <c r="H1645">
        <v>48</v>
      </c>
      <c r="I1645">
        <v>0</v>
      </c>
      <c r="J1645" s="34">
        <v>0</v>
      </c>
      <c r="K1645" t="s">
        <v>171</v>
      </c>
      <c r="L1645" s="34">
        <f>PMT(Loans[[#This Row],[InterestRate]]/12,Loans[[#This Row],[LoanTenureMonths]],-Loans[[#This Row],[LoanAmount]])</f>
        <v>15842.752887954259</v>
      </c>
      <c r="M1645" s="30">
        <f>EDATE(Loans[[#This Row],[LoanStartDate]],Loans[[#This Row],[LoanTenureMonths]])</f>
        <v>46693</v>
      </c>
      <c r="N1645" s="33">
        <f>IF(Loans[[#This Row],[LoanAmount]]=0,0,Loans[[#This Row],[CollateralValue]]/Loans[[#This Row],[LoanAmount]])</f>
        <v>0</v>
      </c>
      <c r="O1645" t="str">
        <f>IF(Loans[[#This Row],[CollateralCoverageRatio]]&lt;1,"Undersecured","Secured")</f>
        <v>Undersecured</v>
      </c>
      <c r="P1645" t="str">
        <f>_xlfn.XLOOKUP(Loans[[#This Row],[BranchCode]],BranchesTbl[BranchCode],BranchesTbl[BranchName])</f>
        <v>Kitale</v>
      </c>
      <c r="Q1645">
        <f>_xlfn.XLOOKUP(Loans[[#This Row],[CustomerID]],CustomerTbl[CustomerID],CustomerTbl[RiskScore])</f>
        <v>719</v>
      </c>
      <c r="R1645" t="str">
        <f>IFERROR(INDEX(RiskTbl[Risk_Category],MATCH(Loans[[#This Row],[RiskScore]],RiskTbl[Score_Min],1)),"Unknown")</f>
        <v>Low Risk</v>
      </c>
      <c r="S1645" t="str">
        <f>IF(OR(Loans[[#This Row],[LoanStatus]]="Default",Loans[[#This Row],[LoanStatus]]="Watchlist",Loans[[#This Row],[CollateralRisk]]="Undersecured",Loans[[#This Row],[RiskCategory]]="High Risk"),"High Risk Exposure","Normal")</f>
        <v>High Risk Exposure</v>
      </c>
      <c r="T1645" t="str" cm="1">
        <f t="array" ref="T1645">_xlfn.IFS(
Loans[[#This Row],[LoanStatus]]="Default","Critical",
OR(Loans[[#This Row],[LoanStatus]]="Watchlist",Loans[[#This Row],[CollateralRisk]]="Undersecured",Loans[[#This Row],[RiskCategory]]="High Risk"),"High",
TRUE,"Normal"
)</f>
        <v>High</v>
      </c>
    </row>
    <row r="1646" spans="1:20" x14ac:dyDescent="0.35">
      <c r="A1646" t="s">
        <v>2465</v>
      </c>
      <c r="B1646" t="s">
        <v>1227</v>
      </c>
      <c r="C1646" t="s">
        <v>181</v>
      </c>
      <c r="D1646" t="s">
        <v>156</v>
      </c>
      <c r="E1646" s="34">
        <v>1000000</v>
      </c>
      <c r="F1646" s="29">
        <v>0.17199999999999999</v>
      </c>
      <c r="G1646" s="30">
        <v>43908</v>
      </c>
      <c r="H1646">
        <v>48</v>
      </c>
      <c r="I1646">
        <v>0</v>
      </c>
      <c r="J1646" s="34">
        <v>690000</v>
      </c>
      <c r="K1646" t="s">
        <v>171</v>
      </c>
      <c r="L1646" s="34">
        <f>PMT(Loans[[#This Row],[InterestRate]]/12,Loans[[#This Row],[LoanTenureMonths]],-Loans[[#This Row],[LoanAmount]])</f>
        <v>28958.619188605899</v>
      </c>
      <c r="M1646" s="30">
        <f>EDATE(Loans[[#This Row],[LoanStartDate]],Loans[[#This Row],[LoanTenureMonths]])</f>
        <v>45369</v>
      </c>
      <c r="N1646" s="33">
        <f>IF(Loans[[#This Row],[LoanAmount]]=0,0,Loans[[#This Row],[CollateralValue]]/Loans[[#This Row],[LoanAmount]])</f>
        <v>0.69</v>
      </c>
      <c r="O1646" t="str">
        <f>IF(Loans[[#This Row],[CollateralCoverageRatio]]&lt;1,"Undersecured","Secured")</f>
        <v>Undersecured</v>
      </c>
      <c r="P1646" t="str">
        <f>_xlfn.XLOOKUP(Loans[[#This Row],[BranchCode]],BranchesTbl[BranchCode],BranchesTbl[BranchName])</f>
        <v>Kitale</v>
      </c>
      <c r="Q1646">
        <f>_xlfn.XLOOKUP(Loans[[#This Row],[CustomerID]],CustomerTbl[CustomerID],CustomerTbl[RiskScore])</f>
        <v>430</v>
      </c>
      <c r="R1646" t="str">
        <f>IFERROR(INDEX(RiskTbl[Risk_Category],MATCH(Loans[[#This Row],[RiskScore]],RiskTbl[Score_Min],1)),"Unknown")</f>
        <v>High Risk</v>
      </c>
      <c r="S1646" t="str">
        <f>IF(OR(Loans[[#This Row],[LoanStatus]]="Default",Loans[[#This Row],[LoanStatus]]="Watchlist",Loans[[#This Row],[CollateralRisk]]="Undersecured",Loans[[#This Row],[RiskCategory]]="High Risk"),"High Risk Exposure","Normal")</f>
        <v>High Risk Exposure</v>
      </c>
      <c r="T1646" t="str" cm="1">
        <f t="array" ref="T1646">_xlfn.IFS(
Loans[[#This Row],[LoanStatus]]="Default","Critical",
OR(Loans[[#This Row],[LoanStatus]]="Watchlist",Loans[[#This Row],[CollateralRisk]]="Undersecured",Loans[[#This Row],[RiskCategory]]="High Risk"),"High",
TRUE,"Normal"
)</f>
        <v>High</v>
      </c>
    </row>
    <row r="1647" spans="1:20" x14ac:dyDescent="0.35">
      <c r="A1647" t="s">
        <v>2466</v>
      </c>
      <c r="B1647" t="s">
        <v>574</v>
      </c>
      <c r="C1647" t="s">
        <v>232</v>
      </c>
      <c r="D1647" t="s">
        <v>155</v>
      </c>
      <c r="E1647" s="34">
        <v>1000000</v>
      </c>
      <c r="F1647" s="29">
        <v>0.26989999999999997</v>
      </c>
      <c r="G1647" s="30">
        <v>44570</v>
      </c>
      <c r="H1647">
        <v>72</v>
      </c>
      <c r="I1647">
        <v>0</v>
      </c>
      <c r="J1647" s="34">
        <v>0</v>
      </c>
      <c r="K1647" t="s">
        <v>171</v>
      </c>
      <c r="L1647" s="34">
        <f>PMT(Loans[[#This Row],[InterestRate]]/12,Loans[[#This Row],[LoanTenureMonths]],-Loans[[#This Row],[LoanAmount]])</f>
        <v>28171.01551589587</v>
      </c>
      <c r="M1647" s="30">
        <f>EDATE(Loans[[#This Row],[LoanStartDate]],Loans[[#This Row],[LoanTenureMonths]])</f>
        <v>46761</v>
      </c>
      <c r="N1647" s="33">
        <f>IF(Loans[[#This Row],[LoanAmount]]=0,0,Loans[[#This Row],[CollateralValue]]/Loans[[#This Row],[LoanAmount]])</f>
        <v>0</v>
      </c>
      <c r="O1647" t="str">
        <f>IF(Loans[[#This Row],[CollateralCoverageRatio]]&lt;1,"Undersecured","Secured")</f>
        <v>Undersecured</v>
      </c>
      <c r="P1647" t="str">
        <f>_xlfn.XLOOKUP(Loans[[#This Row],[BranchCode]],BranchesTbl[BranchCode],BranchesTbl[BranchName])</f>
        <v>Upper Hill</v>
      </c>
      <c r="Q1647">
        <f>_xlfn.XLOOKUP(Loans[[#This Row],[CustomerID]],CustomerTbl[CustomerID],CustomerTbl[RiskScore])</f>
        <v>695</v>
      </c>
      <c r="R1647" t="str">
        <f>IFERROR(INDEX(RiskTbl[Risk_Category],MATCH(Loans[[#This Row],[RiskScore]],RiskTbl[Score_Min],1)),"Unknown")</f>
        <v>Low Risk</v>
      </c>
      <c r="S1647" t="str">
        <f>IF(OR(Loans[[#This Row],[LoanStatus]]="Default",Loans[[#This Row],[LoanStatus]]="Watchlist",Loans[[#This Row],[CollateralRisk]]="Undersecured",Loans[[#This Row],[RiskCategory]]="High Risk"),"High Risk Exposure","Normal")</f>
        <v>High Risk Exposure</v>
      </c>
      <c r="T1647" t="str" cm="1">
        <f t="array" ref="T1647">_xlfn.IFS(
Loans[[#This Row],[LoanStatus]]="Default","Critical",
OR(Loans[[#This Row],[LoanStatus]]="Watchlist",Loans[[#This Row],[CollateralRisk]]="Undersecured",Loans[[#This Row],[RiskCategory]]="High Risk"),"High",
TRUE,"Normal"
)</f>
        <v>High</v>
      </c>
    </row>
    <row r="1648" spans="1:20" x14ac:dyDescent="0.35">
      <c r="A1648" t="s">
        <v>2467</v>
      </c>
      <c r="B1648" t="s">
        <v>262</v>
      </c>
      <c r="C1648" t="s">
        <v>270</v>
      </c>
      <c r="D1648" t="s">
        <v>158</v>
      </c>
      <c r="E1648" s="34">
        <v>3000000</v>
      </c>
      <c r="F1648" s="29">
        <v>0.1865</v>
      </c>
      <c r="G1648" s="30">
        <v>44112</v>
      </c>
      <c r="H1648">
        <v>36</v>
      </c>
      <c r="I1648">
        <v>0</v>
      </c>
      <c r="J1648" s="34">
        <v>3240000</v>
      </c>
      <c r="K1648" t="s">
        <v>171</v>
      </c>
      <c r="L1648" s="34">
        <f>PMT(Loans[[#This Row],[InterestRate]]/12,Loans[[#This Row],[LoanTenureMonths]],-Loans[[#This Row],[LoanAmount]])</f>
        <v>109437.90748234895</v>
      </c>
      <c r="M1648" s="30">
        <f>EDATE(Loans[[#This Row],[LoanStartDate]],Loans[[#This Row],[LoanTenureMonths]])</f>
        <v>45207</v>
      </c>
      <c r="N1648" s="33">
        <f>IF(Loans[[#This Row],[LoanAmount]]=0,0,Loans[[#This Row],[CollateralValue]]/Loans[[#This Row],[LoanAmount]])</f>
        <v>1.08</v>
      </c>
      <c r="O1648" t="str">
        <f>IF(Loans[[#This Row],[CollateralCoverageRatio]]&lt;1,"Undersecured","Secured")</f>
        <v>Secured</v>
      </c>
      <c r="P1648" t="str">
        <f>_xlfn.XLOOKUP(Loans[[#This Row],[BranchCode]],BranchesTbl[BranchCode],BranchesTbl[BranchName])</f>
        <v>Nakuru</v>
      </c>
      <c r="Q1648">
        <f>_xlfn.XLOOKUP(Loans[[#This Row],[CustomerID]],CustomerTbl[CustomerID],CustomerTbl[RiskScore])</f>
        <v>714</v>
      </c>
      <c r="R1648" t="str">
        <f>IFERROR(INDEX(RiskTbl[Risk_Category],MATCH(Loans[[#This Row],[RiskScore]],RiskTbl[Score_Min],1)),"Unknown")</f>
        <v>Low Risk</v>
      </c>
      <c r="S1648" t="str">
        <f>IF(OR(Loans[[#This Row],[LoanStatus]]="Default",Loans[[#This Row],[LoanStatus]]="Watchlist",Loans[[#This Row],[CollateralRisk]]="Undersecured",Loans[[#This Row],[RiskCategory]]="High Risk"),"High Risk Exposure","Normal")</f>
        <v>Normal</v>
      </c>
      <c r="T1648" t="str" cm="1">
        <f t="array" ref="T1648">_xlfn.IFS(
Loans[[#This Row],[LoanStatus]]="Default","Critical",
OR(Loans[[#This Row],[LoanStatus]]="Watchlist",Loans[[#This Row],[CollateralRisk]]="Undersecured",Loans[[#This Row],[RiskCategory]]="High Risk"),"High",
TRUE,"Normal"
)</f>
        <v>Normal</v>
      </c>
    </row>
    <row r="1649" spans="1:20" x14ac:dyDescent="0.35">
      <c r="A1649" t="s">
        <v>2468</v>
      </c>
      <c r="B1649" t="s">
        <v>2469</v>
      </c>
      <c r="C1649" t="s">
        <v>181</v>
      </c>
      <c r="D1649" t="s">
        <v>155</v>
      </c>
      <c r="E1649" s="34">
        <v>100000</v>
      </c>
      <c r="F1649" s="29">
        <v>0.17560000000000001</v>
      </c>
      <c r="G1649" s="30">
        <v>44721</v>
      </c>
      <c r="H1649">
        <v>48</v>
      </c>
      <c r="I1649">
        <v>0</v>
      </c>
      <c r="J1649" s="34">
        <v>0</v>
      </c>
      <c r="K1649" t="s">
        <v>171</v>
      </c>
      <c r="L1649" s="34">
        <f>PMT(Loans[[#This Row],[InterestRate]]/12,Loans[[#This Row],[LoanTenureMonths]],-Loans[[#This Row],[LoanAmount]])</f>
        <v>2914.5580453090238</v>
      </c>
      <c r="M1649" s="30">
        <f>EDATE(Loans[[#This Row],[LoanStartDate]],Loans[[#This Row],[LoanTenureMonths]])</f>
        <v>46182</v>
      </c>
      <c r="N1649" s="33">
        <f>IF(Loans[[#This Row],[LoanAmount]]=0,0,Loans[[#This Row],[CollateralValue]]/Loans[[#This Row],[LoanAmount]])</f>
        <v>0</v>
      </c>
      <c r="O1649" t="str">
        <f>IF(Loans[[#This Row],[CollateralCoverageRatio]]&lt;1,"Undersecured","Secured")</f>
        <v>Undersecured</v>
      </c>
      <c r="P1649" t="str">
        <f>_xlfn.XLOOKUP(Loans[[#This Row],[BranchCode]],BranchesTbl[BranchCode],BranchesTbl[BranchName])</f>
        <v>Kitale</v>
      </c>
      <c r="Q1649">
        <f>_xlfn.XLOOKUP(Loans[[#This Row],[CustomerID]],CustomerTbl[CustomerID],CustomerTbl[RiskScore])</f>
        <v>798</v>
      </c>
      <c r="R1649" t="str">
        <f>IFERROR(INDEX(RiskTbl[Risk_Category],MATCH(Loans[[#This Row],[RiskScore]],RiskTbl[Score_Min],1)),"Unknown")</f>
        <v>Very Low Risk</v>
      </c>
      <c r="S1649" t="str">
        <f>IF(OR(Loans[[#This Row],[LoanStatus]]="Default",Loans[[#This Row],[LoanStatus]]="Watchlist",Loans[[#This Row],[CollateralRisk]]="Undersecured",Loans[[#This Row],[RiskCategory]]="High Risk"),"High Risk Exposure","Normal")</f>
        <v>High Risk Exposure</v>
      </c>
      <c r="T1649" t="str" cm="1">
        <f t="array" ref="T1649">_xlfn.IFS(
Loans[[#This Row],[LoanStatus]]="Default","Critical",
OR(Loans[[#This Row],[LoanStatus]]="Watchlist",Loans[[#This Row],[CollateralRisk]]="Undersecured",Loans[[#This Row],[RiskCategory]]="High Risk"),"High",
TRUE,"Normal"
)</f>
        <v>High</v>
      </c>
    </row>
    <row r="1650" spans="1:20" x14ac:dyDescent="0.35">
      <c r="A1650" t="s">
        <v>2470</v>
      </c>
      <c r="B1650" t="s">
        <v>294</v>
      </c>
      <c r="C1650" t="s">
        <v>206</v>
      </c>
      <c r="D1650" t="s">
        <v>157</v>
      </c>
      <c r="E1650" s="34">
        <v>80000000</v>
      </c>
      <c r="F1650" s="29">
        <v>0.1328</v>
      </c>
      <c r="G1650" s="30">
        <v>45195</v>
      </c>
      <c r="H1650">
        <v>48</v>
      </c>
      <c r="I1650">
        <v>10</v>
      </c>
      <c r="J1650" s="34">
        <v>70400000</v>
      </c>
      <c r="K1650" t="s">
        <v>171</v>
      </c>
      <c r="L1650" s="34">
        <f>PMT(Loans[[#This Row],[InterestRate]]/12,Loans[[#This Row],[LoanTenureMonths]],-Loans[[#This Row],[LoanAmount]])</f>
        <v>2157334.0328895571</v>
      </c>
      <c r="M1650" s="30">
        <f>EDATE(Loans[[#This Row],[LoanStartDate]],Loans[[#This Row],[LoanTenureMonths]])</f>
        <v>46656</v>
      </c>
      <c r="N1650" s="33">
        <f>IF(Loans[[#This Row],[LoanAmount]]=0,0,Loans[[#This Row],[CollateralValue]]/Loans[[#This Row],[LoanAmount]])</f>
        <v>0.88</v>
      </c>
      <c r="O1650" t="str">
        <f>IF(Loans[[#This Row],[CollateralCoverageRatio]]&lt;1,"Undersecured","Secured")</f>
        <v>Undersecured</v>
      </c>
      <c r="P1650" t="str">
        <f>_xlfn.XLOOKUP(Loans[[#This Row],[BranchCode]],BranchesTbl[BranchCode],BranchesTbl[BranchName])</f>
        <v>Nyahururu</v>
      </c>
      <c r="Q1650">
        <f>_xlfn.XLOOKUP(Loans[[#This Row],[CustomerID]],CustomerTbl[CustomerID],CustomerTbl[RiskScore])</f>
        <v>511</v>
      </c>
      <c r="R1650" t="str">
        <f>IFERROR(INDEX(RiskTbl[Risk_Category],MATCH(Loans[[#This Row],[RiskScore]],RiskTbl[Score_Min],1)),"Unknown")</f>
        <v>High Risk</v>
      </c>
      <c r="S1650" t="str">
        <f>IF(OR(Loans[[#This Row],[LoanStatus]]="Default",Loans[[#This Row],[LoanStatus]]="Watchlist",Loans[[#This Row],[CollateralRisk]]="Undersecured",Loans[[#This Row],[RiskCategory]]="High Risk"),"High Risk Exposure","Normal")</f>
        <v>High Risk Exposure</v>
      </c>
      <c r="T1650" t="str" cm="1">
        <f t="array" ref="T1650">_xlfn.IFS(
Loans[[#This Row],[LoanStatus]]="Default","Critical",
OR(Loans[[#This Row],[LoanStatus]]="Watchlist",Loans[[#This Row],[CollateralRisk]]="Undersecured",Loans[[#This Row],[RiskCategory]]="High Risk"),"High",
TRUE,"Normal"
)</f>
        <v>High</v>
      </c>
    </row>
    <row r="1651" spans="1:20" x14ac:dyDescent="0.35">
      <c r="A1651" t="s">
        <v>2471</v>
      </c>
      <c r="B1651" t="s">
        <v>916</v>
      </c>
      <c r="C1651" t="s">
        <v>174</v>
      </c>
      <c r="D1651" t="s">
        <v>155</v>
      </c>
      <c r="E1651" s="34">
        <v>100000</v>
      </c>
      <c r="F1651" s="29">
        <v>0.23799999999999999</v>
      </c>
      <c r="G1651" s="30">
        <v>45108</v>
      </c>
      <c r="H1651">
        <v>24</v>
      </c>
      <c r="I1651">
        <v>90</v>
      </c>
      <c r="J1651" s="34">
        <v>0</v>
      </c>
      <c r="K1651" t="s">
        <v>199</v>
      </c>
      <c r="L1651" s="34">
        <f>PMT(Loans[[#This Row],[InterestRate]]/12,Loans[[#This Row],[LoanTenureMonths]],-Loans[[#This Row],[LoanAmount]])</f>
        <v>5277.1328203922967</v>
      </c>
      <c r="M1651" s="30">
        <f>EDATE(Loans[[#This Row],[LoanStartDate]],Loans[[#This Row],[LoanTenureMonths]])</f>
        <v>45839</v>
      </c>
      <c r="N1651" s="33">
        <f>IF(Loans[[#This Row],[LoanAmount]]=0,0,Loans[[#This Row],[CollateralValue]]/Loans[[#This Row],[LoanAmount]])</f>
        <v>0</v>
      </c>
      <c r="O1651" t="str">
        <f>IF(Loans[[#This Row],[CollateralCoverageRatio]]&lt;1,"Undersecured","Secured")</f>
        <v>Undersecured</v>
      </c>
      <c r="P1651" t="str">
        <f>_xlfn.XLOOKUP(Loans[[#This Row],[BranchCode]],BranchesTbl[BranchCode],BranchesTbl[BranchName])</f>
        <v>Westlands</v>
      </c>
      <c r="Q1651">
        <f>_xlfn.XLOOKUP(Loans[[#This Row],[CustomerID]],CustomerTbl[CustomerID],CustomerTbl[RiskScore])</f>
        <v>366</v>
      </c>
      <c r="R1651" t="str">
        <f>IFERROR(INDEX(RiskTbl[Risk_Category],MATCH(Loans[[#This Row],[RiskScore]],RiskTbl[Score_Min],1)),"Unknown")</f>
        <v>High Risk</v>
      </c>
      <c r="S1651" t="str">
        <f>IF(OR(Loans[[#This Row],[LoanStatus]]="Default",Loans[[#This Row],[LoanStatus]]="Watchlist",Loans[[#This Row],[CollateralRisk]]="Undersecured",Loans[[#This Row],[RiskCategory]]="High Risk"),"High Risk Exposure","Normal")</f>
        <v>High Risk Exposure</v>
      </c>
      <c r="T1651" t="str" cm="1">
        <f t="array" ref="T1651">_xlfn.IFS(
Loans[[#This Row],[LoanStatus]]="Default","Critical",
OR(Loans[[#This Row],[LoanStatus]]="Watchlist",Loans[[#This Row],[CollateralRisk]]="Undersecured",Loans[[#This Row],[RiskCategory]]="High Risk"),"High",
TRUE,"Normal"
)</f>
        <v>High</v>
      </c>
    </row>
    <row r="1652" spans="1:20" x14ac:dyDescent="0.35">
      <c r="A1652" t="s">
        <v>2472</v>
      </c>
      <c r="B1652" t="s">
        <v>349</v>
      </c>
      <c r="C1652" t="s">
        <v>270</v>
      </c>
      <c r="D1652" t="s">
        <v>157</v>
      </c>
      <c r="E1652" s="34">
        <v>80000000</v>
      </c>
      <c r="F1652" s="29">
        <v>0.114</v>
      </c>
      <c r="G1652" s="30">
        <v>46008</v>
      </c>
      <c r="H1652">
        <v>36</v>
      </c>
      <c r="I1652">
        <v>5</v>
      </c>
      <c r="J1652" s="34">
        <v>101600000</v>
      </c>
      <c r="K1652" t="s">
        <v>171</v>
      </c>
      <c r="L1652" s="34">
        <f>PMT(Loans[[#This Row],[InterestRate]]/12,Loans[[#This Row],[LoanTenureMonths]],-Loans[[#This Row],[LoanAmount]])</f>
        <v>2634277.3913178709</v>
      </c>
      <c r="M1652" s="30">
        <f>EDATE(Loans[[#This Row],[LoanStartDate]],Loans[[#This Row],[LoanTenureMonths]])</f>
        <v>47104</v>
      </c>
      <c r="N1652" s="33">
        <f>IF(Loans[[#This Row],[LoanAmount]]=0,0,Loans[[#This Row],[CollateralValue]]/Loans[[#This Row],[LoanAmount]])</f>
        <v>1.27</v>
      </c>
      <c r="O1652" t="str">
        <f>IF(Loans[[#This Row],[CollateralCoverageRatio]]&lt;1,"Undersecured","Secured")</f>
        <v>Secured</v>
      </c>
      <c r="P1652" t="str">
        <f>_xlfn.XLOOKUP(Loans[[#This Row],[BranchCode]],BranchesTbl[BranchCode],BranchesTbl[BranchName])</f>
        <v>Nakuru</v>
      </c>
      <c r="Q1652">
        <f>_xlfn.XLOOKUP(Loans[[#This Row],[CustomerID]],CustomerTbl[CustomerID],CustomerTbl[RiskScore])</f>
        <v>561</v>
      </c>
      <c r="R1652" t="str">
        <f>IFERROR(INDEX(RiskTbl[Risk_Category],MATCH(Loans[[#This Row],[RiskScore]],RiskTbl[Score_Min],1)),"Unknown")</f>
        <v>High Risk</v>
      </c>
      <c r="S1652" t="str">
        <f>IF(OR(Loans[[#This Row],[LoanStatus]]="Default",Loans[[#This Row],[LoanStatus]]="Watchlist",Loans[[#This Row],[CollateralRisk]]="Undersecured",Loans[[#This Row],[RiskCategory]]="High Risk"),"High Risk Exposure","Normal")</f>
        <v>High Risk Exposure</v>
      </c>
      <c r="T1652" t="str" cm="1">
        <f t="array" ref="T1652">_xlfn.IFS(
Loans[[#This Row],[LoanStatus]]="Default","Critical",
OR(Loans[[#This Row],[LoanStatus]]="Watchlist",Loans[[#This Row],[CollateralRisk]]="Undersecured",Loans[[#This Row],[RiskCategory]]="High Risk"),"High",
TRUE,"Normal"
)</f>
        <v>High</v>
      </c>
    </row>
    <row r="1653" spans="1:20" x14ac:dyDescent="0.35">
      <c r="A1653" t="s">
        <v>2473</v>
      </c>
      <c r="B1653" t="s">
        <v>353</v>
      </c>
      <c r="C1653" t="s">
        <v>184</v>
      </c>
      <c r="D1653" t="s">
        <v>158</v>
      </c>
      <c r="E1653" s="34">
        <v>3000000</v>
      </c>
      <c r="F1653" s="29">
        <v>0.13300000000000001</v>
      </c>
      <c r="G1653" s="30">
        <v>44036</v>
      </c>
      <c r="H1653">
        <v>48</v>
      </c>
      <c r="I1653">
        <v>0</v>
      </c>
      <c r="J1653" s="34">
        <v>2550000</v>
      </c>
      <c r="K1653" t="s">
        <v>171</v>
      </c>
      <c r="L1653" s="34">
        <f>PMT(Loans[[#This Row],[InterestRate]]/12,Loans[[#This Row],[LoanTenureMonths]],-Loans[[#This Row],[LoanAmount]])</f>
        <v>80929.898248582787</v>
      </c>
      <c r="M1653" s="30">
        <f>EDATE(Loans[[#This Row],[LoanStartDate]],Loans[[#This Row],[LoanTenureMonths]])</f>
        <v>45497</v>
      </c>
      <c r="N1653" s="33">
        <f>IF(Loans[[#This Row],[LoanAmount]]=0,0,Loans[[#This Row],[CollateralValue]]/Loans[[#This Row],[LoanAmount]])</f>
        <v>0.85</v>
      </c>
      <c r="O1653" t="str">
        <f>IF(Loans[[#This Row],[CollateralCoverageRatio]]&lt;1,"Undersecured","Secured")</f>
        <v>Undersecured</v>
      </c>
      <c r="P1653" t="str">
        <f>_xlfn.XLOOKUP(Loans[[#This Row],[BranchCode]],BranchesTbl[BranchCode],BranchesTbl[BranchName])</f>
        <v>Kisumu</v>
      </c>
      <c r="Q1653">
        <f>_xlfn.XLOOKUP(Loans[[#This Row],[CustomerID]],CustomerTbl[CustomerID],CustomerTbl[RiskScore])</f>
        <v>402</v>
      </c>
      <c r="R1653" t="str">
        <f>IFERROR(INDEX(RiskTbl[Risk_Category],MATCH(Loans[[#This Row],[RiskScore]],RiskTbl[Score_Min],1)),"Unknown")</f>
        <v>High Risk</v>
      </c>
      <c r="S1653" t="str">
        <f>IF(OR(Loans[[#This Row],[LoanStatus]]="Default",Loans[[#This Row],[LoanStatus]]="Watchlist",Loans[[#This Row],[CollateralRisk]]="Undersecured",Loans[[#This Row],[RiskCategory]]="High Risk"),"High Risk Exposure","Normal")</f>
        <v>High Risk Exposure</v>
      </c>
      <c r="T1653" t="str" cm="1">
        <f t="array" ref="T1653">_xlfn.IFS(
Loans[[#This Row],[LoanStatus]]="Default","Critical",
OR(Loans[[#This Row],[LoanStatus]]="Watchlist",Loans[[#This Row],[CollateralRisk]]="Undersecured",Loans[[#This Row],[RiskCategory]]="High Risk"),"High",
TRUE,"Normal"
)</f>
        <v>High</v>
      </c>
    </row>
    <row r="1654" spans="1:20" x14ac:dyDescent="0.35">
      <c r="A1654" t="s">
        <v>2474</v>
      </c>
      <c r="B1654" t="s">
        <v>879</v>
      </c>
      <c r="C1654" t="s">
        <v>219</v>
      </c>
      <c r="D1654" t="s">
        <v>158</v>
      </c>
      <c r="E1654" s="34">
        <v>6000000</v>
      </c>
      <c r="F1654" s="29">
        <v>0.151</v>
      </c>
      <c r="G1654" s="30">
        <v>43891</v>
      </c>
      <c r="H1654">
        <v>12</v>
      </c>
      <c r="I1654">
        <v>90</v>
      </c>
      <c r="J1654" s="34">
        <v>8040000</v>
      </c>
      <c r="K1654" t="s">
        <v>199</v>
      </c>
      <c r="L1654" s="34">
        <f>PMT(Loans[[#This Row],[InterestRate]]/12,Loans[[#This Row],[LoanTenureMonths]],-Loans[[#This Row],[LoanAmount]])</f>
        <v>541833.0368731292</v>
      </c>
      <c r="M1654" s="30">
        <f>EDATE(Loans[[#This Row],[LoanStartDate]],Loans[[#This Row],[LoanTenureMonths]])</f>
        <v>44256</v>
      </c>
      <c r="N1654" s="33">
        <f>IF(Loans[[#This Row],[LoanAmount]]=0,0,Loans[[#This Row],[CollateralValue]]/Loans[[#This Row],[LoanAmount]])</f>
        <v>1.34</v>
      </c>
      <c r="O1654" t="str">
        <f>IF(Loans[[#This Row],[CollateralCoverageRatio]]&lt;1,"Undersecured","Secured")</f>
        <v>Secured</v>
      </c>
      <c r="P1654" t="str">
        <f>_xlfn.XLOOKUP(Loans[[#This Row],[BranchCode]],BranchesTbl[BranchCode],BranchesTbl[BranchName])</f>
        <v>Meru</v>
      </c>
      <c r="Q1654">
        <f>_xlfn.XLOOKUP(Loans[[#This Row],[CustomerID]],CustomerTbl[CustomerID],CustomerTbl[RiskScore])</f>
        <v>580</v>
      </c>
      <c r="R1654" t="str">
        <f>IFERROR(INDEX(RiskTbl[Risk_Category],MATCH(Loans[[#This Row],[RiskScore]],RiskTbl[Score_Min],1)),"Unknown")</f>
        <v>Medium Risk</v>
      </c>
      <c r="S1654" t="str">
        <f>IF(OR(Loans[[#This Row],[LoanStatus]]="Default",Loans[[#This Row],[LoanStatus]]="Watchlist",Loans[[#This Row],[CollateralRisk]]="Undersecured",Loans[[#This Row],[RiskCategory]]="High Risk"),"High Risk Exposure","Normal")</f>
        <v>High Risk Exposure</v>
      </c>
      <c r="T1654" t="str" cm="1">
        <f t="array" ref="T1654">_xlfn.IFS(
Loans[[#This Row],[LoanStatus]]="Default","Critical",
OR(Loans[[#This Row],[LoanStatus]]="Watchlist",Loans[[#This Row],[CollateralRisk]]="Undersecured",Loans[[#This Row],[RiskCategory]]="High Risk"),"High",
TRUE,"Normal"
)</f>
        <v>High</v>
      </c>
    </row>
    <row r="1655" spans="1:20" x14ac:dyDescent="0.35">
      <c r="A1655" t="s">
        <v>2475</v>
      </c>
      <c r="B1655" t="s">
        <v>1261</v>
      </c>
      <c r="C1655" t="s">
        <v>270</v>
      </c>
      <c r="D1655" t="s">
        <v>158</v>
      </c>
      <c r="E1655" s="34">
        <v>500000</v>
      </c>
      <c r="F1655" s="29">
        <v>0.15870000000000001</v>
      </c>
      <c r="G1655" s="30">
        <v>44892</v>
      </c>
      <c r="H1655">
        <v>24</v>
      </c>
      <c r="I1655">
        <v>0</v>
      </c>
      <c r="J1655" s="34">
        <v>480000</v>
      </c>
      <c r="K1655" t="s">
        <v>171</v>
      </c>
      <c r="L1655" s="34">
        <f>PMT(Loans[[#This Row],[InterestRate]]/12,Loans[[#This Row],[LoanTenureMonths]],-Loans[[#This Row],[LoanAmount]])</f>
        <v>24450.509036269315</v>
      </c>
      <c r="M1655" s="30">
        <f>EDATE(Loans[[#This Row],[LoanStartDate]],Loans[[#This Row],[LoanTenureMonths]])</f>
        <v>45623</v>
      </c>
      <c r="N1655" s="33">
        <f>IF(Loans[[#This Row],[LoanAmount]]=0,0,Loans[[#This Row],[CollateralValue]]/Loans[[#This Row],[LoanAmount]])</f>
        <v>0.96</v>
      </c>
      <c r="O1655" t="str">
        <f>IF(Loans[[#This Row],[CollateralCoverageRatio]]&lt;1,"Undersecured","Secured")</f>
        <v>Undersecured</v>
      </c>
      <c r="P1655" t="str">
        <f>_xlfn.XLOOKUP(Loans[[#This Row],[BranchCode]],BranchesTbl[BranchCode],BranchesTbl[BranchName])</f>
        <v>Nakuru</v>
      </c>
      <c r="Q1655">
        <f>_xlfn.XLOOKUP(Loans[[#This Row],[CustomerID]],CustomerTbl[CustomerID],CustomerTbl[RiskScore])</f>
        <v>708</v>
      </c>
      <c r="R1655" t="str">
        <f>IFERROR(INDEX(RiskTbl[Risk_Category],MATCH(Loans[[#This Row],[RiskScore]],RiskTbl[Score_Min],1)),"Unknown")</f>
        <v>Low Risk</v>
      </c>
      <c r="S1655" t="str">
        <f>IF(OR(Loans[[#This Row],[LoanStatus]]="Default",Loans[[#This Row],[LoanStatus]]="Watchlist",Loans[[#This Row],[CollateralRisk]]="Undersecured",Loans[[#This Row],[RiskCategory]]="High Risk"),"High Risk Exposure","Normal")</f>
        <v>High Risk Exposure</v>
      </c>
      <c r="T1655" t="str" cm="1">
        <f t="array" ref="T1655">_xlfn.IFS(
Loans[[#This Row],[LoanStatus]]="Default","Critical",
OR(Loans[[#This Row],[LoanStatus]]="Watchlist",Loans[[#This Row],[CollateralRisk]]="Undersecured",Loans[[#This Row],[RiskCategory]]="High Risk"),"High",
TRUE,"Normal"
)</f>
        <v>High</v>
      </c>
    </row>
    <row r="1656" spans="1:20" x14ac:dyDescent="0.35">
      <c r="A1656" t="s">
        <v>2476</v>
      </c>
      <c r="B1656" t="s">
        <v>1754</v>
      </c>
      <c r="C1656" t="s">
        <v>270</v>
      </c>
      <c r="D1656" t="s">
        <v>156</v>
      </c>
      <c r="E1656" s="34">
        <v>6000000</v>
      </c>
      <c r="F1656" s="29">
        <v>0.14929999999999999</v>
      </c>
      <c r="G1656" s="30">
        <v>45486</v>
      </c>
      <c r="H1656">
        <v>36</v>
      </c>
      <c r="I1656">
        <v>120</v>
      </c>
      <c r="J1656" s="34">
        <v>8640000</v>
      </c>
      <c r="K1656" t="s">
        <v>178</v>
      </c>
      <c r="L1656" s="34">
        <f>PMT(Loans[[#This Row],[InterestRate]]/12,Loans[[#This Row],[LoanTenureMonths]],-Loans[[#This Row],[LoanAmount]])</f>
        <v>207786.35414154432</v>
      </c>
      <c r="M1656" s="30">
        <f>EDATE(Loans[[#This Row],[LoanStartDate]],Loans[[#This Row],[LoanTenureMonths]])</f>
        <v>46581</v>
      </c>
      <c r="N1656" s="33">
        <f>IF(Loans[[#This Row],[LoanAmount]]=0,0,Loans[[#This Row],[CollateralValue]]/Loans[[#This Row],[LoanAmount]])</f>
        <v>1.44</v>
      </c>
      <c r="O1656" t="str">
        <f>IF(Loans[[#This Row],[CollateralCoverageRatio]]&lt;1,"Undersecured","Secured")</f>
        <v>Secured</v>
      </c>
      <c r="P1656" t="str">
        <f>_xlfn.XLOOKUP(Loans[[#This Row],[BranchCode]],BranchesTbl[BranchCode],BranchesTbl[BranchName])</f>
        <v>Nakuru</v>
      </c>
      <c r="Q1656">
        <f>_xlfn.XLOOKUP(Loans[[#This Row],[CustomerID]],CustomerTbl[CustomerID],CustomerTbl[RiskScore])</f>
        <v>308</v>
      </c>
      <c r="R1656" t="str">
        <f>IFERROR(INDEX(RiskTbl[Risk_Category],MATCH(Loans[[#This Row],[RiskScore]],RiskTbl[Score_Min],1)),"Unknown")</f>
        <v>High Risk</v>
      </c>
      <c r="S1656" t="str">
        <f>IF(OR(Loans[[#This Row],[LoanStatus]]="Default",Loans[[#This Row],[LoanStatus]]="Watchlist",Loans[[#This Row],[CollateralRisk]]="Undersecured",Loans[[#This Row],[RiskCategory]]="High Risk"),"High Risk Exposure","Normal")</f>
        <v>High Risk Exposure</v>
      </c>
      <c r="T1656" t="str" cm="1">
        <f t="array" ref="T1656">_xlfn.IFS(
Loans[[#This Row],[LoanStatus]]="Default","Critical",
OR(Loans[[#This Row],[LoanStatus]]="Watchlist",Loans[[#This Row],[CollateralRisk]]="Undersecured",Loans[[#This Row],[RiskCategory]]="High Risk"),"High",
TRUE,"Normal"
)</f>
        <v>Critical</v>
      </c>
    </row>
    <row r="1657" spans="1:20" x14ac:dyDescent="0.35">
      <c r="A1657" t="s">
        <v>2477</v>
      </c>
      <c r="B1657" t="s">
        <v>1123</v>
      </c>
      <c r="C1657" t="s">
        <v>170</v>
      </c>
      <c r="D1657" t="s">
        <v>155</v>
      </c>
      <c r="E1657" s="34">
        <v>250000</v>
      </c>
      <c r="F1657" s="29">
        <v>0.26519999999999999</v>
      </c>
      <c r="G1657" s="30">
        <v>45172</v>
      </c>
      <c r="H1657">
        <v>36</v>
      </c>
      <c r="I1657">
        <v>45</v>
      </c>
      <c r="J1657" s="34">
        <v>0</v>
      </c>
      <c r="K1657" t="s">
        <v>199</v>
      </c>
      <c r="L1657" s="34">
        <f>PMT(Loans[[#This Row],[InterestRate]]/12,Loans[[#This Row],[LoanTenureMonths]],-Loans[[#This Row],[LoanAmount]])</f>
        <v>10142.034215883619</v>
      </c>
      <c r="M1657" s="30">
        <f>EDATE(Loans[[#This Row],[LoanStartDate]],Loans[[#This Row],[LoanTenureMonths]])</f>
        <v>46268</v>
      </c>
      <c r="N1657" s="33">
        <f>IF(Loans[[#This Row],[LoanAmount]]=0,0,Loans[[#This Row],[CollateralValue]]/Loans[[#This Row],[LoanAmount]])</f>
        <v>0</v>
      </c>
      <c r="O1657" t="str">
        <f>IF(Loans[[#This Row],[CollateralCoverageRatio]]&lt;1,"Undersecured","Secured")</f>
        <v>Undersecured</v>
      </c>
      <c r="P1657" t="str">
        <f>_xlfn.XLOOKUP(Loans[[#This Row],[BranchCode]],BranchesTbl[BranchCode],BranchesTbl[BranchName])</f>
        <v>Thika</v>
      </c>
      <c r="Q1657">
        <f>_xlfn.XLOOKUP(Loans[[#This Row],[CustomerID]],CustomerTbl[CustomerID],CustomerTbl[RiskScore])</f>
        <v>545</v>
      </c>
      <c r="R1657" t="str">
        <f>IFERROR(INDEX(RiskTbl[Risk_Category],MATCH(Loans[[#This Row],[RiskScore]],RiskTbl[Score_Min],1)),"Unknown")</f>
        <v>High Risk</v>
      </c>
      <c r="S1657" t="str">
        <f>IF(OR(Loans[[#This Row],[LoanStatus]]="Default",Loans[[#This Row],[LoanStatus]]="Watchlist",Loans[[#This Row],[CollateralRisk]]="Undersecured",Loans[[#This Row],[RiskCategory]]="High Risk"),"High Risk Exposure","Normal")</f>
        <v>High Risk Exposure</v>
      </c>
      <c r="T1657" t="str" cm="1">
        <f t="array" ref="T1657">_xlfn.IFS(
Loans[[#This Row],[LoanStatus]]="Default","Critical",
OR(Loans[[#This Row],[LoanStatus]]="Watchlist",Loans[[#This Row],[CollateralRisk]]="Undersecured",Loans[[#This Row],[RiskCategory]]="High Risk"),"High",
TRUE,"Normal"
)</f>
        <v>High</v>
      </c>
    </row>
    <row r="1658" spans="1:20" x14ac:dyDescent="0.35">
      <c r="A1658" t="s">
        <v>2478</v>
      </c>
      <c r="B1658" t="s">
        <v>657</v>
      </c>
      <c r="C1658" t="s">
        <v>187</v>
      </c>
      <c r="D1658" t="s">
        <v>156</v>
      </c>
      <c r="E1658" s="34">
        <v>6000000</v>
      </c>
      <c r="F1658" s="29">
        <v>0.1671</v>
      </c>
      <c r="G1658" s="30">
        <v>45372</v>
      </c>
      <c r="H1658">
        <v>60</v>
      </c>
      <c r="I1658">
        <v>20</v>
      </c>
      <c r="J1658" s="34">
        <v>4500000</v>
      </c>
      <c r="K1658" t="s">
        <v>171</v>
      </c>
      <c r="L1658" s="34">
        <f>PMT(Loans[[#This Row],[InterestRate]]/12,Loans[[#This Row],[LoanTenureMonths]],-Loans[[#This Row],[LoanAmount]])</f>
        <v>148181.46441169773</v>
      </c>
      <c r="M1658" s="30">
        <f>EDATE(Loans[[#This Row],[LoanStartDate]],Loans[[#This Row],[LoanTenureMonths]])</f>
        <v>47198</v>
      </c>
      <c r="N1658" s="33">
        <f>IF(Loans[[#This Row],[LoanAmount]]=0,0,Loans[[#This Row],[CollateralValue]]/Loans[[#This Row],[LoanAmount]])</f>
        <v>0.75</v>
      </c>
      <c r="O1658" t="str">
        <f>IF(Loans[[#This Row],[CollateralCoverageRatio]]&lt;1,"Undersecured","Secured")</f>
        <v>Undersecured</v>
      </c>
      <c r="P1658" t="str">
        <f>_xlfn.XLOOKUP(Loans[[#This Row],[BranchCode]],BranchesTbl[BranchCode],BranchesTbl[BranchName])</f>
        <v>Eldoret</v>
      </c>
      <c r="Q1658">
        <f>_xlfn.XLOOKUP(Loans[[#This Row],[CustomerID]],CustomerTbl[CustomerID],CustomerTbl[RiskScore])</f>
        <v>359</v>
      </c>
      <c r="R1658" t="str">
        <f>IFERROR(INDEX(RiskTbl[Risk_Category],MATCH(Loans[[#This Row],[RiskScore]],RiskTbl[Score_Min],1)),"Unknown")</f>
        <v>High Risk</v>
      </c>
      <c r="S1658" t="str">
        <f>IF(OR(Loans[[#This Row],[LoanStatus]]="Default",Loans[[#This Row],[LoanStatus]]="Watchlist",Loans[[#This Row],[CollateralRisk]]="Undersecured",Loans[[#This Row],[RiskCategory]]="High Risk"),"High Risk Exposure","Normal")</f>
        <v>High Risk Exposure</v>
      </c>
      <c r="T1658" t="str" cm="1">
        <f t="array" ref="T1658">_xlfn.IFS(
Loans[[#This Row],[LoanStatus]]="Default","Critical",
OR(Loans[[#This Row],[LoanStatus]]="Watchlist",Loans[[#This Row],[CollateralRisk]]="Undersecured",Loans[[#This Row],[RiskCategory]]="High Risk"),"High",
TRUE,"Normal"
)</f>
        <v>High</v>
      </c>
    </row>
    <row r="1659" spans="1:20" x14ac:dyDescent="0.35">
      <c r="A1659" t="s">
        <v>2479</v>
      </c>
      <c r="B1659" t="s">
        <v>538</v>
      </c>
      <c r="C1659" t="s">
        <v>190</v>
      </c>
      <c r="D1659" t="s">
        <v>157</v>
      </c>
      <c r="E1659" s="34">
        <v>6000000</v>
      </c>
      <c r="F1659" s="29">
        <v>0.111</v>
      </c>
      <c r="G1659" s="30">
        <v>45603</v>
      </c>
      <c r="H1659">
        <v>24</v>
      </c>
      <c r="I1659">
        <v>0</v>
      </c>
      <c r="J1659" s="34">
        <v>5640000</v>
      </c>
      <c r="K1659" t="s">
        <v>171</v>
      </c>
      <c r="L1659" s="34">
        <f>PMT(Loans[[#This Row],[InterestRate]]/12,Loans[[#This Row],[LoanTenureMonths]],-Loans[[#This Row],[LoanAmount]])</f>
        <v>279925.67517781036</v>
      </c>
      <c r="M1659" s="30">
        <f>EDATE(Loans[[#This Row],[LoanStartDate]],Loans[[#This Row],[LoanTenureMonths]])</f>
        <v>46333</v>
      </c>
      <c r="N1659" s="33">
        <f>IF(Loans[[#This Row],[LoanAmount]]=0,0,Loans[[#This Row],[CollateralValue]]/Loans[[#This Row],[LoanAmount]])</f>
        <v>0.94</v>
      </c>
      <c r="O1659" t="str">
        <f>IF(Loans[[#This Row],[CollateralCoverageRatio]]&lt;1,"Undersecured","Secured")</f>
        <v>Undersecured</v>
      </c>
      <c r="P1659" t="str">
        <f>_xlfn.XLOOKUP(Loans[[#This Row],[BranchCode]],BranchesTbl[BranchCode],BranchesTbl[BranchName])</f>
        <v>Nyeri</v>
      </c>
      <c r="Q1659">
        <f>_xlfn.XLOOKUP(Loans[[#This Row],[CustomerID]],CustomerTbl[CustomerID],CustomerTbl[RiskScore])</f>
        <v>325</v>
      </c>
      <c r="R1659" t="str">
        <f>IFERROR(INDEX(RiskTbl[Risk_Category],MATCH(Loans[[#This Row],[RiskScore]],RiskTbl[Score_Min],1)),"Unknown")</f>
        <v>High Risk</v>
      </c>
      <c r="S1659" t="str">
        <f>IF(OR(Loans[[#This Row],[LoanStatus]]="Default",Loans[[#This Row],[LoanStatus]]="Watchlist",Loans[[#This Row],[CollateralRisk]]="Undersecured",Loans[[#This Row],[RiskCategory]]="High Risk"),"High Risk Exposure","Normal")</f>
        <v>High Risk Exposure</v>
      </c>
      <c r="T1659" t="str" cm="1">
        <f t="array" ref="T1659">_xlfn.IFS(
Loans[[#This Row],[LoanStatus]]="Default","Critical",
OR(Loans[[#This Row],[LoanStatus]]="Watchlist",Loans[[#This Row],[CollateralRisk]]="Undersecured",Loans[[#This Row],[RiskCategory]]="High Risk"),"High",
TRUE,"Normal"
)</f>
        <v>High</v>
      </c>
    </row>
    <row r="1660" spans="1:20" x14ac:dyDescent="0.35">
      <c r="A1660" t="s">
        <v>2480</v>
      </c>
      <c r="B1660" t="s">
        <v>1030</v>
      </c>
      <c r="C1660" t="s">
        <v>196</v>
      </c>
      <c r="D1660" t="s">
        <v>156</v>
      </c>
      <c r="E1660" s="34">
        <v>6000000</v>
      </c>
      <c r="F1660" s="29">
        <v>0.1852</v>
      </c>
      <c r="G1660" s="30">
        <v>44311</v>
      </c>
      <c r="H1660">
        <v>48</v>
      </c>
      <c r="I1660">
        <v>10</v>
      </c>
      <c r="J1660" s="34">
        <v>6660000</v>
      </c>
      <c r="K1660" t="s">
        <v>171</v>
      </c>
      <c r="L1660" s="34">
        <f>PMT(Loans[[#This Row],[InterestRate]]/12,Loans[[#This Row],[LoanTenureMonths]],-Loans[[#This Row],[LoanAmount]])</f>
        <v>177884.51631155499</v>
      </c>
      <c r="M1660" s="30">
        <f>EDATE(Loans[[#This Row],[LoanStartDate]],Loans[[#This Row],[LoanTenureMonths]])</f>
        <v>45772</v>
      </c>
      <c r="N1660" s="33">
        <f>IF(Loans[[#This Row],[LoanAmount]]=0,0,Loans[[#This Row],[CollateralValue]]/Loans[[#This Row],[LoanAmount]])</f>
        <v>1.1100000000000001</v>
      </c>
      <c r="O1660" t="str">
        <f>IF(Loans[[#This Row],[CollateralCoverageRatio]]&lt;1,"Undersecured","Secured")</f>
        <v>Secured</v>
      </c>
      <c r="P1660" t="str">
        <f>_xlfn.XLOOKUP(Loans[[#This Row],[BranchCode]],BranchesTbl[BranchCode],BranchesTbl[BranchName])</f>
        <v>Karen</v>
      </c>
      <c r="Q1660">
        <f>_xlfn.XLOOKUP(Loans[[#This Row],[CustomerID]],CustomerTbl[CustomerID],CustomerTbl[RiskScore])</f>
        <v>343</v>
      </c>
      <c r="R1660" t="str">
        <f>IFERROR(INDEX(RiskTbl[Risk_Category],MATCH(Loans[[#This Row],[RiskScore]],RiskTbl[Score_Min],1)),"Unknown")</f>
        <v>High Risk</v>
      </c>
      <c r="S1660" t="str">
        <f>IF(OR(Loans[[#This Row],[LoanStatus]]="Default",Loans[[#This Row],[LoanStatus]]="Watchlist",Loans[[#This Row],[CollateralRisk]]="Undersecured",Loans[[#This Row],[RiskCategory]]="High Risk"),"High Risk Exposure","Normal")</f>
        <v>High Risk Exposure</v>
      </c>
      <c r="T1660" t="str" cm="1">
        <f t="array" ref="T1660">_xlfn.IFS(
Loans[[#This Row],[LoanStatus]]="Default","Critical",
OR(Loans[[#This Row],[LoanStatus]]="Watchlist",Loans[[#This Row],[CollateralRisk]]="Undersecured",Loans[[#This Row],[RiskCategory]]="High Risk"),"High",
TRUE,"Normal"
)</f>
        <v>High</v>
      </c>
    </row>
    <row r="1661" spans="1:20" x14ac:dyDescent="0.35">
      <c r="A1661" t="s">
        <v>2481</v>
      </c>
      <c r="B1661" t="s">
        <v>1157</v>
      </c>
      <c r="C1661" t="s">
        <v>187</v>
      </c>
      <c r="D1661" t="s">
        <v>157</v>
      </c>
      <c r="E1661" s="34">
        <v>6000000</v>
      </c>
      <c r="F1661" s="29">
        <v>0.13239999999999999</v>
      </c>
      <c r="G1661" s="30">
        <v>44250</v>
      </c>
      <c r="H1661">
        <v>48</v>
      </c>
      <c r="I1661">
        <v>10</v>
      </c>
      <c r="J1661" s="34">
        <v>8400000</v>
      </c>
      <c r="K1661" t="s">
        <v>171</v>
      </c>
      <c r="L1661" s="34">
        <f>PMT(Loans[[#This Row],[InterestRate]]/12,Loans[[#This Row],[LoanTenureMonths]],-Loans[[#This Row],[LoanAmount]])</f>
        <v>161680.60265572526</v>
      </c>
      <c r="M1661" s="30">
        <f>EDATE(Loans[[#This Row],[LoanStartDate]],Loans[[#This Row],[LoanTenureMonths]])</f>
        <v>45711</v>
      </c>
      <c r="N1661" s="33">
        <f>IF(Loans[[#This Row],[LoanAmount]]=0,0,Loans[[#This Row],[CollateralValue]]/Loans[[#This Row],[LoanAmount]])</f>
        <v>1.4</v>
      </c>
      <c r="O1661" t="str">
        <f>IF(Loans[[#This Row],[CollateralCoverageRatio]]&lt;1,"Undersecured","Secured")</f>
        <v>Secured</v>
      </c>
      <c r="P1661" t="str">
        <f>_xlfn.XLOOKUP(Loans[[#This Row],[BranchCode]],BranchesTbl[BranchCode],BranchesTbl[BranchName])</f>
        <v>Eldoret</v>
      </c>
      <c r="Q1661">
        <f>_xlfn.XLOOKUP(Loans[[#This Row],[CustomerID]],CustomerTbl[CustomerID],CustomerTbl[RiskScore])</f>
        <v>769</v>
      </c>
      <c r="R1661" t="str">
        <f>IFERROR(INDEX(RiskTbl[Risk_Category],MATCH(Loans[[#This Row],[RiskScore]],RiskTbl[Score_Min],1)),"Unknown")</f>
        <v>Very Low Risk</v>
      </c>
      <c r="S1661" t="str">
        <f>IF(OR(Loans[[#This Row],[LoanStatus]]="Default",Loans[[#This Row],[LoanStatus]]="Watchlist",Loans[[#This Row],[CollateralRisk]]="Undersecured",Loans[[#This Row],[RiskCategory]]="High Risk"),"High Risk Exposure","Normal")</f>
        <v>Normal</v>
      </c>
      <c r="T1661" t="str" cm="1">
        <f t="array" ref="T1661">_xlfn.IFS(
Loans[[#This Row],[LoanStatus]]="Default","Critical",
OR(Loans[[#This Row],[LoanStatus]]="Watchlist",Loans[[#This Row],[CollateralRisk]]="Undersecured",Loans[[#This Row],[RiskCategory]]="High Risk"),"High",
TRUE,"Normal"
)</f>
        <v>Normal</v>
      </c>
    </row>
    <row r="1662" spans="1:20" x14ac:dyDescent="0.35">
      <c r="A1662" t="s">
        <v>2482</v>
      </c>
      <c r="B1662" t="s">
        <v>1411</v>
      </c>
      <c r="C1662" t="s">
        <v>196</v>
      </c>
      <c r="D1662" t="s">
        <v>157</v>
      </c>
      <c r="E1662" s="34">
        <v>25000000</v>
      </c>
      <c r="F1662" s="29">
        <v>0.13059999999999999</v>
      </c>
      <c r="G1662" s="30">
        <v>44727</v>
      </c>
      <c r="H1662">
        <v>72</v>
      </c>
      <c r="I1662">
        <v>10</v>
      </c>
      <c r="J1662" s="34">
        <v>14250000</v>
      </c>
      <c r="K1662" t="s">
        <v>171</v>
      </c>
      <c r="L1662" s="34">
        <f>PMT(Loans[[#This Row],[InterestRate]]/12,Loans[[#This Row],[LoanTenureMonths]],-Loans[[#This Row],[LoanAmount]])</f>
        <v>502644.65777376585</v>
      </c>
      <c r="M1662" s="30">
        <f>EDATE(Loans[[#This Row],[LoanStartDate]],Loans[[#This Row],[LoanTenureMonths]])</f>
        <v>46919</v>
      </c>
      <c r="N1662" s="33">
        <f>IF(Loans[[#This Row],[LoanAmount]]=0,0,Loans[[#This Row],[CollateralValue]]/Loans[[#This Row],[LoanAmount]])</f>
        <v>0.56999999999999995</v>
      </c>
      <c r="O1662" t="str">
        <f>IF(Loans[[#This Row],[CollateralCoverageRatio]]&lt;1,"Undersecured","Secured")</f>
        <v>Undersecured</v>
      </c>
      <c r="P1662" t="str">
        <f>_xlfn.XLOOKUP(Loans[[#This Row],[BranchCode]],BranchesTbl[BranchCode],BranchesTbl[BranchName])</f>
        <v>Karen</v>
      </c>
      <c r="Q1662">
        <f>_xlfn.XLOOKUP(Loans[[#This Row],[CustomerID]],CustomerTbl[CustomerID],CustomerTbl[RiskScore])</f>
        <v>795</v>
      </c>
      <c r="R1662" t="str">
        <f>IFERROR(INDEX(RiskTbl[Risk_Category],MATCH(Loans[[#This Row],[RiskScore]],RiskTbl[Score_Min],1)),"Unknown")</f>
        <v>Very Low Risk</v>
      </c>
      <c r="S1662" t="str">
        <f>IF(OR(Loans[[#This Row],[LoanStatus]]="Default",Loans[[#This Row],[LoanStatus]]="Watchlist",Loans[[#This Row],[CollateralRisk]]="Undersecured",Loans[[#This Row],[RiskCategory]]="High Risk"),"High Risk Exposure","Normal")</f>
        <v>High Risk Exposure</v>
      </c>
      <c r="T1662" t="str" cm="1">
        <f t="array" ref="T1662">_xlfn.IFS(
Loans[[#This Row],[LoanStatus]]="Default","Critical",
OR(Loans[[#This Row],[LoanStatus]]="Watchlist",Loans[[#This Row],[CollateralRisk]]="Undersecured",Loans[[#This Row],[RiskCategory]]="High Risk"),"High",
TRUE,"Normal"
)</f>
        <v>High</v>
      </c>
    </row>
    <row r="1663" spans="1:20" x14ac:dyDescent="0.35">
      <c r="A1663" t="s">
        <v>2483</v>
      </c>
      <c r="B1663" t="s">
        <v>438</v>
      </c>
      <c r="C1663" t="s">
        <v>270</v>
      </c>
      <c r="D1663" t="s">
        <v>158</v>
      </c>
      <c r="E1663" s="34">
        <v>1000000</v>
      </c>
      <c r="F1663" s="29">
        <v>0.18870000000000001</v>
      </c>
      <c r="G1663" s="30">
        <v>43852</v>
      </c>
      <c r="H1663">
        <v>60</v>
      </c>
      <c r="I1663">
        <v>0</v>
      </c>
      <c r="J1663" s="34">
        <v>840000</v>
      </c>
      <c r="K1663" t="s">
        <v>171</v>
      </c>
      <c r="L1663" s="34">
        <f>PMT(Loans[[#This Row],[InterestRate]]/12,Loans[[#This Row],[LoanTenureMonths]],-Loans[[#This Row],[LoanAmount]])</f>
        <v>25869.072580449218</v>
      </c>
      <c r="M1663" s="30">
        <f>EDATE(Loans[[#This Row],[LoanStartDate]],Loans[[#This Row],[LoanTenureMonths]])</f>
        <v>45679</v>
      </c>
      <c r="N1663" s="33">
        <f>IF(Loans[[#This Row],[LoanAmount]]=0,0,Loans[[#This Row],[CollateralValue]]/Loans[[#This Row],[LoanAmount]])</f>
        <v>0.84</v>
      </c>
      <c r="O1663" t="str">
        <f>IF(Loans[[#This Row],[CollateralCoverageRatio]]&lt;1,"Undersecured","Secured")</f>
        <v>Undersecured</v>
      </c>
      <c r="P1663" t="str">
        <f>_xlfn.XLOOKUP(Loans[[#This Row],[BranchCode]],BranchesTbl[BranchCode],BranchesTbl[BranchName])</f>
        <v>Nakuru</v>
      </c>
      <c r="Q1663">
        <f>_xlfn.XLOOKUP(Loans[[#This Row],[CustomerID]],CustomerTbl[CustomerID],CustomerTbl[RiskScore])</f>
        <v>654</v>
      </c>
      <c r="R1663" t="str">
        <f>IFERROR(INDEX(RiskTbl[Risk_Category],MATCH(Loans[[#This Row],[RiskScore]],RiskTbl[Score_Min],1)),"Unknown")</f>
        <v>Medium Risk</v>
      </c>
      <c r="S1663" t="str">
        <f>IF(OR(Loans[[#This Row],[LoanStatus]]="Default",Loans[[#This Row],[LoanStatus]]="Watchlist",Loans[[#This Row],[CollateralRisk]]="Undersecured",Loans[[#This Row],[RiskCategory]]="High Risk"),"High Risk Exposure","Normal")</f>
        <v>High Risk Exposure</v>
      </c>
      <c r="T1663" t="str" cm="1">
        <f t="array" ref="T1663">_xlfn.IFS(
Loans[[#This Row],[LoanStatus]]="Default","Critical",
OR(Loans[[#This Row],[LoanStatus]]="Watchlist",Loans[[#This Row],[CollateralRisk]]="Undersecured",Loans[[#This Row],[RiskCategory]]="High Risk"),"High",
TRUE,"Normal"
)</f>
        <v>High</v>
      </c>
    </row>
    <row r="1664" spans="1:20" x14ac:dyDescent="0.35">
      <c r="A1664" t="s">
        <v>2484</v>
      </c>
      <c r="B1664" t="s">
        <v>1146</v>
      </c>
      <c r="C1664" t="s">
        <v>181</v>
      </c>
      <c r="D1664" t="s">
        <v>155</v>
      </c>
      <c r="E1664" s="34">
        <v>1000000</v>
      </c>
      <c r="F1664" s="29">
        <v>0.1714</v>
      </c>
      <c r="G1664" s="30">
        <v>44372</v>
      </c>
      <c r="H1664">
        <v>36</v>
      </c>
      <c r="I1664">
        <v>0</v>
      </c>
      <c r="J1664" s="34">
        <v>0</v>
      </c>
      <c r="K1664" t="s">
        <v>171</v>
      </c>
      <c r="L1664" s="34">
        <f>PMT(Loans[[#This Row],[InterestRate]]/12,Loans[[#This Row],[LoanTenureMonths]],-Loans[[#This Row],[LoanAmount]])</f>
        <v>35722.442225671075</v>
      </c>
      <c r="M1664" s="30">
        <f>EDATE(Loans[[#This Row],[LoanStartDate]],Loans[[#This Row],[LoanTenureMonths]])</f>
        <v>45468</v>
      </c>
      <c r="N1664" s="33">
        <f>IF(Loans[[#This Row],[LoanAmount]]=0,0,Loans[[#This Row],[CollateralValue]]/Loans[[#This Row],[LoanAmount]])</f>
        <v>0</v>
      </c>
      <c r="O1664" t="str">
        <f>IF(Loans[[#This Row],[CollateralCoverageRatio]]&lt;1,"Undersecured","Secured")</f>
        <v>Undersecured</v>
      </c>
      <c r="P1664" t="str">
        <f>_xlfn.XLOOKUP(Loans[[#This Row],[BranchCode]],BranchesTbl[BranchCode],BranchesTbl[BranchName])</f>
        <v>Kitale</v>
      </c>
      <c r="Q1664">
        <f>_xlfn.XLOOKUP(Loans[[#This Row],[CustomerID]],CustomerTbl[CustomerID],CustomerTbl[RiskScore])</f>
        <v>514</v>
      </c>
      <c r="R1664" t="str">
        <f>IFERROR(INDEX(RiskTbl[Risk_Category],MATCH(Loans[[#This Row],[RiskScore]],RiskTbl[Score_Min],1)),"Unknown")</f>
        <v>High Risk</v>
      </c>
      <c r="S1664" t="str">
        <f>IF(OR(Loans[[#This Row],[LoanStatus]]="Default",Loans[[#This Row],[LoanStatus]]="Watchlist",Loans[[#This Row],[CollateralRisk]]="Undersecured",Loans[[#This Row],[RiskCategory]]="High Risk"),"High Risk Exposure","Normal")</f>
        <v>High Risk Exposure</v>
      </c>
      <c r="T1664" t="str" cm="1">
        <f t="array" ref="T1664">_xlfn.IFS(
Loans[[#This Row],[LoanStatus]]="Default","Critical",
OR(Loans[[#This Row],[LoanStatus]]="Watchlist",Loans[[#This Row],[CollateralRisk]]="Undersecured",Loans[[#This Row],[RiskCategory]]="High Risk"),"High",
TRUE,"Normal"
)</f>
        <v>High</v>
      </c>
    </row>
    <row r="1665" spans="1:20" x14ac:dyDescent="0.35">
      <c r="A1665" t="s">
        <v>2485</v>
      </c>
      <c r="B1665" t="s">
        <v>1256</v>
      </c>
      <c r="C1665" t="s">
        <v>184</v>
      </c>
      <c r="D1665" t="s">
        <v>157</v>
      </c>
      <c r="E1665" s="34">
        <v>6000000</v>
      </c>
      <c r="F1665" s="29">
        <v>9.6299999999999997E-2</v>
      </c>
      <c r="G1665" s="30">
        <v>45253</v>
      </c>
      <c r="H1665">
        <v>12</v>
      </c>
      <c r="I1665">
        <v>10</v>
      </c>
      <c r="J1665" s="34">
        <v>7680000</v>
      </c>
      <c r="K1665" t="s">
        <v>171</v>
      </c>
      <c r="L1665" s="34">
        <f>PMT(Loans[[#This Row],[InterestRate]]/12,Loans[[#This Row],[LoanTenureMonths]],-Loans[[#This Row],[LoanAmount]])</f>
        <v>526463.37990544282</v>
      </c>
      <c r="M1665" s="30">
        <f>EDATE(Loans[[#This Row],[LoanStartDate]],Loans[[#This Row],[LoanTenureMonths]])</f>
        <v>45619</v>
      </c>
      <c r="N1665" s="33">
        <f>IF(Loans[[#This Row],[LoanAmount]]=0,0,Loans[[#This Row],[CollateralValue]]/Loans[[#This Row],[LoanAmount]])</f>
        <v>1.28</v>
      </c>
      <c r="O1665" t="str">
        <f>IF(Loans[[#This Row],[CollateralCoverageRatio]]&lt;1,"Undersecured","Secured")</f>
        <v>Secured</v>
      </c>
      <c r="P1665" t="str">
        <f>_xlfn.XLOOKUP(Loans[[#This Row],[BranchCode]],BranchesTbl[BranchCode],BranchesTbl[BranchName])</f>
        <v>Kisumu</v>
      </c>
      <c r="Q1665">
        <f>_xlfn.XLOOKUP(Loans[[#This Row],[CustomerID]],CustomerTbl[CustomerID],CustomerTbl[RiskScore])</f>
        <v>304</v>
      </c>
      <c r="R1665" t="str">
        <f>IFERROR(INDEX(RiskTbl[Risk_Category],MATCH(Loans[[#This Row],[RiskScore]],RiskTbl[Score_Min],1)),"Unknown")</f>
        <v>High Risk</v>
      </c>
      <c r="S1665" t="str">
        <f>IF(OR(Loans[[#This Row],[LoanStatus]]="Default",Loans[[#This Row],[LoanStatus]]="Watchlist",Loans[[#This Row],[CollateralRisk]]="Undersecured",Loans[[#This Row],[RiskCategory]]="High Risk"),"High Risk Exposure","Normal")</f>
        <v>High Risk Exposure</v>
      </c>
      <c r="T1665" t="str" cm="1">
        <f t="array" ref="T1665">_xlfn.IFS(
Loans[[#This Row],[LoanStatus]]="Default","Critical",
OR(Loans[[#This Row],[LoanStatus]]="Watchlist",Loans[[#This Row],[CollateralRisk]]="Undersecured",Loans[[#This Row],[RiskCategory]]="High Risk"),"High",
TRUE,"Normal"
)</f>
        <v>High</v>
      </c>
    </row>
    <row r="1666" spans="1:20" x14ac:dyDescent="0.35">
      <c r="A1666" t="s">
        <v>2486</v>
      </c>
      <c r="B1666" t="s">
        <v>1395</v>
      </c>
      <c r="C1666" t="s">
        <v>174</v>
      </c>
      <c r="D1666" t="s">
        <v>155</v>
      </c>
      <c r="E1666" s="34">
        <v>1000000</v>
      </c>
      <c r="F1666" s="29">
        <v>0.2172</v>
      </c>
      <c r="G1666" s="30">
        <v>45573</v>
      </c>
      <c r="H1666">
        <v>12</v>
      </c>
      <c r="I1666">
        <v>120</v>
      </c>
      <c r="J1666" s="34">
        <v>0</v>
      </c>
      <c r="K1666" t="s">
        <v>178</v>
      </c>
      <c r="L1666" s="34">
        <f>PMT(Loans[[#This Row],[InterestRate]]/12,Loans[[#This Row],[LoanTenureMonths]],-Loans[[#This Row],[LoanAmount]])</f>
        <v>93459.675250776621</v>
      </c>
      <c r="M1666" s="30">
        <f>EDATE(Loans[[#This Row],[LoanStartDate]],Loans[[#This Row],[LoanTenureMonths]])</f>
        <v>45938</v>
      </c>
      <c r="N1666" s="33">
        <f>IF(Loans[[#This Row],[LoanAmount]]=0,0,Loans[[#This Row],[CollateralValue]]/Loans[[#This Row],[LoanAmount]])</f>
        <v>0</v>
      </c>
      <c r="O1666" t="str">
        <f>IF(Loans[[#This Row],[CollateralCoverageRatio]]&lt;1,"Undersecured","Secured")</f>
        <v>Undersecured</v>
      </c>
      <c r="P1666" t="str">
        <f>_xlfn.XLOOKUP(Loans[[#This Row],[BranchCode]],BranchesTbl[BranchCode],BranchesTbl[BranchName])</f>
        <v>Westlands</v>
      </c>
      <c r="Q1666">
        <f>_xlfn.XLOOKUP(Loans[[#This Row],[CustomerID]],CustomerTbl[CustomerID],CustomerTbl[RiskScore])</f>
        <v>504</v>
      </c>
      <c r="R1666" t="str">
        <f>IFERROR(INDEX(RiskTbl[Risk_Category],MATCH(Loans[[#This Row],[RiskScore]],RiskTbl[Score_Min],1)),"Unknown")</f>
        <v>High Risk</v>
      </c>
      <c r="S1666" t="str">
        <f>IF(OR(Loans[[#This Row],[LoanStatus]]="Default",Loans[[#This Row],[LoanStatus]]="Watchlist",Loans[[#This Row],[CollateralRisk]]="Undersecured",Loans[[#This Row],[RiskCategory]]="High Risk"),"High Risk Exposure","Normal")</f>
        <v>High Risk Exposure</v>
      </c>
      <c r="T1666" t="str" cm="1">
        <f t="array" ref="T1666">_xlfn.IFS(
Loans[[#This Row],[LoanStatus]]="Default","Critical",
OR(Loans[[#This Row],[LoanStatus]]="Watchlist",Loans[[#This Row],[CollateralRisk]]="Undersecured",Loans[[#This Row],[RiskCategory]]="High Risk"),"High",
TRUE,"Normal"
)</f>
        <v>Critical</v>
      </c>
    </row>
    <row r="1667" spans="1:20" x14ac:dyDescent="0.35">
      <c r="A1667" t="s">
        <v>2487</v>
      </c>
      <c r="B1667" t="s">
        <v>901</v>
      </c>
      <c r="C1667" t="s">
        <v>239</v>
      </c>
      <c r="D1667" t="s">
        <v>156</v>
      </c>
      <c r="E1667" s="34">
        <v>6000000</v>
      </c>
      <c r="F1667" s="29">
        <v>0.22900000000000001</v>
      </c>
      <c r="G1667" s="30">
        <v>43886</v>
      </c>
      <c r="H1667">
        <v>72</v>
      </c>
      <c r="I1667">
        <v>45</v>
      </c>
      <c r="J1667" s="34">
        <v>4020000</v>
      </c>
      <c r="K1667" t="s">
        <v>199</v>
      </c>
      <c r="L1667" s="34">
        <f>PMT(Loans[[#This Row],[InterestRate]]/12,Loans[[#This Row],[LoanTenureMonths]],-Loans[[#This Row],[LoanAmount]])</f>
        <v>153978.63655761001</v>
      </c>
      <c r="M1667" s="30">
        <f>EDATE(Loans[[#This Row],[LoanStartDate]],Loans[[#This Row],[LoanTenureMonths]])</f>
        <v>46078</v>
      </c>
      <c r="N1667" s="33">
        <f>IF(Loans[[#This Row],[LoanAmount]]=0,0,Loans[[#This Row],[CollateralValue]]/Loans[[#This Row],[LoanAmount]])</f>
        <v>0.67</v>
      </c>
      <c r="O1667" t="str">
        <f>IF(Loans[[#This Row],[CollateralCoverageRatio]]&lt;1,"Undersecured","Secured")</f>
        <v>Undersecured</v>
      </c>
      <c r="P1667" t="str">
        <f>_xlfn.XLOOKUP(Loans[[#This Row],[BranchCode]],BranchesTbl[BranchCode],BranchesTbl[BranchName])</f>
        <v>Machakos</v>
      </c>
      <c r="Q1667">
        <f>_xlfn.XLOOKUP(Loans[[#This Row],[CustomerID]],CustomerTbl[CustomerID],CustomerTbl[RiskScore])</f>
        <v>496</v>
      </c>
      <c r="R1667" t="str">
        <f>IFERROR(INDEX(RiskTbl[Risk_Category],MATCH(Loans[[#This Row],[RiskScore]],RiskTbl[Score_Min],1)),"Unknown")</f>
        <v>High Risk</v>
      </c>
      <c r="S1667" t="str">
        <f>IF(OR(Loans[[#This Row],[LoanStatus]]="Default",Loans[[#This Row],[LoanStatus]]="Watchlist",Loans[[#This Row],[CollateralRisk]]="Undersecured",Loans[[#This Row],[RiskCategory]]="High Risk"),"High Risk Exposure","Normal")</f>
        <v>High Risk Exposure</v>
      </c>
      <c r="T1667" t="str" cm="1">
        <f t="array" ref="T1667">_xlfn.IFS(
Loans[[#This Row],[LoanStatus]]="Default","Critical",
OR(Loans[[#This Row],[LoanStatus]]="Watchlist",Loans[[#This Row],[CollateralRisk]]="Undersecured",Loans[[#This Row],[RiskCategory]]="High Risk"),"High",
TRUE,"Normal"
)</f>
        <v>High</v>
      </c>
    </row>
    <row r="1668" spans="1:20" x14ac:dyDescent="0.35">
      <c r="A1668" t="s">
        <v>2488</v>
      </c>
      <c r="B1668" t="s">
        <v>2018</v>
      </c>
      <c r="C1668" t="s">
        <v>206</v>
      </c>
      <c r="D1668" t="s">
        <v>158</v>
      </c>
      <c r="E1668" s="34">
        <v>6000000</v>
      </c>
      <c r="F1668" s="29">
        <v>0.13170000000000001</v>
      </c>
      <c r="G1668" s="30">
        <v>43956</v>
      </c>
      <c r="H1668">
        <v>48</v>
      </c>
      <c r="I1668">
        <v>10</v>
      </c>
      <c r="J1668" s="34">
        <v>9000000</v>
      </c>
      <c r="K1668" t="s">
        <v>171</v>
      </c>
      <c r="L1668" s="34">
        <f>PMT(Loans[[#This Row],[InterestRate]]/12,Loans[[#This Row],[LoanTenureMonths]],-Loans[[#This Row],[LoanAmount]])</f>
        <v>161471.68823357314</v>
      </c>
      <c r="M1668" s="30">
        <f>EDATE(Loans[[#This Row],[LoanStartDate]],Loans[[#This Row],[LoanTenureMonths]])</f>
        <v>45417</v>
      </c>
      <c r="N1668" s="33">
        <f>IF(Loans[[#This Row],[LoanAmount]]=0,0,Loans[[#This Row],[CollateralValue]]/Loans[[#This Row],[LoanAmount]])</f>
        <v>1.5</v>
      </c>
      <c r="O1668" t="str">
        <f>IF(Loans[[#This Row],[CollateralCoverageRatio]]&lt;1,"Undersecured","Secured")</f>
        <v>Secured</v>
      </c>
      <c r="P1668" t="str">
        <f>_xlfn.XLOOKUP(Loans[[#This Row],[BranchCode]],BranchesTbl[BranchCode],BranchesTbl[BranchName])</f>
        <v>Nyahururu</v>
      </c>
      <c r="Q1668">
        <f>_xlfn.XLOOKUP(Loans[[#This Row],[CustomerID]],CustomerTbl[CustomerID],CustomerTbl[RiskScore])</f>
        <v>322</v>
      </c>
      <c r="R1668" t="str">
        <f>IFERROR(INDEX(RiskTbl[Risk_Category],MATCH(Loans[[#This Row],[RiskScore]],RiskTbl[Score_Min],1)),"Unknown")</f>
        <v>High Risk</v>
      </c>
      <c r="S1668" t="str">
        <f>IF(OR(Loans[[#This Row],[LoanStatus]]="Default",Loans[[#This Row],[LoanStatus]]="Watchlist",Loans[[#This Row],[CollateralRisk]]="Undersecured",Loans[[#This Row],[RiskCategory]]="High Risk"),"High Risk Exposure","Normal")</f>
        <v>High Risk Exposure</v>
      </c>
      <c r="T1668" t="str" cm="1">
        <f t="array" ref="T1668">_xlfn.IFS(
Loans[[#This Row],[LoanStatus]]="Default","Critical",
OR(Loans[[#This Row],[LoanStatus]]="Watchlist",Loans[[#This Row],[CollateralRisk]]="Undersecured",Loans[[#This Row],[RiskCategory]]="High Risk"),"High",
TRUE,"Normal"
)</f>
        <v>High</v>
      </c>
    </row>
    <row r="1669" spans="1:20" x14ac:dyDescent="0.35">
      <c r="A1669" t="s">
        <v>2489</v>
      </c>
      <c r="B1669" t="s">
        <v>1003</v>
      </c>
      <c r="C1669" t="s">
        <v>239</v>
      </c>
      <c r="D1669" t="s">
        <v>155</v>
      </c>
      <c r="E1669" s="34">
        <v>100000</v>
      </c>
      <c r="F1669" s="29">
        <v>0.26129999999999998</v>
      </c>
      <c r="G1669" s="30">
        <v>44507</v>
      </c>
      <c r="H1669">
        <v>60</v>
      </c>
      <c r="I1669">
        <v>5</v>
      </c>
      <c r="J1669" s="34">
        <v>0</v>
      </c>
      <c r="K1669" t="s">
        <v>171</v>
      </c>
      <c r="L1669" s="34">
        <f>PMT(Loans[[#This Row],[InterestRate]]/12,Loans[[#This Row],[LoanTenureMonths]],-Loans[[#This Row],[LoanAmount]])</f>
        <v>3001.747943037883</v>
      </c>
      <c r="M1669" s="30">
        <f>EDATE(Loans[[#This Row],[LoanStartDate]],Loans[[#This Row],[LoanTenureMonths]])</f>
        <v>46333</v>
      </c>
      <c r="N1669" s="33">
        <f>IF(Loans[[#This Row],[LoanAmount]]=0,0,Loans[[#This Row],[CollateralValue]]/Loans[[#This Row],[LoanAmount]])</f>
        <v>0</v>
      </c>
      <c r="O1669" t="str">
        <f>IF(Loans[[#This Row],[CollateralCoverageRatio]]&lt;1,"Undersecured","Secured")</f>
        <v>Undersecured</v>
      </c>
      <c r="P1669" t="str">
        <f>_xlfn.XLOOKUP(Loans[[#This Row],[BranchCode]],BranchesTbl[BranchCode],BranchesTbl[BranchName])</f>
        <v>Machakos</v>
      </c>
      <c r="Q1669">
        <f>_xlfn.XLOOKUP(Loans[[#This Row],[CustomerID]],CustomerTbl[CustomerID],CustomerTbl[RiskScore])</f>
        <v>844</v>
      </c>
      <c r="R1669" t="str">
        <f>IFERROR(INDEX(RiskTbl[Risk_Category],MATCH(Loans[[#This Row],[RiskScore]],RiskTbl[Score_Min],1)),"Unknown")</f>
        <v>Prime</v>
      </c>
      <c r="S1669" t="str">
        <f>IF(OR(Loans[[#This Row],[LoanStatus]]="Default",Loans[[#This Row],[LoanStatus]]="Watchlist",Loans[[#This Row],[CollateralRisk]]="Undersecured",Loans[[#This Row],[RiskCategory]]="High Risk"),"High Risk Exposure","Normal")</f>
        <v>High Risk Exposure</v>
      </c>
      <c r="T1669" t="str" cm="1">
        <f t="array" ref="T1669">_xlfn.IFS(
Loans[[#This Row],[LoanStatus]]="Default","Critical",
OR(Loans[[#This Row],[LoanStatus]]="Watchlist",Loans[[#This Row],[CollateralRisk]]="Undersecured",Loans[[#This Row],[RiskCategory]]="High Risk"),"High",
TRUE,"Normal"
)</f>
        <v>High</v>
      </c>
    </row>
    <row r="1670" spans="1:20" x14ac:dyDescent="0.35">
      <c r="A1670" t="s">
        <v>2490</v>
      </c>
      <c r="B1670" t="s">
        <v>983</v>
      </c>
      <c r="C1670" t="s">
        <v>184</v>
      </c>
      <c r="D1670" t="s">
        <v>156</v>
      </c>
      <c r="E1670" s="34">
        <v>6000000</v>
      </c>
      <c r="F1670" s="29">
        <v>0.15529999999999999</v>
      </c>
      <c r="G1670" s="30">
        <v>45632</v>
      </c>
      <c r="H1670">
        <v>60</v>
      </c>
      <c r="I1670">
        <v>0</v>
      </c>
      <c r="J1670" s="34">
        <v>7140000</v>
      </c>
      <c r="K1670" t="s">
        <v>171</v>
      </c>
      <c r="L1670" s="34">
        <f>PMT(Loans[[#This Row],[InterestRate]]/12,Loans[[#This Row],[LoanTenureMonths]],-Loans[[#This Row],[LoanAmount]])</f>
        <v>144414.22709810993</v>
      </c>
      <c r="M1670" s="30">
        <f>EDATE(Loans[[#This Row],[LoanStartDate]],Loans[[#This Row],[LoanTenureMonths]])</f>
        <v>47458</v>
      </c>
      <c r="N1670" s="33">
        <f>IF(Loans[[#This Row],[LoanAmount]]=0,0,Loans[[#This Row],[CollateralValue]]/Loans[[#This Row],[LoanAmount]])</f>
        <v>1.19</v>
      </c>
      <c r="O1670" t="str">
        <f>IF(Loans[[#This Row],[CollateralCoverageRatio]]&lt;1,"Undersecured","Secured")</f>
        <v>Secured</v>
      </c>
      <c r="P1670" t="str">
        <f>_xlfn.XLOOKUP(Loans[[#This Row],[BranchCode]],BranchesTbl[BranchCode],BranchesTbl[BranchName])</f>
        <v>Kisumu</v>
      </c>
      <c r="Q1670">
        <f>_xlfn.XLOOKUP(Loans[[#This Row],[CustomerID]],CustomerTbl[CustomerID],CustomerTbl[RiskScore])</f>
        <v>368</v>
      </c>
      <c r="R1670" t="str">
        <f>IFERROR(INDEX(RiskTbl[Risk_Category],MATCH(Loans[[#This Row],[RiskScore]],RiskTbl[Score_Min],1)),"Unknown")</f>
        <v>High Risk</v>
      </c>
      <c r="S1670" t="str">
        <f>IF(OR(Loans[[#This Row],[LoanStatus]]="Default",Loans[[#This Row],[LoanStatus]]="Watchlist",Loans[[#This Row],[CollateralRisk]]="Undersecured",Loans[[#This Row],[RiskCategory]]="High Risk"),"High Risk Exposure","Normal")</f>
        <v>High Risk Exposure</v>
      </c>
      <c r="T1670" t="str" cm="1">
        <f t="array" ref="T1670">_xlfn.IFS(
Loans[[#This Row],[LoanStatus]]="Default","Critical",
OR(Loans[[#This Row],[LoanStatus]]="Watchlist",Loans[[#This Row],[CollateralRisk]]="Undersecured",Loans[[#This Row],[RiskCategory]]="High Risk"),"High",
TRUE,"Normal"
)</f>
        <v>High</v>
      </c>
    </row>
    <row r="1671" spans="1:20" x14ac:dyDescent="0.35">
      <c r="A1671" t="s">
        <v>2491</v>
      </c>
      <c r="B1671" t="s">
        <v>1333</v>
      </c>
      <c r="C1671" t="s">
        <v>270</v>
      </c>
      <c r="D1671" t="s">
        <v>158</v>
      </c>
      <c r="E1671" s="34">
        <v>500000</v>
      </c>
      <c r="F1671" s="29">
        <v>0.14050000000000001</v>
      </c>
      <c r="G1671" s="30">
        <v>45116</v>
      </c>
      <c r="H1671">
        <v>60</v>
      </c>
      <c r="I1671">
        <v>0</v>
      </c>
      <c r="J1671" s="34">
        <v>460000</v>
      </c>
      <c r="K1671" t="s">
        <v>171</v>
      </c>
      <c r="L1671" s="34">
        <f>PMT(Loans[[#This Row],[InterestRate]]/12,Loans[[#This Row],[LoanTenureMonths]],-Loans[[#This Row],[LoanAmount]])</f>
        <v>11647.09041880796</v>
      </c>
      <c r="M1671" s="30">
        <f>EDATE(Loans[[#This Row],[LoanStartDate]],Loans[[#This Row],[LoanTenureMonths]])</f>
        <v>46943</v>
      </c>
      <c r="N1671" s="33">
        <f>IF(Loans[[#This Row],[LoanAmount]]=0,0,Loans[[#This Row],[CollateralValue]]/Loans[[#This Row],[LoanAmount]])</f>
        <v>0.92</v>
      </c>
      <c r="O1671" t="str">
        <f>IF(Loans[[#This Row],[CollateralCoverageRatio]]&lt;1,"Undersecured","Secured")</f>
        <v>Undersecured</v>
      </c>
      <c r="P1671" t="str">
        <f>_xlfn.XLOOKUP(Loans[[#This Row],[BranchCode]],BranchesTbl[BranchCode],BranchesTbl[BranchName])</f>
        <v>Nakuru</v>
      </c>
      <c r="Q1671">
        <f>_xlfn.XLOOKUP(Loans[[#This Row],[CustomerID]],CustomerTbl[CustomerID],CustomerTbl[RiskScore])</f>
        <v>734</v>
      </c>
      <c r="R1671" t="str">
        <f>IFERROR(INDEX(RiskTbl[Risk_Category],MATCH(Loans[[#This Row],[RiskScore]],RiskTbl[Score_Min],1)),"Unknown")</f>
        <v>Low Risk</v>
      </c>
      <c r="S1671" t="str">
        <f>IF(OR(Loans[[#This Row],[LoanStatus]]="Default",Loans[[#This Row],[LoanStatus]]="Watchlist",Loans[[#This Row],[CollateralRisk]]="Undersecured",Loans[[#This Row],[RiskCategory]]="High Risk"),"High Risk Exposure","Normal")</f>
        <v>High Risk Exposure</v>
      </c>
      <c r="T1671" t="str" cm="1">
        <f t="array" ref="T1671">_xlfn.IFS(
Loans[[#This Row],[LoanStatus]]="Default","Critical",
OR(Loans[[#This Row],[LoanStatus]]="Watchlist",Loans[[#This Row],[CollateralRisk]]="Undersecured",Loans[[#This Row],[RiskCategory]]="High Risk"),"High",
TRUE,"Normal"
)</f>
        <v>High</v>
      </c>
    </row>
    <row r="1672" spans="1:20" x14ac:dyDescent="0.35">
      <c r="A1672" t="s">
        <v>2492</v>
      </c>
      <c r="B1672" t="s">
        <v>856</v>
      </c>
      <c r="C1672" t="s">
        <v>190</v>
      </c>
      <c r="D1672" t="s">
        <v>157</v>
      </c>
      <c r="E1672" s="34">
        <v>6000000</v>
      </c>
      <c r="F1672" s="29">
        <v>0.1024</v>
      </c>
      <c r="G1672" s="30">
        <v>45969</v>
      </c>
      <c r="H1672">
        <v>48</v>
      </c>
      <c r="I1672">
        <v>20</v>
      </c>
      <c r="J1672" s="34">
        <v>4320000</v>
      </c>
      <c r="K1672" t="s">
        <v>171</v>
      </c>
      <c r="L1672" s="34">
        <f>PMT(Loans[[#This Row],[InterestRate]]/12,Loans[[#This Row],[LoanTenureMonths]],-Loans[[#This Row],[LoanAmount]])</f>
        <v>152867.98455499756</v>
      </c>
      <c r="M1672" s="30">
        <f>EDATE(Loans[[#This Row],[LoanStartDate]],Loans[[#This Row],[LoanTenureMonths]])</f>
        <v>47430</v>
      </c>
      <c r="N1672" s="33">
        <f>IF(Loans[[#This Row],[LoanAmount]]=0,0,Loans[[#This Row],[CollateralValue]]/Loans[[#This Row],[LoanAmount]])</f>
        <v>0.72</v>
      </c>
      <c r="O1672" t="str">
        <f>IF(Loans[[#This Row],[CollateralCoverageRatio]]&lt;1,"Undersecured","Secured")</f>
        <v>Undersecured</v>
      </c>
      <c r="P1672" t="str">
        <f>_xlfn.XLOOKUP(Loans[[#This Row],[BranchCode]],BranchesTbl[BranchCode],BranchesTbl[BranchName])</f>
        <v>Nyeri</v>
      </c>
      <c r="Q1672">
        <f>_xlfn.XLOOKUP(Loans[[#This Row],[CustomerID]],CustomerTbl[CustomerID],CustomerTbl[RiskScore])</f>
        <v>593</v>
      </c>
      <c r="R1672" t="str">
        <f>IFERROR(INDEX(RiskTbl[Risk_Category],MATCH(Loans[[#This Row],[RiskScore]],RiskTbl[Score_Min],1)),"Unknown")</f>
        <v>Medium Risk</v>
      </c>
      <c r="S1672" t="str">
        <f>IF(OR(Loans[[#This Row],[LoanStatus]]="Default",Loans[[#This Row],[LoanStatus]]="Watchlist",Loans[[#This Row],[CollateralRisk]]="Undersecured",Loans[[#This Row],[RiskCategory]]="High Risk"),"High Risk Exposure","Normal")</f>
        <v>High Risk Exposure</v>
      </c>
      <c r="T1672" t="str" cm="1">
        <f t="array" ref="T1672">_xlfn.IFS(
Loans[[#This Row],[LoanStatus]]="Default","Critical",
OR(Loans[[#This Row],[LoanStatus]]="Watchlist",Loans[[#This Row],[CollateralRisk]]="Undersecured",Loans[[#This Row],[RiskCategory]]="High Risk"),"High",
TRUE,"Normal"
)</f>
        <v>High</v>
      </c>
    </row>
    <row r="1673" spans="1:20" x14ac:dyDescent="0.35">
      <c r="A1673" t="s">
        <v>2493</v>
      </c>
      <c r="B1673" t="s">
        <v>1494</v>
      </c>
      <c r="C1673" t="s">
        <v>267</v>
      </c>
      <c r="D1673" t="s">
        <v>155</v>
      </c>
      <c r="E1673" s="34">
        <v>250000</v>
      </c>
      <c r="F1673" s="29">
        <v>0.24199999999999999</v>
      </c>
      <c r="G1673" s="30">
        <v>45684</v>
      </c>
      <c r="H1673">
        <v>24</v>
      </c>
      <c r="I1673">
        <v>0</v>
      </c>
      <c r="J1673" s="34">
        <v>0</v>
      </c>
      <c r="K1673" t="s">
        <v>171</v>
      </c>
      <c r="L1673" s="34">
        <f>PMT(Loans[[#This Row],[InterestRate]]/12,Loans[[#This Row],[LoanTenureMonths]],-Loans[[#This Row],[LoanAmount]])</f>
        <v>13242.742893964645</v>
      </c>
      <c r="M1673" s="30">
        <f>EDATE(Loans[[#This Row],[LoanStartDate]],Loans[[#This Row],[LoanTenureMonths]])</f>
        <v>46414</v>
      </c>
      <c r="N1673" s="33">
        <f>IF(Loans[[#This Row],[LoanAmount]]=0,0,Loans[[#This Row],[CollateralValue]]/Loans[[#This Row],[LoanAmount]])</f>
        <v>0</v>
      </c>
      <c r="O1673" t="str">
        <f>IF(Loans[[#This Row],[CollateralCoverageRatio]]&lt;1,"Undersecured","Secured")</f>
        <v>Undersecured</v>
      </c>
      <c r="P1673" t="str">
        <f>_xlfn.XLOOKUP(Loans[[#This Row],[BranchCode]],BranchesTbl[BranchCode],BranchesTbl[BranchName])</f>
        <v>Malindi</v>
      </c>
      <c r="Q1673">
        <f>_xlfn.XLOOKUP(Loans[[#This Row],[CustomerID]],CustomerTbl[CustomerID],CustomerTbl[RiskScore])</f>
        <v>333</v>
      </c>
      <c r="R1673" t="str">
        <f>IFERROR(INDEX(RiskTbl[Risk_Category],MATCH(Loans[[#This Row],[RiskScore]],RiskTbl[Score_Min],1)),"Unknown")</f>
        <v>High Risk</v>
      </c>
      <c r="S1673" t="str">
        <f>IF(OR(Loans[[#This Row],[LoanStatus]]="Default",Loans[[#This Row],[LoanStatus]]="Watchlist",Loans[[#This Row],[CollateralRisk]]="Undersecured",Loans[[#This Row],[RiskCategory]]="High Risk"),"High Risk Exposure","Normal")</f>
        <v>High Risk Exposure</v>
      </c>
      <c r="T1673" t="str" cm="1">
        <f t="array" ref="T1673">_xlfn.IFS(
Loans[[#This Row],[LoanStatus]]="Default","Critical",
OR(Loans[[#This Row],[LoanStatus]]="Watchlist",Loans[[#This Row],[CollateralRisk]]="Undersecured",Loans[[#This Row],[RiskCategory]]="High Risk"),"High",
TRUE,"Normal"
)</f>
        <v>High</v>
      </c>
    </row>
    <row r="1674" spans="1:20" x14ac:dyDescent="0.35">
      <c r="A1674" t="s">
        <v>2494</v>
      </c>
      <c r="B1674" t="s">
        <v>1611</v>
      </c>
      <c r="C1674" t="s">
        <v>196</v>
      </c>
      <c r="D1674" t="s">
        <v>158</v>
      </c>
      <c r="E1674" s="34">
        <v>3000000</v>
      </c>
      <c r="F1674" s="29">
        <v>0.17660000000000001</v>
      </c>
      <c r="G1674" s="30">
        <v>45862</v>
      </c>
      <c r="H1674">
        <v>12</v>
      </c>
      <c r="I1674">
        <v>0</v>
      </c>
      <c r="J1674" s="34">
        <v>2880000</v>
      </c>
      <c r="K1674" t="s">
        <v>171</v>
      </c>
      <c r="L1674" s="34">
        <f>PMT(Loans[[#This Row],[InterestRate]]/12,Loans[[#This Row],[LoanTenureMonths]],-Loans[[#This Row],[LoanAmount]])</f>
        <v>274554.780198875</v>
      </c>
      <c r="M1674" s="30">
        <f>EDATE(Loans[[#This Row],[LoanStartDate]],Loans[[#This Row],[LoanTenureMonths]])</f>
        <v>46227</v>
      </c>
      <c r="N1674" s="33">
        <f>IF(Loans[[#This Row],[LoanAmount]]=0,0,Loans[[#This Row],[CollateralValue]]/Loans[[#This Row],[LoanAmount]])</f>
        <v>0.96</v>
      </c>
      <c r="O1674" t="str">
        <f>IF(Loans[[#This Row],[CollateralCoverageRatio]]&lt;1,"Undersecured","Secured")</f>
        <v>Undersecured</v>
      </c>
      <c r="P1674" t="str">
        <f>_xlfn.XLOOKUP(Loans[[#This Row],[BranchCode]],BranchesTbl[BranchCode],BranchesTbl[BranchName])</f>
        <v>Karen</v>
      </c>
      <c r="Q1674">
        <f>_xlfn.XLOOKUP(Loans[[#This Row],[CustomerID]],CustomerTbl[CustomerID],CustomerTbl[RiskScore])</f>
        <v>668</v>
      </c>
      <c r="R1674" t="str">
        <f>IFERROR(INDEX(RiskTbl[Risk_Category],MATCH(Loans[[#This Row],[RiskScore]],RiskTbl[Score_Min],1)),"Unknown")</f>
        <v>Medium Risk</v>
      </c>
      <c r="S1674" t="str">
        <f>IF(OR(Loans[[#This Row],[LoanStatus]]="Default",Loans[[#This Row],[LoanStatus]]="Watchlist",Loans[[#This Row],[CollateralRisk]]="Undersecured",Loans[[#This Row],[RiskCategory]]="High Risk"),"High Risk Exposure","Normal")</f>
        <v>High Risk Exposure</v>
      </c>
      <c r="T1674" t="str" cm="1">
        <f t="array" ref="T1674">_xlfn.IFS(
Loans[[#This Row],[LoanStatus]]="Default","Critical",
OR(Loans[[#This Row],[LoanStatus]]="Watchlist",Loans[[#This Row],[CollateralRisk]]="Undersecured",Loans[[#This Row],[RiskCategory]]="High Risk"),"High",
TRUE,"Normal"
)</f>
        <v>High</v>
      </c>
    </row>
    <row r="1675" spans="1:20" x14ac:dyDescent="0.35">
      <c r="A1675" t="s">
        <v>2495</v>
      </c>
      <c r="B1675" t="s">
        <v>1057</v>
      </c>
      <c r="C1675" t="s">
        <v>232</v>
      </c>
      <c r="D1675" t="s">
        <v>155</v>
      </c>
      <c r="E1675" s="34">
        <v>1000000</v>
      </c>
      <c r="F1675" s="29">
        <v>0.20549999999999999</v>
      </c>
      <c r="G1675" s="30">
        <v>45856</v>
      </c>
      <c r="H1675">
        <v>60</v>
      </c>
      <c r="I1675">
        <v>0</v>
      </c>
      <c r="J1675" s="34">
        <v>0</v>
      </c>
      <c r="K1675" t="s">
        <v>171</v>
      </c>
      <c r="L1675" s="34">
        <f>PMT(Loans[[#This Row],[InterestRate]]/12,Loans[[#This Row],[LoanTenureMonths]],-Loans[[#This Row],[LoanAmount]])</f>
        <v>26800.839566547042</v>
      </c>
      <c r="M1675" s="30">
        <f>EDATE(Loans[[#This Row],[LoanStartDate]],Loans[[#This Row],[LoanTenureMonths]])</f>
        <v>47682</v>
      </c>
      <c r="N1675" s="33">
        <f>IF(Loans[[#This Row],[LoanAmount]]=0,0,Loans[[#This Row],[CollateralValue]]/Loans[[#This Row],[LoanAmount]])</f>
        <v>0</v>
      </c>
      <c r="O1675" t="str">
        <f>IF(Loans[[#This Row],[CollateralCoverageRatio]]&lt;1,"Undersecured","Secured")</f>
        <v>Undersecured</v>
      </c>
      <c r="P1675" t="str">
        <f>_xlfn.XLOOKUP(Loans[[#This Row],[BranchCode]],BranchesTbl[BranchCode],BranchesTbl[BranchName])</f>
        <v>Upper Hill</v>
      </c>
      <c r="Q1675">
        <f>_xlfn.XLOOKUP(Loans[[#This Row],[CustomerID]],CustomerTbl[CustomerID],CustomerTbl[RiskScore])</f>
        <v>631</v>
      </c>
      <c r="R1675" t="str">
        <f>IFERROR(INDEX(RiskTbl[Risk_Category],MATCH(Loans[[#This Row],[RiskScore]],RiskTbl[Score_Min],1)),"Unknown")</f>
        <v>Medium Risk</v>
      </c>
      <c r="S1675" t="str">
        <f>IF(OR(Loans[[#This Row],[LoanStatus]]="Default",Loans[[#This Row],[LoanStatus]]="Watchlist",Loans[[#This Row],[CollateralRisk]]="Undersecured",Loans[[#This Row],[RiskCategory]]="High Risk"),"High Risk Exposure","Normal")</f>
        <v>High Risk Exposure</v>
      </c>
      <c r="T1675" t="str" cm="1">
        <f t="array" ref="T1675">_xlfn.IFS(
Loans[[#This Row],[LoanStatus]]="Default","Critical",
OR(Loans[[#This Row],[LoanStatus]]="Watchlist",Loans[[#This Row],[CollateralRisk]]="Undersecured",Loans[[#This Row],[RiskCategory]]="High Risk"),"High",
TRUE,"Normal"
)</f>
        <v>High</v>
      </c>
    </row>
    <row r="1676" spans="1:20" x14ac:dyDescent="0.35">
      <c r="A1676" t="s">
        <v>2496</v>
      </c>
      <c r="B1676" t="s">
        <v>183</v>
      </c>
      <c r="C1676" t="s">
        <v>267</v>
      </c>
      <c r="D1676" t="s">
        <v>156</v>
      </c>
      <c r="E1676" s="34">
        <v>6000000</v>
      </c>
      <c r="F1676" s="29">
        <v>0.1968</v>
      </c>
      <c r="G1676" s="30">
        <v>43896</v>
      </c>
      <c r="H1676">
        <v>72</v>
      </c>
      <c r="I1676">
        <v>0</v>
      </c>
      <c r="J1676" s="34">
        <v>7680000</v>
      </c>
      <c r="K1676" t="s">
        <v>171</v>
      </c>
      <c r="L1676" s="34">
        <f>PMT(Loans[[#This Row],[InterestRate]]/12,Loans[[#This Row],[LoanTenureMonths]],-Loans[[#This Row],[LoanAmount]])</f>
        <v>142606.19469261955</v>
      </c>
      <c r="M1676" s="30">
        <f>EDATE(Loans[[#This Row],[LoanStartDate]],Loans[[#This Row],[LoanTenureMonths]])</f>
        <v>46087</v>
      </c>
      <c r="N1676" s="33">
        <f>IF(Loans[[#This Row],[LoanAmount]]=0,0,Loans[[#This Row],[CollateralValue]]/Loans[[#This Row],[LoanAmount]])</f>
        <v>1.28</v>
      </c>
      <c r="O1676" t="str">
        <f>IF(Loans[[#This Row],[CollateralCoverageRatio]]&lt;1,"Undersecured","Secured")</f>
        <v>Secured</v>
      </c>
      <c r="P1676" t="str">
        <f>_xlfn.XLOOKUP(Loans[[#This Row],[BranchCode]],BranchesTbl[BranchCode],BranchesTbl[BranchName])</f>
        <v>Malindi</v>
      </c>
      <c r="Q1676">
        <f>_xlfn.XLOOKUP(Loans[[#This Row],[CustomerID]],CustomerTbl[CustomerID],CustomerTbl[RiskScore])</f>
        <v>446</v>
      </c>
      <c r="R1676" t="str">
        <f>IFERROR(INDEX(RiskTbl[Risk_Category],MATCH(Loans[[#This Row],[RiskScore]],RiskTbl[Score_Min],1)),"Unknown")</f>
        <v>High Risk</v>
      </c>
      <c r="S1676" t="str">
        <f>IF(OR(Loans[[#This Row],[LoanStatus]]="Default",Loans[[#This Row],[LoanStatus]]="Watchlist",Loans[[#This Row],[CollateralRisk]]="Undersecured",Loans[[#This Row],[RiskCategory]]="High Risk"),"High Risk Exposure","Normal")</f>
        <v>High Risk Exposure</v>
      </c>
      <c r="T1676" t="str" cm="1">
        <f t="array" ref="T1676">_xlfn.IFS(
Loans[[#This Row],[LoanStatus]]="Default","Critical",
OR(Loans[[#This Row],[LoanStatus]]="Watchlist",Loans[[#This Row],[CollateralRisk]]="Undersecured",Loans[[#This Row],[RiskCategory]]="High Risk"),"High",
TRUE,"Normal"
)</f>
        <v>High</v>
      </c>
    </row>
    <row r="1677" spans="1:20" x14ac:dyDescent="0.35">
      <c r="A1677" t="s">
        <v>2497</v>
      </c>
      <c r="B1677" t="s">
        <v>1360</v>
      </c>
      <c r="C1677" t="s">
        <v>267</v>
      </c>
      <c r="D1677" t="s">
        <v>157</v>
      </c>
      <c r="E1677" s="34">
        <v>6000000</v>
      </c>
      <c r="F1677" s="29">
        <v>0.13220000000000001</v>
      </c>
      <c r="G1677" s="30">
        <v>44847</v>
      </c>
      <c r="H1677">
        <v>36</v>
      </c>
      <c r="I1677">
        <v>20</v>
      </c>
      <c r="J1677" s="34">
        <v>3180000</v>
      </c>
      <c r="K1677" t="s">
        <v>171</v>
      </c>
      <c r="L1677" s="34">
        <f>PMT(Loans[[#This Row],[InterestRate]]/12,Loans[[#This Row],[LoanTenureMonths]],-Loans[[#This Row],[LoanAmount]])</f>
        <v>202800.09213890255</v>
      </c>
      <c r="M1677" s="30">
        <f>EDATE(Loans[[#This Row],[LoanStartDate]],Loans[[#This Row],[LoanTenureMonths]])</f>
        <v>45943</v>
      </c>
      <c r="N1677" s="33">
        <f>IF(Loans[[#This Row],[LoanAmount]]=0,0,Loans[[#This Row],[CollateralValue]]/Loans[[#This Row],[LoanAmount]])</f>
        <v>0.53</v>
      </c>
      <c r="O1677" t="str">
        <f>IF(Loans[[#This Row],[CollateralCoverageRatio]]&lt;1,"Undersecured","Secured")</f>
        <v>Undersecured</v>
      </c>
      <c r="P1677" t="str">
        <f>_xlfn.XLOOKUP(Loans[[#This Row],[BranchCode]],BranchesTbl[BranchCode],BranchesTbl[BranchName])</f>
        <v>Malindi</v>
      </c>
      <c r="Q1677">
        <f>_xlfn.XLOOKUP(Loans[[#This Row],[CustomerID]],CustomerTbl[CustomerID],CustomerTbl[RiskScore])</f>
        <v>734</v>
      </c>
      <c r="R1677" t="str">
        <f>IFERROR(INDEX(RiskTbl[Risk_Category],MATCH(Loans[[#This Row],[RiskScore]],RiskTbl[Score_Min],1)),"Unknown")</f>
        <v>Low Risk</v>
      </c>
      <c r="S1677" t="str">
        <f>IF(OR(Loans[[#This Row],[LoanStatus]]="Default",Loans[[#This Row],[LoanStatus]]="Watchlist",Loans[[#This Row],[CollateralRisk]]="Undersecured",Loans[[#This Row],[RiskCategory]]="High Risk"),"High Risk Exposure","Normal")</f>
        <v>High Risk Exposure</v>
      </c>
      <c r="T1677" t="str" cm="1">
        <f t="array" ref="T1677">_xlfn.IFS(
Loans[[#This Row],[LoanStatus]]="Default","Critical",
OR(Loans[[#This Row],[LoanStatus]]="Watchlist",Loans[[#This Row],[CollateralRisk]]="Undersecured",Loans[[#This Row],[RiskCategory]]="High Risk"),"High",
TRUE,"Normal"
)</f>
        <v>High</v>
      </c>
    </row>
    <row r="1678" spans="1:20" x14ac:dyDescent="0.35">
      <c r="A1678" t="s">
        <v>2498</v>
      </c>
      <c r="B1678" t="s">
        <v>308</v>
      </c>
      <c r="C1678" t="s">
        <v>184</v>
      </c>
      <c r="D1678" t="s">
        <v>158</v>
      </c>
      <c r="E1678" s="34">
        <v>500000</v>
      </c>
      <c r="F1678" s="29">
        <v>0.14660000000000001</v>
      </c>
      <c r="G1678" s="30">
        <v>45066</v>
      </c>
      <c r="H1678">
        <v>12</v>
      </c>
      <c r="I1678">
        <v>90</v>
      </c>
      <c r="J1678" s="34">
        <v>430000</v>
      </c>
      <c r="K1678" t="s">
        <v>199</v>
      </c>
      <c r="L1678" s="34">
        <f>PMT(Loans[[#This Row],[InterestRate]]/12,Loans[[#This Row],[LoanTenureMonths]],-Loans[[#This Row],[LoanAmount]])</f>
        <v>45048.977237379841</v>
      </c>
      <c r="M1678" s="30">
        <f>EDATE(Loans[[#This Row],[LoanStartDate]],Loans[[#This Row],[LoanTenureMonths]])</f>
        <v>45432</v>
      </c>
      <c r="N1678" s="33">
        <f>IF(Loans[[#This Row],[LoanAmount]]=0,0,Loans[[#This Row],[CollateralValue]]/Loans[[#This Row],[LoanAmount]])</f>
        <v>0.86</v>
      </c>
      <c r="O1678" t="str">
        <f>IF(Loans[[#This Row],[CollateralCoverageRatio]]&lt;1,"Undersecured","Secured")</f>
        <v>Undersecured</v>
      </c>
      <c r="P1678" t="str">
        <f>_xlfn.XLOOKUP(Loans[[#This Row],[BranchCode]],BranchesTbl[BranchCode],BranchesTbl[BranchName])</f>
        <v>Kisumu</v>
      </c>
      <c r="Q1678">
        <f>_xlfn.XLOOKUP(Loans[[#This Row],[CustomerID]],CustomerTbl[CustomerID],CustomerTbl[RiskScore])</f>
        <v>477</v>
      </c>
      <c r="R1678" t="str">
        <f>IFERROR(INDEX(RiskTbl[Risk_Category],MATCH(Loans[[#This Row],[RiskScore]],RiskTbl[Score_Min],1)),"Unknown")</f>
        <v>High Risk</v>
      </c>
      <c r="S1678" t="str">
        <f>IF(OR(Loans[[#This Row],[LoanStatus]]="Default",Loans[[#This Row],[LoanStatus]]="Watchlist",Loans[[#This Row],[CollateralRisk]]="Undersecured",Loans[[#This Row],[RiskCategory]]="High Risk"),"High Risk Exposure","Normal")</f>
        <v>High Risk Exposure</v>
      </c>
      <c r="T1678" t="str" cm="1">
        <f t="array" ref="T1678">_xlfn.IFS(
Loans[[#This Row],[LoanStatus]]="Default","Critical",
OR(Loans[[#This Row],[LoanStatus]]="Watchlist",Loans[[#This Row],[CollateralRisk]]="Undersecured",Loans[[#This Row],[RiskCategory]]="High Risk"),"High",
TRUE,"Normal"
)</f>
        <v>High</v>
      </c>
    </row>
    <row r="1679" spans="1:20" x14ac:dyDescent="0.35">
      <c r="A1679" t="s">
        <v>2499</v>
      </c>
      <c r="B1679" t="s">
        <v>2046</v>
      </c>
      <c r="C1679" t="s">
        <v>206</v>
      </c>
      <c r="D1679" t="s">
        <v>156</v>
      </c>
      <c r="E1679" s="34">
        <v>1000000</v>
      </c>
      <c r="F1679" s="29">
        <v>0.21099999999999999</v>
      </c>
      <c r="G1679" s="30">
        <v>45598</v>
      </c>
      <c r="H1679">
        <v>48</v>
      </c>
      <c r="I1679">
        <v>5</v>
      </c>
      <c r="J1679" s="34">
        <v>1450000</v>
      </c>
      <c r="K1679" t="s">
        <v>171</v>
      </c>
      <c r="L1679" s="34">
        <f>PMT(Loans[[#This Row],[InterestRate]]/12,Loans[[#This Row],[LoanTenureMonths]],-Loans[[#This Row],[LoanAmount]])</f>
        <v>31019.506632385182</v>
      </c>
      <c r="M1679" s="30">
        <f>EDATE(Loans[[#This Row],[LoanStartDate]],Loans[[#This Row],[LoanTenureMonths]])</f>
        <v>47059</v>
      </c>
      <c r="N1679" s="33">
        <f>IF(Loans[[#This Row],[LoanAmount]]=0,0,Loans[[#This Row],[CollateralValue]]/Loans[[#This Row],[LoanAmount]])</f>
        <v>1.45</v>
      </c>
      <c r="O1679" t="str">
        <f>IF(Loans[[#This Row],[CollateralCoverageRatio]]&lt;1,"Undersecured","Secured")</f>
        <v>Secured</v>
      </c>
      <c r="P1679" t="str">
        <f>_xlfn.XLOOKUP(Loans[[#This Row],[BranchCode]],BranchesTbl[BranchCode],BranchesTbl[BranchName])</f>
        <v>Nyahururu</v>
      </c>
      <c r="Q1679">
        <f>_xlfn.XLOOKUP(Loans[[#This Row],[CustomerID]],CustomerTbl[CustomerID],CustomerTbl[RiskScore])</f>
        <v>336</v>
      </c>
      <c r="R1679" t="str">
        <f>IFERROR(INDEX(RiskTbl[Risk_Category],MATCH(Loans[[#This Row],[RiskScore]],RiskTbl[Score_Min],1)),"Unknown")</f>
        <v>High Risk</v>
      </c>
      <c r="S1679" t="str">
        <f>IF(OR(Loans[[#This Row],[LoanStatus]]="Default",Loans[[#This Row],[LoanStatus]]="Watchlist",Loans[[#This Row],[CollateralRisk]]="Undersecured",Loans[[#This Row],[RiskCategory]]="High Risk"),"High Risk Exposure","Normal")</f>
        <v>High Risk Exposure</v>
      </c>
      <c r="T1679" t="str" cm="1">
        <f t="array" ref="T1679">_xlfn.IFS(
Loans[[#This Row],[LoanStatus]]="Default","Critical",
OR(Loans[[#This Row],[LoanStatus]]="Watchlist",Loans[[#This Row],[CollateralRisk]]="Undersecured",Loans[[#This Row],[RiskCategory]]="High Risk"),"High",
TRUE,"Normal"
)</f>
        <v>High</v>
      </c>
    </row>
    <row r="1680" spans="1:20" x14ac:dyDescent="0.35">
      <c r="A1680" t="s">
        <v>2500</v>
      </c>
      <c r="B1680" t="s">
        <v>587</v>
      </c>
      <c r="C1680" t="s">
        <v>267</v>
      </c>
      <c r="D1680" t="s">
        <v>156</v>
      </c>
      <c r="E1680" s="34">
        <v>6000000</v>
      </c>
      <c r="F1680" s="29">
        <v>0.1424</v>
      </c>
      <c r="G1680" s="30">
        <v>45017</v>
      </c>
      <c r="H1680">
        <v>72</v>
      </c>
      <c r="I1680">
        <v>10</v>
      </c>
      <c r="J1680" s="34">
        <v>4680000</v>
      </c>
      <c r="K1680" t="s">
        <v>171</v>
      </c>
      <c r="L1680" s="34">
        <f>PMT(Loans[[#This Row],[InterestRate]]/12,Loans[[#This Row],[LoanTenureMonths]],-Loans[[#This Row],[LoanAmount]])</f>
        <v>124406.82994834031</v>
      </c>
      <c r="M1680" s="30">
        <f>EDATE(Loans[[#This Row],[LoanStartDate]],Loans[[#This Row],[LoanTenureMonths]])</f>
        <v>47209</v>
      </c>
      <c r="N1680" s="33">
        <f>IF(Loans[[#This Row],[LoanAmount]]=0,0,Loans[[#This Row],[CollateralValue]]/Loans[[#This Row],[LoanAmount]])</f>
        <v>0.78</v>
      </c>
      <c r="O1680" t="str">
        <f>IF(Loans[[#This Row],[CollateralCoverageRatio]]&lt;1,"Undersecured","Secured")</f>
        <v>Undersecured</v>
      </c>
      <c r="P1680" t="str">
        <f>_xlfn.XLOOKUP(Loans[[#This Row],[BranchCode]],BranchesTbl[BranchCode],BranchesTbl[BranchName])</f>
        <v>Malindi</v>
      </c>
      <c r="Q1680">
        <f>_xlfn.XLOOKUP(Loans[[#This Row],[CustomerID]],CustomerTbl[CustomerID],CustomerTbl[RiskScore])</f>
        <v>490</v>
      </c>
      <c r="R1680" t="str">
        <f>IFERROR(INDEX(RiskTbl[Risk_Category],MATCH(Loans[[#This Row],[RiskScore]],RiskTbl[Score_Min],1)),"Unknown")</f>
        <v>High Risk</v>
      </c>
      <c r="S1680" t="str">
        <f>IF(OR(Loans[[#This Row],[LoanStatus]]="Default",Loans[[#This Row],[LoanStatus]]="Watchlist",Loans[[#This Row],[CollateralRisk]]="Undersecured",Loans[[#This Row],[RiskCategory]]="High Risk"),"High Risk Exposure","Normal")</f>
        <v>High Risk Exposure</v>
      </c>
      <c r="T1680" t="str" cm="1">
        <f t="array" ref="T1680">_xlfn.IFS(
Loans[[#This Row],[LoanStatus]]="Default","Critical",
OR(Loans[[#This Row],[LoanStatus]]="Watchlist",Loans[[#This Row],[CollateralRisk]]="Undersecured",Loans[[#This Row],[RiskCategory]]="High Risk"),"High",
TRUE,"Normal"
)</f>
        <v>High</v>
      </c>
    </row>
    <row r="1681" spans="1:20" x14ac:dyDescent="0.35">
      <c r="A1681" t="s">
        <v>2501</v>
      </c>
      <c r="B1681" t="s">
        <v>2502</v>
      </c>
      <c r="C1681" t="s">
        <v>170</v>
      </c>
      <c r="D1681" t="s">
        <v>156</v>
      </c>
      <c r="E1681" s="34">
        <v>1000000</v>
      </c>
      <c r="F1681" s="29">
        <v>0.17580000000000001</v>
      </c>
      <c r="G1681" s="30">
        <v>43954</v>
      </c>
      <c r="H1681">
        <v>24</v>
      </c>
      <c r="I1681">
        <v>0</v>
      </c>
      <c r="J1681" s="34">
        <v>1380000</v>
      </c>
      <c r="K1681" t="s">
        <v>171</v>
      </c>
      <c r="L1681" s="34">
        <f>PMT(Loans[[#This Row],[InterestRate]]/12,Loans[[#This Row],[LoanTenureMonths]],-Loans[[#This Row],[LoanAmount]])</f>
        <v>49721.403551155898</v>
      </c>
      <c r="M1681" s="30">
        <f>EDATE(Loans[[#This Row],[LoanStartDate]],Loans[[#This Row],[LoanTenureMonths]])</f>
        <v>44684</v>
      </c>
      <c r="N1681" s="33">
        <f>IF(Loans[[#This Row],[LoanAmount]]=0,0,Loans[[#This Row],[CollateralValue]]/Loans[[#This Row],[LoanAmount]])</f>
        <v>1.38</v>
      </c>
      <c r="O1681" t="str">
        <f>IF(Loans[[#This Row],[CollateralCoverageRatio]]&lt;1,"Undersecured","Secured")</f>
        <v>Secured</v>
      </c>
      <c r="P1681" t="str">
        <f>_xlfn.XLOOKUP(Loans[[#This Row],[BranchCode]],BranchesTbl[BranchCode],BranchesTbl[BranchName])</f>
        <v>Thika</v>
      </c>
      <c r="Q1681">
        <f>_xlfn.XLOOKUP(Loans[[#This Row],[CustomerID]],CustomerTbl[CustomerID],CustomerTbl[RiskScore])</f>
        <v>823</v>
      </c>
      <c r="R1681" t="str">
        <f>IFERROR(INDEX(RiskTbl[Risk_Category],MATCH(Loans[[#This Row],[RiskScore]],RiskTbl[Score_Min],1)),"Unknown")</f>
        <v>Prime</v>
      </c>
      <c r="S1681" t="str">
        <f>IF(OR(Loans[[#This Row],[LoanStatus]]="Default",Loans[[#This Row],[LoanStatus]]="Watchlist",Loans[[#This Row],[CollateralRisk]]="Undersecured",Loans[[#This Row],[RiskCategory]]="High Risk"),"High Risk Exposure","Normal")</f>
        <v>Normal</v>
      </c>
      <c r="T1681" t="str" cm="1">
        <f t="array" ref="T1681">_xlfn.IFS(
Loans[[#This Row],[LoanStatus]]="Default","Critical",
OR(Loans[[#This Row],[LoanStatus]]="Watchlist",Loans[[#This Row],[CollateralRisk]]="Undersecured",Loans[[#This Row],[RiskCategory]]="High Risk"),"High",
TRUE,"Normal"
)</f>
        <v>Normal</v>
      </c>
    </row>
    <row r="1682" spans="1:20" x14ac:dyDescent="0.35">
      <c r="A1682" t="s">
        <v>2503</v>
      </c>
      <c r="B1682" t="s">
        <v>1151</v>
      </c>
      <c r="C1682" t="s">
        <v>267</v>
      </c>
      <c r="D1682" t="s">
        <v>157</v>
      </c>
      <c r="E1682" s="34">
        <v>6000000</v>
      </c>
      <c r="F1682" s="29">
        <v>0.1268</v>
      </c>
      <c r="G1682" s="30">
        <v>45040</v>
      </c>
      <c r="H1682">
        <v>48</v>
      </c>
      <c r="I1682">
        <v>0</v>
      </c>
      <c r="J1682" s="34">
        <v>4140000</v>
      </c>
      <c r="K1682" t="s">
        <v>171</v>
      </c>
      <c r="L1682" s="34">
        <f>PMT(Loans[[#This Row],[InterestRate]]/12,Loans[[#This Row],[LoanTenureMonths]],-Loans[[#This Row],[LoanAmount]])</f>
        <v>160013.66621054924</v>
      </c>
      <c r="M1682" s="30">
        <f>EDATE(Loans[[#This Row],[LoanStartDate]],Loans[[#This Row],[LoanTenureMonths]])</f>
        <v>46501</v>
      </c>
      <c r="N1682" s="33">
        <f>IF(Loans[[#This Row],[LoanAmount]]=0,0,Loans[[#This Row],[CollateralValue]]/Loans[[#This Row],[LoanAmount]])</f>
        <v>0.69</v>
      </c>
      <c r="O1682" t="str">
        <f>IF(Loans[[#This Row],[CollateralCoverageRatio]]&lt;1,"Undersecured","Secured")</f>
        <v>Undersecured</v>
      </c>
      <c r="P1682" t="str">
        <f>_xlfn.XLOOKUP(Loans[[#This Row],[BranchCode]],BranchesTbl[BranchCode],BranchesTbl[BranchName])</f>
        <v>Malindi</v>
      </c>
      <c r="Q1682">
        <f>_xlfn.XLOOKUP(Loans[[#This Row],[CustomerID]],CustomerTbl[CustomerID],CustomerTbl[RiskScore])</f>
        <v>848</v>
      </c>
      <c r="R1682" t="str">
        <f>IFERROR(INDEX(RiskTbl[Risk_Category],MATCH(Loans[[#This Row],[RiskScore]],RiskTbl[Score_Min],1)),"Unknown")</f>
        <v>Prime</v>
      </c>
      <c r="S1682" t="str">
        <f>IF(OR(Loans[[#This Row],[LoanStatus]]="Default",Loans[[#This Row],[LoanStatus]]="Watchlist",Loans[[#This Row],[CollateralRisk]]="Undersecured",Loans[[#This Row],[RiskCategory]]="High Risk"),"High Risk Exposure","Normal")</f>
        <v>High Risk Exposure</v>
      </c>
      <c r="T1682" t="str" cm="1">
        <f t="array" ref="T1682">_xlfn.IFS(
Loans[[#This Row],[LoanStatus]]="Default","Critical",
OR(Loans[[#This Row],[LoanStatus]]="Watchlist",Loans[[#This Row],[CollateralRisk]]="Undersecured",Loans[[#This Row],[RiskCategory]]="High Risk"),"High",
TRUE,"Normal"
)</f>
        <v>High</v>
      </c>
    </row>
    <row r="1683" spans="1:20" x14ac:dyDescent="0.35">
      <c r="A1683" t="s">
        <v>2504</v>
      </c>
      <c r="B1683" t="s">
        <v>879</v>
      </c>
      <c r="C1683" t="s">
        <v>170</v>
      </c>
      <c r="D1683" t="s">
        <v>158</v>
      </c>
      <c r="E1683" s="34">
        <v>6000000</v>
      </c>
      <c r="F1683" s="29">
        <v>0.1628</v>
      </c>
      <c r="G1683" s="30">
        <v>44512</v>
      </c>
      <c r="H1683">
        <v>72</v>
      </c>
      <c r="I1683">
        <v>0</v>
      </c>
      <c r="J1683" s="34">
        <v>8760000</v>
      </c>
      <c r="K1683" t="s">
        <v>171</v>
      </c>
      <c r="L1683" s="34">
        <f>PMT(Loans[[#This Row],[InterestRate]]/12,Loans[[#This Row],[LoanTenureMonths]],-Loans[[#This Row],[LoanAmount]])</f>
        <v>131077.7617550664</v>
      </c>
      <c r="M1683" s="30">
        <f>EDATE(Loans[[#This Row],[LoanStartDate]],Loans[[#This Row],[LoanTenureMonths]])</f>
        <v>46703</v>
      </c>
      <c r="N1683" s="33">
        <f>IF(Loans[[#This Row],[LoanAmount]]=0,0,Loans[[#This Row],[CollateralValue]]/Loans[[#This Row],[LoanAmount]])</f>
        <v>1.46</v>
      </c>
      <c r="O1683" t="str">
        <f>IF(Loans[[#This Row],[CollateralCoverageRatio]]&lt;1,"Undersecured","Secured")</f>
        <v>Secured</v>
      </c>
      <c r="P1683" t="str">
        <f>_xlfn.XLOOKUP(Loans[[#This Row],[BranchCode]],BranchesTbl[BranchCode],BranchesTbl[BranchName])</f>
        <v>Thika</v>
      </c>
      <c r="Q1683">
        <f>_xlfn.XLOOKUP(Loans[[#This Row],[CustomerID]],CustomerTbl[CustomerID],CustomerTbl[RiskScore])</f>
        <v>580</v>
      </c>
      <c r="R1683" t="str">
        <f>IFERROR(INDEX(RiskTbl[Risk_Category],MATCH(Loans[[#This Row],[RiskScore]],RiskTbl[Score_Min],1)),"Unknown")</f>
        <v>Medium Risk</v>
      </c>
      <c r="S1683" t="str">
        <f>IF(OR(Loans[[#This Row],[LoanStatus]]="Default",Loans[[#This Row],[LoanStatus]]="Watchlist",Loans[[#This Row],[CollateralRisk]]="Undersecured",Loans[[#This Row],[RiskCategory]]="High Risk"),"High Risk Exposure","Normal")</f>
        <v>Normal</v>
      </c>
      <c r="T1683" t="str" cm="1">
        <f t="array" ref="T1683">_xlfn.IFS(
Loans[[#This Row],[LoanStatus]]="Default","Critical",
OR(Loans[[#This Row],[LoanStatus]]="Watchlist",Loans[[#This Row],[CollateralRisk]]="Undersecured",Loans[[#This Row],[RiskCategory]]="High Risk"),"High",
TRUE,"Normal"
)</f>
        <v>Normal</v>
      </c>
    </row>
    <row r="1684" spans="1:20" x14ac:dyDescent="0.35">
      <c r="A1684" t="s">
        <v>2505</v>
      </c>
      <c r="B1684" t="s">
        <v>455</v>
      </c>
      <c r="C1684" t="s">
        <v>196</v>
      </c>
      <c r="D1684" t="s">
        <v>155</v>
      </c>
      <c r="E1684" s="34">
        <v>250000</v>
      </c>
      <c r="F1684" s="29">
        <v>0.1799</v>
      </c>
      <c r="G1684" s="30">
        <v>43928</v>
      </c>
      <c r="H1684">
        <v>72</v>
      </c>
      <c r="I1684">
        <v>0</v>
      </c>
      <c r="J1684" s="34">
        <v>0</v>
      </c>
      <c r="K1684" t="s">
        <v>171</v>
      </c>
      <c r="L1684" s="34">
        <f>PMT(Loans[[#This Row],[InterestRate]]/12,Loans[[#This Row],[LoanTenureMonths]],-Loans[[#This Row],[LoanAmount]])</f>
        <v>5700.5345812750393</v>
      </c>
      <c r="M1684" s="30">
        <f>EDATE(Loans[[#This Row],[LoanStartDate]],Loans[[#This Row],[LoanTenureMonths]])</f>
        <v>46119</v>
      </c>
      <c r="N1684" s="33">
        <f>IF(Loans[[#This Row],[LoanAmount]]=0,0,Loans[[#This Row],[CollateralValue]]/Loans[[#This Row],[LoanAmount]])</f>
        <v>0</v>
      </c>
      <c r="O1684" t="str">
        <f>IF(Loans[[#This Row],[CollateralCoverageRatio]]&lt;1,"Undersecured","Secured")</f>
        <v>Undersecured</v>
      </c>
      <c r="P1684" t="str">
        <f>_xlfn.XLOOKUP(Loans[[#This Row],[BranchCode]],BranchesTbl[BranchCode],BranchesTbl[BranchName])</f>
        <v>Karen</v>
      </c>
      <c r="Q1684">
        <f>_xlfn.XLOOKUP(Loans[[#This Row],[CustomerID]],CustomerTbl[CustomerID],CustomerTbl[RiskScore])</f>
        <v>597</v>
      </c>
      <c r="R1684" t="str">
        <f>IFERROR(INDEX(RiskTbl[Risk_Category],MATCH(Loans[[#This Row],[RiskScore]],RiskTbl[Score_Min],1)),"Unknown")</f>
        <v>Medium Risk</v>
      </c>
      <c r="S1684" t="str">
        <f>IF(OR(Loans[[#This Row],[LoanStatus]]="Default",Loans[[#This Row],[LoanStatus]]="Watchlist",Loans[[#This Row],[CollateralRisk]]="Undersecured",Loans[[#This Row],[RiskCategory]]="High Risk"),"High Risk Exposure","Normal")</f>
        <v>High Risk Exposure</v>
      </c>
      <c r="T1684" t="str" cm="1">
        <f t="array" ref="T1684">_xlfn.IFS(
Loans[[#This Row],[LoanStatus]]="Default","Critical",
OR(Loans[[#This Row],[LoanStatus]]="Watchlist",Loans[[#This Row],[CollateralRisk]]="Undersecured",Loans[[#This Row],[RiskCategory]]="High Risk"),"High",
TRUE,"Normal"
)</f>
        <v>High</v>
      </c>
    </row>
    <row r="1685" spans="1:20" x14ac:dyDescent="0.35">
      <c r="A1685" t="s">
        <v>2506</v>
      </c>
      <c r="B1685" t="s">
        <v>1451</v>
      </c>
      <c r="C1685" t="s">
        <v>190</v>
      </c>
      <c r="D1685" t="s">
        <v>158</v>
      </c>
      <c r="E1685" s="34">
        <v>6000000</v>
      </c>
      <c r="F1685" s="29">
        <v>0.1699</v>
      </c>
      <c r="G1685" s="30">
        <v>44728</v>
      </c>
      <c r="H1685">
        <v>72</v>
      </c>
      <c r="I1685">
        <v>0</v>
      </c>
      <c r="J1685" s="34">
        <v>4680000</v>
      </c>
      <c r="K1685" t="s">
        <v>171</v>
      </c>
      <c r="L1685" s="34">
        <f>PMT(Loans[[#This Row],[InterestRate]]/12,Loans[[#This Row],[LoanTenureMonths]],-Loans[[#This Row],[LoanAmount]])</f>
        <v>133443.30962794347</v>
      </c>
      <c r="M1685" s="30">
        <f>EDATE(Loans[[#This Row],[LoanStartDate]],Loans[[#This Row],[LoanTenureMonths]])</f>
        <v>46920</v>
      </c>
      <c r="N1685" s="33">
        <f>IF(Loans[[#This Row],[LoanAmount]]=0,0,Loans[[#This Row],[CollateralValue]]/Loans[[#This Row],[LoanAmount]])</f>
        <v>0.78</v>
      </c>
      <c r="O1685" t="str">
        <f>IF(Loans[[#This Row],[CollateralCoverageRatio]]&lt;1,"Undersecured","Secured")</f>
        <v>Undersecured</v>
      </c>
      <c r="P1685" t="str">
        <f>_xlfn.XLOOKUP(Loans[[#This Row],[BranchCode]],BranchesTbl[BranchCode],BranchesTbl[BranchName])</f>
        <v>Nyeri</v>
      </c>
      <c r="Q1685">
        <f>_xlfn.XLOOKUP(Loans[[#This Row],[CustomerID]],CustomerTbl[CustomerID],CustomerTbl[RiskScore])</f>
        <v>464</v>
      </c>
      <c r="R1685" t="str">
        <f>IFERROR(INDEX(RiskTbl[Risk_Category],MATCH(Loans[[#This Row],[RiskScore]],RiskTbl[Score_Min],1)),"Unknown")</f>
        <v>High Risk</v>
      </c>
      <c r="S1685" t="str">
        <f>IF(OR(Loans[[#This Row],[LoanStatus]]="Default",Loans[[#This Row],[LoanStatus]]="Watchlist",Loans[[#This Row],[CollateralRisk]]="Undersecured",Loans[[#This Row],[RiskCategory]]="High Risk"),"High Risk Exposure","Normal")</f>
        <v>High Risk Exposure</v>
      </c>
      <c r="T1685" t="str" cm="1">
        <f t="array" ref="T1685">_xlfn.IFS(
Loans[[#This Row],[LoanStatus]]="Default","Critical",
OR(Loans[[#This Row],[LoanStatus]]="Watchlist",Loans[[#This Row],[CollateralRisk]]="Undersecured",Loans[[#This Row],[RiskCategory]]="High Risk"),"High",
TRUE,"Normal"
)</f>
        <v>High</v>
      </c>
    </row>
    <row r="1686" spans="1:20" x14ac:dyDescent="0.35">
      <c r="A1686" t="s">
        <v>2507</v>
      </c>
      <c r="B1686" t="s">
        <v>256</v>
      </c>
      <c r="C1686" t="s">
        <v>170</v>
      </c>
      <c r="D1686" t="s">
        <v>156</v>
      </c>
      <c r="E1686" s="34">
        <v>3000000</v>
      </c>
      <c r="F1686" s="29">
        <v>0.17319999999999999</v>
      </c>
      <c r="G1686" s="30">
        <v>45920</v>
      </c>
      <c r="H1686">
        <v>24</v>
      </c>
      <c r="I1686">
        <v>0</v>
      </c>
      <c r="J1686" s="34">
        <v>3930000</v>
      </c>
      <c r="K1686" t="s">
        <v>171</v>
      </c>
      <c r="L1686" s="34">
        <f>PMT(Loans[[#This Row],[InterestRate]]/12,Loans[[#This Row],[LoanTenureMonths]],-Loans[[#This Row],[LoanAmount]])</f>
        <v>148788.48145362755</v>
      </c>
      <c r="M1686" s="30">
        <f>EDATE(Loans[[#This Row],[LoanStartDate]],Loans[[#This Row],[LoanTenureMonths]])</f>
        <v>46650</v>
      </c>
      <c r="N1686" s="33">
        <f>IF(Loans[[#This Row],[LoanAmount]]=0,0,Loans[[#This Row],[CollateralValue]]/Loans[[#This Row],[LoanAmount]])</f>
        <v>1.31</v>
      </c>
      <c r="O1686" t="str">
        <f>IF(Loans[[#This Row],[CollateralCoverageRatio]]&lt;1,"Undersecured","Secured")</f>
        <v>Secured</v>
      </c>
      <c r="P1686" t="str">
        <f>_xlfn.XLOOKUP(Loans[[#This Row],[BranchCode]],BranchesTbl[BranchCode],BranchesTbl[BranchName])</f>
        <v>Thika</v>
      </c>
      <c r="Q1686">
        <f>_xlfn.XLOOKUP(Loans[[#This Row],[CustomerID]],CustomerTbl[CustomerID],CustomerTbl[RiskScore])</f>
        <v>659</v>
      </c>
      <c r="R1686" t="str">
        <f>IFERROR(INDEX(RiskTbl[Risk_Category],MATCH(Loans[[#This Row],[RiskScore]],RiskTbl[Score_Min],1)),"Unknown")</f>
        <v>Medium Risk</v>
      </c>
      <c r="S1686" t="str">
        <f>IF(OR(Loans[[#This Row],[LoanStatus]]="Default",Loans[[#This Row],[LoanStatus]]="Watchlist",Loans[[#This Row],[CollateralRisk]]="Undersecured",Loans[[#This Row],[RiskCategory]]="High Risk"),"High Risk Exposure","Normal")</f>
        <v>Normal</v>
      </c>
      <c r="T1686" t="str" cm="1">
        <f t="array" ref="T1686">_xlfn.IFS(
Loans[[#This Row],[LoanStatus]]="Default","Critical",
OR(Loans[[#This Row],[LoanStatus]]="Watchlist",Loans[[#This Row],[CollateralRisk]]="Undersecured",Loans[[#This Row],[RiskCategory]]="High Risk"),"High",
TRUE,"Normal"
)</f>
        <v>Normal</v>
      </c>
    </row>
    <row r="1687" spans="1:20" x14ac:dyDescent="0.35">
      <c r="A1687" t="s">
        <v>2508</v>
      </c>
      <c r="B1687" t="s">
        <v>513</v>
      </c>
      <c r="C1687" t="s">
        <v>184</v>
      </c>
      <c r="D1687" t="s">
        <v>157</v>
      </c>
      <c r="E1687" s="34">
        <v>6000000</v>
      </c>
      <c r="F1687" s="29">
        <v>9.6100000000000005E-2</v>
      </c>
      <c r="G1687" s="30">
        <v>44841</v>
      </c>
      <c r="H1687">
        <v>48</v>
      </c>
      <c r="I1687">
        <v>90</v>
      </c>
      <c r="J1687" s="34">
        <v>3180000</v>
      </c>
      <c r="K1687" t="s">
        <v>199</v>
      </c>
      <c r="L1687" s="34">
        <f>PMT(Loans[[#This Row],[InterestRate]]/12,Loans[[#This Row],[LoanTenureMonths]],-Loans[[#This Row],[LoanAmount]])</f>
        <v>151054.19410474281</v>
      </c>
      <c r="M1687" s="30">
        <f>EDATE(Loans[[#This Row],[LoanStartDate]],Loans[[#This Row],[LoanTenureMonths]])</f>
        <v>46302</v>
      </c>
      <c r="N1687" s="33">
        <f>IF(Loans[[#This Row],[LoanAmount]]=0,0,Loans[[#This Row],[CollateralValue]]/Loans[[#This Row],[LoanAmount]])</f>
        <v>0.53</v>
      </c>
      <c r="O1687" t="str">
        <f>IF(Loans[[#This Row],[CollateralCoverageRatio]]&lt;1,"Undersecured","Secured")</f>
        <v>Undersecured</v>
      </c>
      <c r="P1687" t="str">
        <f>_xlfn.XLOOKUP(Loans[[#This Row],[BranchCode]],BranchesTbl[BranchCode],BranchesTbl[BranchName])</f>
        <v>Kisumu</v>
      </c>
      <c r="Q1687">
        <f>_xlfn.XLOOKUP(Loans[[#This Row],[CustomerID]],CustomerTbl[CustomerID],CustomerTbl[RiskScore])</f>
        <v>425</v>
      </c>
      <c r="R1687" t="str">
        <f>IFERROR(INDEX(RiskTbl[Risk_Category],MATCH(Loans[[#This Row],[RiskScore]],RiskTbl[Score_Min],1)),"Unknown")</f>
        <v>High Risk</v>
      </c>
      <c r="S1687" t="str">
        <f>IF(OR(Loans[[#This Row],[LoanStatus]]="Default",Loans[[#This Row],[LoanStatus]]="Watchlist",Loans[[#This Row],[CollateralRisk]]="Undersecured",Loans[[#This Row],[RiskCategory]]="High Risk"),"High Risk Exposure","Normal")</f>
        <v>High Risk Exposure</v>
      </c>
      <c r="T1687" t="str" cm="1">
        <f t="array" ref="T1687">_xlfn.IFS(
Loans[[#This Row],[LoanStatus]]="Default","Critical",
OR(Loans[[#This Row],[LoanStatus]]="Watchlist",Loans[[#This Row],[CollateralRisk]]="Undersecured",Loans[[#This Row],[RiskCategory]]="High Risk"),"High",
TRUE,"Normal"
)</f>
        <v>High</v>
      </c>
    </row>
    <row r="1688" spans="1:20" x14ac:dyDescent="0.35">
      <c r="A1688" t="s">
        <v>2509</v>
      </c>
      <c r="B1688" t="s">
        <v>728</v>
      </c>
      <c r="C1688" t="s">
        <v>193</v>
      </c>
      <c r="D1688" t="s">
        <v>155</v>
      </c>
      <c r="E1688" s="34">
        <v>500000</v>
      </c>
      <c r="F1688" s="29">
        <v>0.27510000000000001</v>
      </c>
      <c r="G1688" s="30">
        <v>44748</v>
      </c>
      <c r="H1688">
        <v>12</v>
      </c>
      <c r="I1688">
        <v>45</v>
      </c>
      <c r="J1688" s="34">
        <v>0</v>
      </c>
      <c r="K1688" t="s">
        <v>199</v>
      </c>
      <c r="L1688" s="34">
        <f>PMT(Loans[[#This Row],[InterestRate]]/12,Loans[[#This Row],[LoanTenureMonths]],-Loans[[#This Row],[LoanAmount]])</f>
        <v>48133.207798218929</v>
      </c>
      <c r="M1688" s="30">
        <f>EDATE(Loans[[#This Row],[LoanStartDate]],Loans[[#This Row],[LoanTenureMonths]])</f>
        <v>45113</v>
      </c>
      <c r="N1688" s="33">
        <f>IF(Loans[[#This Row],[LoanAmount]]=0,0,Loans[[#This Row],[CollateralValue]]/Loans[[#This Row],[LoanAmount]])</f>
        <v>0</v>
      </c>
      <c r="O1688" t="str">
        <f>IF(Loans[[#This Row],[CollateralCoverageRatio]]&lt;1,"Undersecured","Secured")</f>
        <v>Undersecured</v>
      </c>
      <c r="P1688" t="str">
        <f>_xlfn.XLOOKUP(Loans[[#This Row],[BranchCode]],BranchesTbl[BranchCode],BranchesTbl[BranchName])</f>
        <v>Mombasa</v>
      </c>
      <c r="Q1688">
        <f>_xlfn.XLOOKUP(Loans[[#This Row],[CustomerID]],CustomerTbl[CustomerID],CustomerTbl[RiskScore])</f>
        <v>811</v>
      </c>
      <c r="R1688" t="str">
        <f>IFERROR(INDEX(RiskTbl[Risk_Category],MATCH(Loans[[#This Row],[RiskScore]],RiskTbl[Score_Min],1)),"Unknown")</f>
        <v>Prime</v>
      </c>
      <c r="S1688" t="str">
        <f>IF(OR(Loans[[#This Row],[LoanStatus]]="Default",Loans[[#This Row],[LoanStatus]]="Watchlist",Loans[[#This Row],[CollateralRisk]]="Undersecured",Loans[[#This Row],[RiskCategory]]="High Risk"),"High Risk Exposure","Normal")</f>
        <v>High Risk Exposure</v>
      </c>
      <c r="T1688" t="str" cm="1">
        <f t="array" ref="T1688">_xlfn.IFS(
Loans[[#This Row],[LoanStatus]]="Default","Critical",
OR(Loans[[#This Row],[LoanStatus]]="Watchlist",Loans[[#This Row],[CollateralRisk]]="Undersecured",Loans[[#This Row],[RiskCategory]]="High Risk"),"High",
TRUE,"Normal"
)</f>
        <v>High</v>
      </c>
    </row>
    <row r="1689" spans="1:20" x14ac:dyDescent="0.35">
      <c r="A1689" t="s">
        <v>2510</v>
      </c>
      <c r="B1689" t="s">
        <v>238</v>
      </c>
      <c r="C1689" t="s">
        <v>206</v>
      </c>
      <c r="D1689" t="s">
        <v>156</v>
      </c>
      <c r="E1689" s="34">
        <v>25000000</v>
      </c>
      <c r="F1689" s="29">
        <v>0.15010000000000001</v>
      </c>
      <c r="G1689" s="30">
        <v>44790</v>
      </c>
      <c r="H1689">
        <v>60</v>
      </c>
      <c r="I1689">
        <v>5</v>
      </c>
      <c r="J1689" s="34">
        <v>36750000</v>
      </c>
      <c r="K1689" t="s">
        <v>171</v>
      </c>
      <c r="L1689" s="34">
        <f>PMT(Loans[[#This Row],[InterestRate]]/12,Loans[[#This Row],[LoanTenureMonths]],-Loans[[#This Row],[LoanAmount]])</f>
        <v>594879.48829061922</v>
      </c>
      <c r="M1689" s="30">
        <f>EDATE(Loans[[#This Row],[LoanStartDate]],Loans[[#This Row],[LoanTenureMonths]])</f>
        <v>46616</v>
      </c>
      <c r="N1689" s="33">
        <f>IF(Loans[[#This Row],[LoanAmount]]=0,0,Loans[[#This Row],[CollateralValue]]/Loans[[#This Row],[LoanAmount]])</f>
        <v>1.47</v>
      </c>
      <c r="O1689" t="str">
        <f>IF(Loans[[#This Row],[CollateralCoverageRatio]]&lt;1,"Undersecured","Secured")</f>
        <v>Secured</v>
      </c>
      <c r="P1689" t="str">
        <f>_xlfn.XLOOKUP(Loans[[#This Row],[BranchCode]],BranchesTbl[BranchCode],BranchesTbl[BranchName])</f>
        <v>Nyahururu</v>
      </c>
      <c r="Q1689">
        <f>_xlfn.XLOOKUP(Loans[[#This Row],[CustomerID]],CustomerTbl[CustomerID],CustomerTbl[RiskScore])</f>
        <v>748</v>
      </c>
      <c r="R1689" t="str">
        <f>IFERROR(INDEX(RiskTbl[Risk_Category],MATCH(Loans[[#This Row],[RiskScore]],RiskTbl[Score_Min],1)),"Unknown")</f>
        <v>Very Low Risk</v>
      </c>
      <c r="S1689" t="str">
        <f>IF(OR(Loans[[#This Row],[LoanStatus]]="Default",Loans[[#This Row],[LoanStatus]]="Watchlist",Loans[[#This Row],[CollateralRisk]]="Undersecured",Loans[[#This Row],[RiskCategory]]="High Risk"),"High Risk Exposure","Normal")</f>
        <v>Normal</v>
      </c>
      <c r="T1689" t="str" cm="1">
        <f t="array" ref="T1689">_xlfn.IFS(
Loans[[#This Row],[LoanStatus]]="Default","Critical",
OR(Loans[[#This Row],[LoanStatus]]="Watchlist",Loans[[#This Row],[CollateralRisk]]="Undersecured",Loans[[#This Row],[RiskCategory]]="High Risk"),"High",
TRUE,"Normal"
)</f>
        <v>Normal</v>
      </c>
    </row>
    <row r="1690" spans="1:20" x14ac:dyDescent="0.35">
      <c r="A1690" t="s">
        <v>2511</v>
      </c>
      <c r="B1690" t="s">
        <v>1611</v>
      </c>
      <c r="C1690" t="s">
        <v>193</v>
      </c>
      <c r="D1690" t="s">
        <v>156</v>
      </c>
      <c r="E1690" s="34">
        <v>3000000</v>
      </c>
      <c r="F1690" s="29">
        <v>0.17910000000000001</v>
      </c>
      <c r="G1690" s="30">
        <v>45896</v>
      </c>
      <c r="H1690">
        <v>72</v>
      </c>
      <c r="I1690">
        <v>0</v>
      </c>
      <c r="J1690" s="34">
        <v>1560000</v>
      </c>
      <c r="K1690" t="s">
        <v>171</v>
      </c>
      <c r="L1690" s="34">
        <f>PMT(Loans[[#This Row],[InterestRate]]/12,Loans[[#This Row],[LoanTenureMonths]],-Loans[[#This Row],[LoanAmount]])</f>
        <v>68270.827292775546</v>
      </c>
      <c r="M1690" s="30">
        <f>EDATE(Loans[[#This Row],[LoanStartDate]],Loans[[#This Row],[LoanTenureMonths]])</f>
        <v>48087</v>
      </c>
      <c r="N1690" s="33">
        <f>IF(Loans[[#This Row],[LoanAmount]]=0,0,Loans[[#This Row],[CollateralValue]]/Loans[[#This Row],[LoanAmount]])</f>
        <v>0.52</v>
      </c>
      <c r="O1690" t="str">
        <f>IF(Loans[[#This Row],[CollateralCoverageRatio]]&lt;1,"Undersecured","Secured")</f>
        <v>Undersecured</v>
      </c>
      <c r="P1690" t="str">
        <f>_xlfn.XLOOKUP(Loans[[#This Row],[BranchCode]],BranchesTbl[BranchCode],BranchesTbl[BranchName])</f>
        <v>Mombasa</v>
      </c>
      <c r="Q1690">
        <f>_xlfn.XLOOKUP(Loans[[#This Row],[CustomerID]],CustomerTbl[CustomerID],CustomerTbl[RiskScore])</f>
        <v>668</v>
      </c>
      <c r="R1690" t="str">
        <f>IFERROR(INDEX(RiskTbl[Risk_Category],MATCH(Loans[[#This Row],[RiskScore]],RiskTbl[Score_Min],1)),"Unknown")</f>
        <v>Medium Risk</v>
      </c>
      <c r="S1690" t="str">
        <f>IF(OR(Loans[[#This Row],[LoanStatus]]="Default",Loans[[#This Row],[LoanStatus]]="Watchlist",Loans[[#This Row],[CollateralRisk]]="Undersecured",Loans[[#This Row],[RiskCategory]]="High Risk"),"High Risk Exposure","Normal")</f>
        <v>High Risk Exposure</v>
      </c>
      <c r="T1690" t="str" cm="1">
        <f t="array" ref="T1690">_xlfn.IFS(
Loans[[#This Row],[LoanStatus]]="Default","Critical",
OR(Loans[[#This Row],[LoanStatus]]="Watchlist",Loans[[#This Row],[CollateralRisk]]="Undersecured",Loans[[#This Row],[RiskCategory]]="High Risk"),"High",
TRUE,"Normal"
)</f>
        <v>High</v>
      </c>
    </row>
    <row r="1691" spans="1:20" x14ac:dyDescent="0.35">
      <c r="A1691" t="s">
        <v>2512</v>
      </c>
      <c r="B1691" t="s">
        <v>357</v>
      </c>
      <c r="C1691" t="s">
        <v>196</v>
      </c>
      <c r="D1691" t="s">
        <v>155</v>
      </c>
      <c r="E1691" s="34">
        <v>1000000</v>
      </c>
      <c r="F1691" s="29">
        <v>0.2492</v>
      </c>
      <c r="G1691" s="30">
        <v>44525</v>
      </c>
      <c r="H1691">
        <v>12</v>
      </c>
      <c r="I1691">
        <v>0</v>
      </c>
      <c r="J1691" s="34">
        <v>0</v>
      </c>
      <c r="K1691" t="s">
        <v>171</v>
      </c>
      <c r="L1691" s="34">
        <f>PMT(Loans[[#This Row],[InterestRate]]/12,Loans[[#This Row],[LoanTenureMonths]],-Loans[[#This Row],[LoanAmount]])</f>
        <v>95005.385791922221</v>
      </c>
      <c r="M1691" s="30">
        <f>EDATE(Loans[[#This Row],[LoanStartDate]],Loans[[#This Row],[LoanTenureMonths]])</f>
        <v>44890</v>
      </c>
      <c r="N1691" s="33">
        <f>IF(Loans[[#This Row],[LoanAmount]]=0,0,Loans[[#This Row],[CollateralValue]]/Loans[[#This Row],[LoanAmount]])</f>
        <v>0</v>
      </c>
      <c r="O1691" t="str">
        <f>IF(Loans[[#This Row],[CollateralCoverageRatio]]&lt;1,"Undersecured","Secured")</f>
        <v>Undersecured</v>
      </c>
      <c r="P1691" t="str">
        <f>_xlfn.XLOOKUP(Loans[[#This Row],[BranchCode]],BranchesTbl[BranchCode],BranchesTbl[BranchName])</f>
        <v>Karen</v>
      </c>
      <c r="Q1691">
        <f>_xlfn.XLOOKUP(Loans[[#This Row],[CustomerID]],CustomerTbl[CustomerID],CustomerTbl[RiskScore])</f>
        <v>712</v>
      </c>
      <c r="R1691" t="str">
        <f>IFERROR(INDEX(RiskTbl[Risk_Category],MATCH(Loans[[#This Row],[RiskScore]],RiskTbl[Score_Min],1)),"Unknown")</f>
        <v>Low Risk</v>
      </c>
      <c r="S1691" t="str">
        <f>IF(OR(Loans[[#This Row],[LoanStatus]]="Default",Loans[[#This Row],[LoanStatus]]="Watchlist",Loans[[#This Row],[CollateralRisk]]="Undersecured",Loans[[#This Row],[RiskCategory]]="High Risk"),"High Risk Exposure","Normal")</f>
        <v>High Risk Exposure</v>
      </c>
      <c r="T1691" t="str" cm="1">
        <f t="array" ref="T1691">_xlfn.IFS(
Loans[[#This Row],[LoanStatus]]="Default","Critical",
OR(Loans[[#This Row],[LoanStatus]]="Watchlist",Loans[[#This Row],[CollateralRisk]]="Undersecured",Loans[[#This Row],[RiskCategory]]="High Risk"),"High",
TRUE,"Normal"
)</f>
        <v>High</v>
      </c>
    </row>
    <row r="1692" spans="1:20" x14ac:dyDescent="0.35">
      <c r="A1692" t="s">
        <v>2513</v>
      </c>
      <c r="B1692" t="s">
        <v>375</v>
      </c>
      <c r="C1692" t="s">
        <v>190</v>
      </c>
      <c r="D1692" t="s">
        <v>155</v>
      </c>
      <c r="E1692" s="34">
        <v>250000</v>
      </c>
      <c r="F1692" s="29">
        <v>0.2069</v>
      </c>
      <c r="G1692" s="30">
        <v>45682</v>
      </c>
      <c r="H1692">
        <v>24</v>
      </c>
      <c r="I1692">
        <v>0</v>
      </c>
      <c r="J1692" s="34">
        <v>0</v>
      </c>
      <c r="K1692" t="s">
        <v>171</v>
      </c>
      <c r="L1692" s="34">
        <f>PMT(Loans[[#This Row],[InterestRate]]/12,Loans[[#This Row],[LoanTenureMonths]],-Loans[[#This Row],[LoanAmount]])</f>
        <v>12808.37840877622</v>
      </c>
      <c r="M1692" s="30">
        <f>EDATE(Loans[[#This Row],[LoanStartDate]],Loans[[#This Row],[LoanTenureMonths]])</f>
        <v>46412</v>
      </c>
      <c r="N1692" s="33">
        <f>IF(Loans[[#This Row],[LoanAmount]]=0,0,Loans[[#This Row],[CollateralValue]]/Loans[[#This Row],[LoanAmount]])</f>
        <v>0</v>
      </c>
      <c r="O1692" t="str">
        <f>IF(Loans[[#This Row],[CollateralCoverageRatio]]&lt;1,"Undersecured","Secured")</f>
        <v>Undersecured</v>
      </c>
      <c r="P1692" t="str">
        <f>_xlfn.XLOOKUP(Loans[[#This Row],[BranchCode]],BranchesTbl[BranchCode],BranchesTbl[BranchName])</f>
        <v>Nyeri</v>
      </c>
      <c r="Q1692">
        <f>_xlfn.XLOOKUP(Loans[[#This Row],[CustomerID]],CustomerTbl[CustomerID],CustomerTbl[RiskScore])</f>
        <v>358</v>
      </c>
      <c r="R1692" t="str">
        <f>IFERROR(INDEX(RiskTbl[Risk_Category],MATCH(Loans[[#This Row],[RiskScore]],RiskTbl[Score_Min],1)),"Unknown")</f>
        <v>High Risk</v>
      </c>
      <c r="S1692" t="str">
        <f>IF(OR(Loans[[#This Row],[LoanStatus]]="Default",Loans[[#This Row],[LoanStatus]]="Watchlist",Loans[[#This Row],[CollateralRisk]]="Undersecured",Loans[[#This Row],[RiskCategory]]="High Risk"),"High Risk Exposure","Normal")</f>
        <v>High Risk Exposure</v>
      </c>
      <c r="T1692" t="str" cm="1">
        <f t="array" ref="T1692">_xlfn.IFS(
Loans[[#This Row],[LoanStatus]]="Default","Critical",
OR(Loans[[#This Row],[LoanStatus]]="Watchlist",Loans[[#This Row],[CollateralRisk]]="Undersecured",Loans[[#This Row],[RiskCategory]]="High Risk"),"High",
TRUE,"Normal"
)</f>
        <v>High</v>
      </c>
    </row>
    <row r="1693" spans="1:20" x14ac:dyDescent="0.35">
      <c r="A1693" t="s">
        <v>2514</v>
      </c>
      <c r="B1693" t="s">
        <v>421</v>
      </c>
      <c r="C1693" t="s">
        <v>196</v>
      </c>
      <c r="D1693" t="s">
        <v>157</v>
      </c>
      <c r="E1693" s="34">
        <v>6000000</v>
      </c>
      <c r="F1693" s="29">
        <v>0.1118</v>
      </c>
      <c r="G1693" s="30">
        <v>44215</v>
      </c>
      <c r="H1693">
        <v>36</v>
      </c>
      <c r="I1693">
        <v>0</v>
      </c>
      <c r="J1693" s="34">
        <v>6180000</v>
      </c>
      <c r="K1693" t="s">
        <v>171</v>
      </c>
      <c r="L1693" s="34">
        <f>PMT(Loans[[#This Row],[InterestRate]]/12,Loans[[#This Row],[LoanTenureMonths]],-Loans[[#This Row],[LoanAmount]])</f>
        <v>196944.14607829708</v>
      </c>
      <c r="M1693" s="30">
        <f>EDATE(Loans[[#This Row],[LoanStartDate]],Loans[[#This Row],[LoanTenureMonths]])</f>
        <v>45310</v>
      </c>
      <c r="N1693" s="33">
        <f>IF(Loans[[#This Row],[LoanAmount]]=0,0,Loans[[#This Row],[CollateralValue]]/Loans[[#This Row],[LoanAmount]])</f>
        <v>1.03</v>
      </c>
      <c r="O1693" t="str">
        <f>IF(Loans[[#This Row],[CollateralCoverageRatio]]&lt;1,"Undersecured","Secured")</f>
        <v>Secured</v>
      </c>
      <c r="P1693" t="str">
        <f>_xlfn.XLOOKUP(Loans[[#This Row],[BranchCode]],BranchesTbl[BranchCode],BranchesTbl[BranchName])</f>
        <v>Karen</v>
      </c>
      <c r="Q1693">
        <f>_xlfn.XLOOKUP(Loans[[#This Row],[CustomerID]],CustomerTbl[CustomerID],CustomerTbl[RiskScore])</f>
        <v>803</v>
      </c>
      <c r="R1693" t="str">
        <f>IFERROR(INDEX(RiskTbl[Risk_Category],MATCH(Loans[[#This Row],[RiskScore]],RiskTbl[Score_Min],1)),"Unknown")</f>
        <v>Prime</v>
      </c>
      <c r="S1693" t="str">
        <f>IF(OR(Loans[[#This Row],[LoanStatus]]="Default",Loans[[#This Row],[LoanStatus]]="Watchlist",Loans[[#This Row],[CollateralRisk]]="Undersecured",Loans[[#This Row],[RiskCategory]]="High Risk"),"High Risk Exposure","Normal")</f>
        <v>Normal</v>
      </c>
      <c r="T1693" t="str" cm="1">
        <f t="array" ref="T1693">_xlfn.IFS(
Loans[[#This Row],[LoanStatus]]="Default","Critical",
OR(Loans[[#This Row],[LoanStatus]]="Watchlist",Loans[[#This Row],[CollateralRisk]]="Undersecured",Loans[[#This Row],[RiskCategory]]="High Risk"),"High",
TRUE,"Normal"
)</f>
        <v>Normal</v>
      </c>
    </row>
    <row r="1694" spans="1:20" x14ac:dyDescent="0.35">
      <c r="A1694" t="s">
        <v>2515</v>
      </c>
      <c r="B1694" t="s">
        <v>988</v>
      </c>
      <c r="C1694" t="s">
        <v>232</v>
      </c>
      <c r="D1694" t="s">
        <v>156</v>
      </c>
      <c r="E1694" s="34">
        <v>25000000</v>
      </c>
      <c r="F1694" s="29">
        <v>0.23019999999999999</v>
      </c>
      <c r="G1694" s="30">
        <v>44351</v>
      </c>
      <c r="H1694">
        <v>24</v>
      </c>
      <c r="I1694">
        <v>45</v>
      </c>
      <c r="J1694" s="34">
        <v>26000000</v>
      </c>
      <c r="K1694" t="s">
        <v>199</v>
      </c>
      <c r="L1694" s="34">
        <f>PMT(Loans[[#This Row],[InterestRate]]/12,Loans[[#This Row],[LoanTenureMonths]],-Loans[[#This Row],[LoanAmount]])</f>
        <v>1309580.9002583767</v>
      </c>
      <c r="M1694" s="30">
        <f>EDATE(Loans[[#This Row],[LoanStartDate]],Loans[[#This Row],[LoanTenureMonths]])</f>
        <v>45081</v>
      </c>
      <c r="N1694" s="33">
        <f>IF(Loans[[#This Row],[LoanAmount]]=0,0,Loans[[#This Row],[CollateralValue]]/Loans[[#This Row],[LoanAmount]])</f>
        <v>1.04</v>
      </c>
      <c r="O1694" t="str">
        <f>IF(Loans[[#This Row],[CollateralCoverageRatio]]&lt;1,"Undersecured","Secured")</f>
        <v>Secured</v>
      </c>
      <c r="P1694" t="str">
        <f>_xlfn.XLOOKUP(Loans[[#This Row],[BranchCode]],BranchesTbl[BranchCode],BranchesTbl[BranchName])</f>
        <v>Upper Hill</v>
      </c>
      <c r="Q1694">
        <f>_xlfn.XLOOKUP(Loans[[#This Row],[CustomerID]],CustomerTbl[CustomerID],CustomerTbl[RiskScore])</f>
        <v>549</v>
      </c>
      <c r="R1694" t="str">
        <f>IFERROR(INDEX(RiskTbl[Risk_Category],MATCH(Loans[[#This Row],[RiskScore]],RiskTbl[Score_Min],1)),"Unknown")</f>
        <v>High Risk</v>
      </c>
      <c r="S1694" t="str">
        <f>IF(OR(Loans[[#This Row],[LoanStatus]]="Default",Loans[[#This Row],[LoanStatus]]="Watchlist",Loans[[#This Row],[CollateralRisk]]="Undersecured",Loans[[#This Row],[RiskCategory]]="High Risk"),"High Risk Exposure","Normal")</f>
        <v>High Risk Exposure</v>
      </c>
      <c r="T1694" t="str" cm="1">
        <f t="array" ref="T1694">_xlfn.IFS(
Loans[[#This Row],[LoanStatus]]="Default","Critical",
OR(Loans[[#This Row],[LoanStatus]]="Watchlist",Loans[[#This Row],[CollateralRisk]]="Undersecured",Loans[[#This Row],[RiskCategory]]="High Risk"),"High",
TRUE,"Normal"
)</f>
        <v>High</v>
      </c>
    </row>
    <row r="1695" spans="1:20" x14ac:dyDescent="0.35">
      <c r="A1695" t="s">
        <v>2516</v>
      </c>
      <c r="B1695" t="s">
        <v>1112</v>
      </c>
      <c r="C1695" t="s">
        <v>196</v>
      </c>
      <c r="D1695" t="s">
        <v>157</v>
      </c>
      <c r="E1695" s="34">
        <v>25000000</v>
      </c>
      <c r="F1695" s="29">
        <v>0.1114</v>
      </c>
      <c r="G1695" s="30">
        <v>45347</v>
      </c>
      <c r="H1695">
        <v>12</v>
      </c>
      <c r="I1695">
        <v>0</v>
      </c>
      <c r="J1695" s="34">
        <v>15500000</v>
      </c>
      <c r="K1695" t="s">
        <v>171</v>
      </c>
      <c r="L1695" s="34">
        <f>PMT(Loans[[#This Row],[InterestRate]]/12,Loans[[#This Row],[LoanTenureMonths]],-Loans[[#This Row],[LoanAmount]])</f>
        <v>2211174.3746279897</v>
      </c>
      <c r="M1695" s="30">
        <f>EDATE(Loans[[#This Row],[LoanStartDate]],Loans[[#This Row],[LoanTenureMonths]])</f>
        <v>45713</v>
      </c>
      <c r="N1695" s="33">
        <f>IF(Loans[[#This Row],[LoanAmount]]=0,0,Loans[[#This Row],[CollateralValue]]/Loans[[#This Row],[LoanAmount]])</f>
        <v>0.62</v>
      </c>
      <c r="O1695" t="str">
        <f>IF(Loans[[#This Row],[CollateralCoverageRatio]]&lt;1,"Undersecured","Secured")</f>
        <v>Undersecured</v>
      </c>
      <c r="P1695" t="str">
        <f>_xlfn.XLOOKUP(Loans[[#This Row],[BranchCode]],BranchesTbl[BranchCode],BranchesTbl[BranchName])</f>
        <v>Karen</v>
      </c>
      <c r="Q1695">
        <f>_xlfn.XLOOKUP(Loans[[#This Row],[CustomerID]],CustomerTbl[CustomerID],CustomerTbl[RiskScore])</f>
        <v>440</v>
      </c>
      <c r="R1695" t="str">
        <f>IFERROR(INDEX(RiskTbl[Risk_Category],MATCH(Loans[[#This Row],[RiskScore]],RiskTbl[Score_Min],1)),"Unknown")</f>
        <v>High Risk</v>
      </c>
      <c r="S1695" t="str">
        <f>IF(OR(Loans[[#This Row],[LoanStatus]]="Default",Loans[[#This Row],[LoanStatus]]="Watchlist",Loans[[#This Row],[CollateralRisk]]="Undersecured",Loans[[#This Row],[RiskCategory]]="High Risk"),"High Risk Exposure","Normal")</f>
        <v>High Risk Exposure</v>
      </c>
      <c r="T1695" t="str" cm="1">
        <f t="array" ref="T1695">_xlfn.IFS(
Loans[[#This Row],[LoanStatus]]="Default","Critical",
OR(Loans[[#This Row],[LoanStatus]]="Watchlist",Loans[[#This Row],[CollateralRisk]]="Undersecured",Loans[[#This Row],[RiskCategory]]="High Risk"),"High",
TRUE,"Normal"
)</f>
        <v>High</v>
      </c>
    </row>
    <row r="1696" spans="1:20" x14ac:dyDescent="0.35">
      <c r="A1696" t="s">
        <v>2517</v>
      </c>
      <c r="B1696" t="s">
        <v>1041</v>
      </c>
      <c r="C1696" t="s">
        <v>196</v>
      </c>
      <c r="D1696" t="s">
        <v>156</v>
      </c>
      <c r="E1696" s="34">
        <v>3000000</v>
      </c>
      <c r="F1696" s="29">
        <v>0.19919999999999999</v>
      </c>
      <c r="G1696" s="30">
        <v>44717</v>
      </c>
      <c r="H1696">
        <v>36</v>
      </c>
      <c r="I1696">
        <v>45</v>
      </c>
      <c r="J1696" s="34">
        <v>1830000</v>
      </c>
      <c r="K1696" t="s">
        <v>199</v>
      </c>
      <c r="L1696" s="34">
        <f>PMT(Loans[[#This Row],[InterestRate]]/12,Loans[[#This Row],[LoanTenureMonths]],-Loans[[#This Row],[LoanAmount]])</f>
        <v>111368.5013052835</v>
      </c>
      <c r="M1696" s="30">
        <f>EDATE(Loans[[#This Row],[LoanStartDate]],Loans[[#This Row],[LoanTenureMonths]])</f>
        <v>45813</v>
      </c>
      <c r="N1696" s="33">
        <f>IF(Loans[[#This Row],[LoanAmount]]=0,0,Loans[[#This Row],[CollateralValue]]/Loans[[#This Row],[LoanAmount]])</f>
        <v>0.61</v>
      </c>
      <c r="O1696" t="str">
        <f>IF(Loans[[#This Row],[CollateralCoverageRatio]]&lt;1,"Undersecured","Secured")</f>
        <v>Undersecured</v>
      </c>
      <c r="P1696" t="str">
        <f>_xlfn.XLOOKUP(Loans[[#This Row],[BranchCode]],BranchesTbl[BranchCode],BranchesTbl[BranchName])</f>
        <v>Karen</v>
      </c>
      <c r="Q1696">
        <f>_xlfn.XLOOKUP(Loans[[#This Row],[CustomerID]],CustomerTbl[CustomerID],CustomerTbl[RiskScore])</f>
        <v>424</v>
      </c>
      <c r="R1696" t="str">
        <f>IFERROR(INDEX(RiskTbl[Risk_Category],MATCH(Loans[[#This Row],[RiskScore]],RiskTbl[Score_Min],1)),"Unknown")</f>
        <v>High Risk</v>
      </c>
      <c r="S1696" t="str">
        <f>IF(OR(Loans[[#This Row],[LoanStatus]]="Default",Loans[[#This Row],[LoanStatus]]="Watchlist",Loans[[#This Row],[CollateralRisk]]="Undersecured",Loans[[#This Row],[RiskCategory]]="High Risk"),"High Risk Exposure","Normal")</f>
        <v>High Risk Exposure</v>
      </c>
      <c r="T1696" t="str" cm="1">
        <f t="array" ref="T1696">_xlfn.IFS(
Loans[[#This Row],[LoanStatus]]="Default","Critical",
OR(Loans[[#This Row],[LoanStatus]]="Watchlist",Loans[[#This Row],[CollateralRisk]]="Undersecured",Loans[[#This Row],[RiskCategory]]="High Risk"),"High",
TRUE,"Normal"
)</f>
        <v>High</v>
      </c>
    </row>
    <row r="1697" spans="1:20" x14ac:dyDescent="0.35">
      <c r="A1697" t="s">
        <v>2518</v>
      </c>
      <c r="B1697" t="s">
        <v>1548</v>
      </c>
      <c r="C1697" t="s">
        <v>270</v>
      </c>
      <c r="D1697" t="s">
        <v>158</v>
      </c>
      <c r="E1697" s="34">
        <v>6000000</v>
      </c>
      <c r="F1697" s="29">
        <v>0.16500000000000001</v>
      </c>
      <c r="G1697" s="30">
        <v>45581</v>
      </c>
      <c r="H1697">
        <v>12</v>
      </c>
      <c r="I1697">
        <v>120</v>
      </c>
      <c r="J1697" s="34">
        <v>5940000</v>
      </c>
      <c r="K1697" t="s">
        <v>178</v>
      </c>
      <c r="L1697" s="34">
        <f>PMT(Loans[[#This Row],[InterestRate]]/12,Loans[[#This Row],[LoanTenureMonths]],-Loans[[#This Row],[LoanAmount]])</f>
        <v>545805.81906710344</v>
      </c>
      <c r="M1697" s="30">
        <f>EDATE(Loans[[#This Row],[LoanStartDate]],Loans[[#This Row],[LoanTenureMonths]])</f>
        <v>45946</v>
      </c>
      <c r="N1697" s="33">
        <f>IF(Loans[[#This Row],[LoanAmount]]=0,0,Loans[[#This Row],[CollateralValue]]/Loans[[#This Row],[LoanAmount]])</f>
        <v>0.99</v>
      </c>
      <c r="O1697" t="str">
        <f>IF(Loans[[#This Row],[CollateralCoverageRatio]]&lt;1,"Undersecured","Secured")</f>
        <v>Undersecured</v>
      </c>
      <c r="P1697" t="str">
        <f>_xlfn.XLOOKUP(Loans[[#This Row],[BranchCode]],BranchesTbl[BranchCode],BranchesTbl[BranchName])</f>
        <v>Nakuru</v>
      </c>
      <c r="Q1697">
        <f>_xlfn.XLOOKUP(Loans[[#This Row],[CustomerID]],CustomerTbl[CustomerID],CustomerTbl[RiskScore])</f>
        <v>701</v>
      </c>
      <c r="R1697" t="str">
        <f>IFERROR(INDEX(RiskTbl[Risk_Category],MATCH(Loans[[#This Row],[RiskScore]],RiskTbl[Score_Min],1)),"Unknown")</f>
        <v>Low Risk</v>
      </c>
      <c r="S1697" t="str">
        <f>IF(OR(Loans[[#This Row],[LoanStatus]]="Default",Loans[[#This Row],[LoanStatus]]="Watchlist",Loans[[#This Row],[CollateralRisk]]="Undersecured",Loans[[#This Row],[RiskCategory]]="High Risk"),"High Risk Exposure","Normal")</f>
        <v>High Risk Exposure</v>
      </c>
      <c r="T1697" t="str" cm="1">
        <f t="array" ref="T1697">_xlfn.IFS(
Loans[[#This Row],[LoanStatus]]="Default","Critical",
OR(Loans[[#This Row],[LoanStatus]]="Watchlist",Loans[[#This Row],[CollateralRisk]]="Undersecured",Loans[[#This Row],[RiskCategory]]="High Risk"),"High",
TRUE,"Normal"
)</f>
        <v>Critical</v>
      </c>
    </row>
    <row r="1698" spans="1:20" x14ac:dyDescent="0.35">
      <c r="A1698" t="s">
        <v>2519</v>
      </c>
      <c r="B1698" t="s">
        <v>1019</v>
      </c>
      <c r="C1698" t="s">
        <v>196</v>
      </c>
      <c r="D1698" t="s">
        <v>157</v>
      </c>
      <c r="E1698" s="34">
        <v>6000000</v>
      </c>
      <c r="F1698" s="29">
        <v>0.105</v>
      </c>
      <c r="G1698" s="30">
        <v>45367</v>
      </c>
      <c r="H1698">
        <v>60</v>
      </c>
      <c r="I1698">
        <v>0</v>
      </c>
      <c r="J1698" s="34">
        <v>3780000</v>
      </c>
      <c r="K1698" t="s">
        <v>171</v>
      </c>
      <c r="L1698" s="34">
        <f>PMT(Loans[[#This Row],[InterestRate]]/12,Loans[[#This Row],[LoanTenureMonths]],-Loans[[#This Row],[LoanAmount]])</f>
        <v>128963.40226870475</v>
      </c>
      <c r="M1698" s="30">
        <f>EDATE(Loans[[#This Row],[LoanStartDate]],Loans[[#This Row],[LoanTenureMonths]])</f>
        <v>47193</v>
      </c>
      <c r="N1698" s="33">
        <f>IF(Loans[[#This Row],[LoanAmount]]=0,0,Loans[[#This Row],[CollateralValue]]/Loans[[#This Row],[LoanAmount]])</f>
        <v>0.63</v>
      </c>
      <c r="O1698" t="str">
        <f>IF(Loans[[#This Row],[CollateralCoverageRatio]]&lt;1,"Undersecured","Secured")</f>
        <v>Undersecured</v>
      </c>
      <c r="P1698" t="str">
        <f>_xlfn.XLOOKUP(Loans[[#This Row],[BranchCode]],BranchesTbl[BranchCode],BranchesTbl[BranchName])</f>
        <v>Karen</v>
      </c>
      <c r="Q1698">
        <f>_xlfn.XLOOKUP(Loans[[#This Row],[CustomerID]],CustomerTbl[CustomerID],CustomerTbl[RiskScore])</f>
        <v>550</v>
      </c>
      <c r="R1698" t="str">
        <f>IFERROR(INDEX(RiskTbl[Risk_Category],MATCH(Loans[[#This Row],[RiskScore]],RiskTbl[Score_Min],1)),"Unknown")</f>
        <v>High Risk</v>
      </c>
      <c r="S1698" t="str">
        <f>IF(OR(Loans[[#This Row],[LoanStatus]]="Default",Loans[[#This Row],[LoanStatus]]="Watchlist",Loans[[#This Row],[CollateralRisk]]="Undersecured",Loans[[#This Row],[RiskCategory]]="High Risk"),"High Risk Exposure","Normal")</f>
        <v>High Risk Exposure</v>
      </c>
      <c r="T1698" t="str" cm="1">
        <f t="array" ref="T1698">_xlfn.IFS(
Loans[[#This Row],[LoanStatus]]="Default","Critical",
OR(Loans[[#This Row],[LoanStatus]]="Watchlist",Loans[[#This Row],[CollateralRisk]]="Undersecured",Loans[[#This Row],[RiskCategory]]="High Risk"),"High",
TRUE,"Normal"
)</f>
        <v>High</v>
      </c>
    </row>
    <row r="1699" spans="1:20" x14ac:dyDescent="0.35">
      <c r="A1699" t="s">
        <v>2520</v>
      </c>
      <c r="B1699" t="s">
        <v>834</v>
      </c>
      <c r="C1699" t="s">
        <v>184</v>
      </c>
      <c r="D1699" t="s">
        <v>155</v>
      </c>
      <c r="E1699" s="34">
        <v>500000</v>
      </c>
      <c r="F1699" s="29">
        <v>0.1656</v>
      </c>
      <c r="G1699" s="30">
        <v>44949</v>
      </c>
      <c r="H1699">
        <v>36</v>
      </c>
      <c r="I1699">
        <v>45</v>
      </c>
      <c r="J1699" s="34">
        <v>0</v>
      </c>
      <c r="K1699" t="s">
        <v>199</v>
      </c>
      <c r="L1699" s="34">
        <f>PMT(Loans[[#This Row],[InterestRate]]/12,Loans[[#This Row],[LoanTenureMonths]],-Loans[[#This Row],[LoanAmount]])</f>
        <v>17717.065713656426</v>
      </c>
      <c r="M1699" s="30">
        <f>EDATE(Loans[[#This Row],[LoanStartDate]],Loans[[#This Row],[LoanTenureMonths]])</f>
        <v>46045</v>
      </c>
      <c r="N1699" s="33">
        <f>IF(Loans[[#This Row],[LoanAmount]]=0,0,Loans[[#This Row],[CollateralValue]]/Loans[[#This Row],[LoanAmount]])</f>
        <v>0</v>
      </c>
      <c r="O1699" t="str">
        <f>IF(Loans[[#This Row],[CollateralCoverageRatio]]&lt;1,"Undersecured","Secured")</f>
        <v>Undersecured</v>
      </c>
      <c r="P1699" t="str">
        <f>_xlfn.XLOOKUP(Loans[[#This Row],[BranchCode]],BranchesTbl[BranchCode],BranchesTbl[BranchName])</f>
        <v>Kisumu</v>
      </c>
      <c r="Q1699">
        <f>_xlfn.XLOOKUP(Loans[[#This Row],[CustomerID]],CustomerTbl[CustomerID],CustomerTbl[RiskScore])</f>
        <v>760</v>
      </c>
      <c r="R1699" t="str">
        <f>IFERROR(INDEX(RiskTbl[Risk_Category],MATCH(Loans[[#This Row],[RiskScore]],RiskTbl[Score_Min],1)),"Unknown")</f>
        <v>Very Low Risk</v>
      </c>
      <c r="S1699" t="str">
        <f>IF(OR(Loans[[#This Row],[LoanStatus]]="Default",Loans[[#This Row],[LoanStatus]]="Watchlist",Loans[[#This Row],[CollateralRisk]]="Undersecured",Loans[[#This Row],[RiskCategory]]="High Risk"),"High Risk Exposure","Normal")</f>
        <v>High Risk Exposure</v>
      </c>
      <c r="T1699" t="str" cm="1">
        <f t="array" ref="T1699">_xlfn.IFS(
Loans[[#This Row],[LoanStatus]]="Default","Critical",
OR(Loans[[#This Row],[LoanStatus]]="Watchlist",Loans[[#This Row],[CollateralRisk]]="Undersecured",Loans[[#This Row],[RiskCategory]]="High Risk"),"High",
TRUE,"Normal"
)</f>
        <v>High</v>
      </c>
    </row>
    <row r="1700" spans="1:20" x14ac:dyDescent="0.35">
      <c r="A1700" t="s">
        <v>2521</v>
      </c>
      <c r="B1700" t="s">
        <v>722</v>
      </c>
      <c r="C1700" t="s">
        <v>187</v>
      </c>
      <c r="D1700" t="s">
        <v>155</v>
      </c>
      <c r="E1700" s="34">
        <v>250000</v>
      </c>
      <c r="F1700" s="29">
        <v>0.2094</v>
      </c>
      <c r="G1700" s="30">
        <v>44396</v>
      </c>
      <c r="H1700">
        <v>24</v>
      </c>
      <c r="I1700">
        <v>10</v>
      </c>
      <c r="J1700" s="34">
        <v>0</v>
      </c>
      <c r="K1700" t="s">
        <v>171</v>
      </c>
      <c r="L1700" s="34">
        <f>PMT(Loans[[#This Row],[InterestRate]]/12,Loans[[#This Row],[LoanTenureMonths]],-Loans[[#This Row],[LoanAmount]])</f>
        <v>12839.046275746467</v>
      </c>
      <c r="M1700" s="30">
        <f>EDATE(Loans[[#This Row],[LoanStartDate]],Loans[[#This Row],[LoanTenureMonths]])</f>
        <v>45126</v>
      </c>
      <c r="N1700" s="33">
        <f>IF(Loans[[#This Row],[LoanAmount]]=0,0,Loans[[#This Row],[CollateralValue]]/Loans[[#This Row],[LoanAmount]])</f>
        <v>0</v>
      </c>
      <c r="O1700" t="str">
        <f>IF(Loans[[#This Row],[CollateralCoverageRatio]]&lt;1,"Undersecured","Secured")</f>
        <v>Undersecured</v>
      </c>
      <c r="P1700" t="str">
        <f>_xlfn.XLOOKUP(Loans[[#This Row],[BranchCode]],BranchesTbl[BranchCode],BranchesTbl[BranchName])</f>
        <v>Eldoret</v>
      </c>
      <c r="Q1700">
        <f>_xlfn.XLOOKUP(Loans[[#This Row],[CustomerID]],CustomerTbl[CustomerID],CustomerTbl[RiskScore])</f>
        <v>366</v>
      </c>
      <c r="R1700" t="str">
        <f>IFERROR(INDEX(RiskTbl[Risk_Category],MATCH(Loans[[#This Row],[RiskScore]],RiskTbl[Score_Min],1)),"Unknown")</f>
        <v>High Risk</v>
      </c>
      <c r="S1700" t="str">
        <f>IF(OR(Loans[[#This Row],[LoanStatus]]="Default",Loans[[#This Row],[LoanStatus]]="Watchlist",Loans[[#This Row],[CollateralRisk]]="Undersecured",Loans[[#This Row],[RiskCategory]]="High Risk"),"High Risk Exposure","Normal")</f>
        <v>High Risk Exposure</v>
      </c>
      <c r="T1700" t="str" cm="1">
        <f t="array" ref="T1700">_xlfn.IFS(
Loans[[#This Row],[LoanStatus]]="Default","Critical",
OR(Loans[[#This Row],[LoanStatus]]="Watchlist",Loans[[#This Row],[CollateralRisk]]="Undersecured",Loans[[#This Row],[RiskCategory]]="High Risk"),"High",
TRUE,"Normal"
)</f>
        <v>High</v>
      </c>
    </row>
    <row r="1701" spans="1:20" x14ac:dyDescent="0.35">
      <c r="A1701" t="s">
        <v>2522</v>
      </c>
      <c r="B1701" t="s">
        <v>1503</v>
      </c>
      <c r="C1701" t="s">
        <v>219</v>
      </c>
      <c r="D1701" t="s">
        <v>157</v>
      </c>
      <c r="E1701" s="34">
        <v>6000000</v>
      </c>
      <c r="F1701" s="29">
        <v>9.1600000000000001E-2</v>
      </c>
      <c r="G1701" s="30">
        <v>43874</v>
      </c>
      <c r="H1701">
        <v>48</v>
      </c>
      <c r="I1701">
        <v>0</v>
      </c>
      <c r="J1701" s="34">
        <v>7020000</v>
      </c>
      <c r="K1701" t="s">
        <v>171</v>
      </c>
      <c r="L1701" s="34">
        <f>PMT(Loans[[#This Row],[InterestRate]]/12,Loans[[#This Row],[LoanTenureMonths]],-Loans[[#This Row],[LoanAmount]])</f>
        <v>149766.51136248317</v>
      </c>
      <c r="M1701" s="30">
        <f>EDATE(Loans[[#This Row],[LoanStartDate]],Loans[[#This Row],[LoanTenureMonths]])</f>
        <v>45335</v>
      </c>
      <c r="N1701" s="33">
        <f>IF(Loans[[#This Row],[LoanAmount]]=0,0,Loans[[#This Row],[CollateralValue]]/Loans[[#This Row],[LoanAmount]])</f>
        <v>1.17</v>
      </c>
      <c r="O1701" t="str">
        <f>IF(Loans[[#This Row],[CollateralCoverageRatio]]&lt;1,"Undersecured","Secured")</f>
        <v>Secured</v>
      </c>
      <c r="P1701" t="str">
        <f>_xlfn.XLOOKUP(Loans[[#This Row],[BranchCode]],BranchesTbl[BranchCode],BranchesTbl[BranchName])</f>
        <v>Meru</v>
      </c>
      <c r="Q1701">
        <f>_xlfn.XLOOKUP(Loans[[#This Row],[CustomerID]],CustomerTbl[CustomerID],CustomerTbl[RiskScore])</f>
        <v>671</v>
      </c>
      <c r="R1701" t="str">
        <f>IFERROR(INDEX(RiskTbl[Risk_Category],MATCH(Loans[[#This Row],[RiskScore]],RiskTbl[Score_Min],1)),"Unknown")</f>
        <v>Low Risk</v>
      </c>
      <c r="S1701" t="str">
        <f>IF(OR(Loans[[#This Row],[LoanStatus]]="Default",Loans[[#This Row],[LoanStatus]]="Watchlist",Loans[[#This Row],[CollateralRisk]]="Undersecured",Loans[[#This Row],[RiskCategory]]="High Risk"),"High Risk Exposure","Normal")</f>
        <v>Normal</v>
      </c>
      <c r="T1701" t="str" cm="1">
        <f t="array" ref="T1701">_xlfn.IFS(
Loans[[#This Row],[LoanStatus]]="Default","Critical",
OR(Loans[[#This Row],[LoanStatus]]="Watchlist",Loans[[#This Row],[CollateralRisk]]="Undersecured",Loans[[#This Row],[RiskCategory]]="High Risk"),"High",
TRUE,"Normal"
)</f>
        <v>Normal</v>
      </c>
    </row>
    <row r="1702" spans="1:20" x14ac:dyDescent="0.35">
      <c r="A1702" t="s">
        <v>2523</v>
      </c>
      <c r="B1702" t="s">
        <v>1096</v>
      </c>
      <c r="C1702" t="s">
        <v>193</v>
      </c>
      <c r="D1702" t="s">
        <v>156</v>
      </c>
      <c r="E1702" s="34">
        <v>1000000</v>
      </c>
      <c r="F1702" s="29">
        <v>0.16189999999999999</v>
      </c>
      <c r="G1702" s="30">
        <v>44709</v>
      </c>
      <c r="H1702">
        <v>24</v>
      </c>
      <c r="I1702">
        <v>0</v>
      </c>
      <c r="J1702" s="34">
        <v>660000</v>
      </c>
      <c r="K1702" t="s">
        <v>171</v>
      </c>
      <c r="L1702" s="34">
        <f>PMT(Loans[[#This Row],[InterestRate]]/12,Loans[[#This Row],[LoanTenureMonths]],-Loans[[#This Row],[LoanAmount]])</f>
        <v>49053.942820000426</v>
      </c>
      <c r="M1702" s="30">
        <f>EDATE(Loans[[#This Row],[LoanStartDate]],Loans[[#This Row],[LoanTenureMonths]])</f>
        <v>45440</v>
      </c>
      <c r="N1702" s="33">
        <f>IF(Loans[[#This Row],[LoanAmount]]=0,0,Loans[[#This Row],[CollateralValue]]/Loans[[#This Row],[LoanAmount]])</f>
        <v>0.66</v>
      </c>
      <c r="O1702" t="str">
        <f>IF(Loans[[#This Row],[CollateralCoverageRatio]]&lt;1,"Undersecured","Secured")</f>
        <v>Undersecured</v>
      </c>
      <c r="P1702" t="str">
        <f>_xlfn.XLOOKUP(Loans[[#This Row],[BranchCode]],BranchesTbl[BranchCode],BranchesTbl[BranchName])</f>
        <v>Mombasa</v>
      </c>
      <c r="Q1702">
        <f>_xlfn.XLOOKUP(Loans[[#This Row],[CustomerID]],CustomerTbl[CustomerID],CustomerTbl[RiskScore])</f>
        <v>419</v>
      </c>
      <c r="R1702" t="str">
        <f>IFERROR(INDEX(RiskTbl[Risk_Category],MATCH(Loans[[#This Row],[RiskScore]],RiskTbl[Score_Min],1)),"Unknown")</f>
        <v>High Risk</v>
      </c>
      <c r="S1702" t="str">
        <f>IF(OR(Loans[[#This Row],[LoanStatus]]="Default",Loans[[#This Row],[LoanStatus]]="Watchlist",Loans[[#This Row],[CollateralRisk]]="Undersecured",Loans[[#This Row],[RiskCategory]]="High Risk"),"High Risk Exposure","Normal")</f>
        <v>High Risk Exposure</v>
      </c>
      <c r="T1702" t="str" cm="1">
        <f t="array" ref="T1702">_xlfn.IFS(
Loans[[#This Row],[LoanStatus]]="Default","Critical",
OR(Loans[[#This Row],[LoanStatus]]="Watchlist",Loans[[#This Row],[CollateralRisk]]="Undersecured",Loans[[#This Row],[RiskCategory]]="High Risk"),"High",
TRUE,"Normal"
)</f>
        <v>High</v>
      </c>
    </row>
    <row r="1703" spans="1:20" x14ac:dyDescent="0.35">
      <c r="A1703" t="s">
        <v>2524</v>
      </c>
      <c r="B1703" t="s">
        <v>2525</v>
      </c>
      <c r="C1703" t="s">
        <v>232</v>
      </c>
      <c r="D1703" t="s">
        <v>155</v>
      </c>
      <c r="E1703" s="34">
        <v>500000</v>
      </c>
      <c r="F1703" s="29">
        <v>0.16009999999999999</v>
      </c>
      <c r="G1703" s="30">
        <v>44014</v>
      </c>
      <c r="H1703">
        <v>12</v>
      </c>
      <c r="I1703">
        <v>90</v>
      </c>
      <c r="J1703" s="34">
        <v>0</v>
      </c>
      <c r="K1703" t="s">
        <v>199</v>
      </c>
      <c r="L1703" s="34">
        <f>PMT(Loans[[#This Row],[InterestRate]]/12,Loans[[#This Row],[LoanTenureMonths]],-Loans[[#This Row],[LoanAmount]])</f>
        <v>45367.795064392754</v>
      </c>
      <c r="M1703" s="30">
        <f>EDATE(Loans[[#This Row],[LoanStartDate]],Loans[[#This Row],[LoanTenureMonths]])</f>
        <v>44379</v>
      </c>
      <c r="N1703" s="33">
        <f>IF(Loans[[#This Row],[LoanAmount]]=0,0,Loans[[#This Row],[CollateralValue]]/Loans[[#This Row],[LoanAmount]])</f>
        <v>0</v>
      </c>
      <c r="O1703" t="str">
        <f>IF(Loans[[#This Row],[CollateralCoverageRatio]]&lt;1,"Undersecured","Secured")</f>
        <v>Undersecured</v>
      </c>
      <c r="P1703" t="str">
        <f>_xlfn.XLOOKUP(Loans[[#This Row],[BranchCode]],BranchesTbl[BranchCode],BranchesTbl[BranchName])</f>
        <v>Upper Hill</v>
      </c>
      <c r="Q1703">
        <f>_xlfn.XLOOKUP(Loans[[#This Row],[CustomerID]],CustomerTbl[CustomerID],CustomerTbl[RiskScore])</f>
        <v>300</v>
      </c>
      <c r="R1703" t="str">
        <f>IFERROR(INDEX(RiskTbl[Risk_Category],MATCH(Loans[[#This Row],[RiskScore]],RiskTbl[Score_Min],1)),"Unknown")</f>
        <v>High Risk</v>
      </c>
      <c r="S1703" t="str">
        <f>IF(OR(Loans[[#This Row],[LoanStatus]]="Default",Loans[[#This Row],[LoanStatus]]="Watchlist",Loans[[#This Row],[CollateralRisk]]="Undersecured",Loans[[#This Row],[RiskCategory]]="High Risk"),"High Risk Exposure","Normal")</f>
        <v>High Risk Exposure</v>
      </c>
      <c r="T1703" t="str" cm="1">
        <f t="array" ref="T1703">_xlfn.IFS(
Loans[[#This Row],[LoanStatus]]="Default","Critical",
OR(Loans[[#This Row],[LoanStatus]]="Watchlist",Loans[[#This Row],[CollateralRisk]]="Undersecured",Loans[[#This Row],[RiskCategory]]="High Risk"),"High",
TRUE,"Normal"
)</f>
        <v>High</v>
      </c>
    </row>
    <row r="1704" spans="1:20" x14ac:dyDescent="0.35">
      <c r="A1704" t="s">
        <v>2526</v>
      </c>
      <c r="B1704" t="s">
        <v>341</v>
      </c>
      <c r="C1704" t="s">
        <v>196</v>
      </c>
      <c r="D1704" t="s">
        <v>157</v>
      </c>
      <c r="E1704" s="34">
        <v>25000000</v>
      </c>
      <c r="F1704" s="29">
        <v>0.10440000000000001</v>
      </c>
      <c r="G1704" s="30">
        <v>44447</v>
      </c>
      <c r="H1704">
        <v>24</v>
      </c>
      <c r="I1704">
        <v>90</v>
      </c>
      <c r="J1704" s="34">
        <v>21000000</v>
      </c>
      <c r="K1704" t="s">
        <v>199</v>
      </c>
      <c r="L1704" s="34">
        <f>PMT(Loans[[#This Row],[InterestRate]]/12,Loans[[#This Row],[LoanTenureMonths]],-Loans[[#This Row],[LoanAmount]])</f>
        <v>1158706.7954749123</v>
      </c>
      <c r="M1704" s="30">
        <f>EDATE(Loans[[#This Row],[LoanStartDate]],Loans[[#This Row],[LoanTenureMonths]])</f>
        <v>45177</v>
      </c>
      <c r="N1704" s="33">
        <f>IF(Loans[[#This Row],[LoanAmount]]=0,0,Loans[[#This Row],[CollateralValue]]/Loans[[#This Row],[LoanAmount]])</f>
        <v>0.84</v>
      </c>
      <c r="O1704" t="str">
        <f>IF(Loans[[#This Row],[CollateralCoverageRatio]]&lt;1,"Undersecured","Secured")</f>
        <v>Undersecured</v>
      </c>
      <c r="P1704" t="str">
        <f>_xlfn.XLOOKUP(Loans[[#This Row],[BranchCode]],BranchesTbl[BranchCode],BranchesTbl[BranchName])</f>
        <v>Karen</v>
      </c>
      <c r="Q1704">
        <f>_xlfn.XLOOKUP(Loans[[#This Row],[CustomerID]],CustomerTbl[CustomerID],CustomerTbl[RiskScore])</f>
        <v>333</v>
      </c>
      <c r="R1704" t="str">
        <f>IFERROR(INDEX(RiskTbl[Risk_Category],MATCH(Loans[[#This Row],[RiskScore]],RiskTbl[Score_Min],1)),"Unknown")</f>
        <v>High Risk</v>
      </c>
      <c r="S1704" t="str">
        <f>IF(OR(Loans[[#This Row],[LoanStatus]]="Default",Loans[[#This Row],[LoanStatus]]="Watchlist",Loans[[#This Row],[CollateralRisk]]="Undersecured",Loans[[#This Row],[RiskCategory]]="High Risk"),"High Risk Exposure","Normal")</f>
        <v>High Risk Exposure</v>
      </c>
      <c r="T1704" t="str" cm="1">
        <f t="array" ref="T1704">_xlfn.IFS(
Loans[[#This Row],[LoanStatus]]="Default","Critical",
OR(Loans[[#This Row],[LoanStatus]]="Watchlist",Loans[[#This Row],[CollateralRisk]]="Undersecured",Loans[[#This Row],[RiskCategory]]="High Risk"),"High",
TRUE,"Normal"
)</f>
        <v>High</v>
      </c>
    </row>
    <row r="1705" spans="1:20" x14ac:dyDescent="0.35">
      <c r="A1705" t="s">
        <v>2527</v>
      </c>
      <c r="B1705" t="s">
        <v>444</v>
      </c>
      <c r="C1705" t="s">
        <v>190</v>
      </c>
      <c r="D1705" t="s">
        <v>157</v>
      </c>
      <c r="E1705" s="34">
        <v>25000000</v>
      </c>
      <c r="F1705" s="29">
        <v>9.4500000000000001E-2</v>
      </c>
      <c r="G1705" s="30">
        <v>45180</v>
      </c>
      <c r="H1705">
        <v>24</v>
      </c>
      <c r="I1705">
        <v>120</v>
      </c>
      <c r="J1705" s="34">
        <v>29750000</v>
      </c>
      <c r="K1705" t="s">
        <v>178</v>
      </c>
      <c r="L1705" s="34">
        <f>PMT(Loans[[#This Row],[InterestRate]]/12,Loans[[#This Row],[LoanTenureMonths]],-Loans[[#This Row],[LoanAmount]])</f>
        <v>1147287.1796999499</v>
      </c>
      <c r="M1705" s="30">
        <f>EDATE(Loans[[#This Row],[LoanStartDate]],Loans[[#This Row],[LoanTenureMonths]])</f>
        <v>45911</v>
      </c>
      <c r="N1705" s="33">
        <f>IF(Loans[[#This Row],[LoanAmount]]=0,0,Loans[[#This Row],[CollateralValue]]/Loans[[#This Row],[LoanAmount]])</f>
        <v>1.19</v>
      </c>
      <c r="O1705" t="str">
        <f>IF(Loans[[#This Row],[CollateralCoverageRatio]]&lt;1,"Undersecured","Secured")</f>
        <v>Secured</v>
      </c>
      <c r="P1705" t="str">
        <f>_xlfn.XLOOKUP(Loans[[#This Row],[BranchCode]],BranchesTbl[BranchCode],BranchesTbl[BranchName])</f>
        <v>Nyeri</v>
      </c>
      <c r="Q1705">
        <f>_xlfn.XLOOKUP(Loans[[#This Row],[CustomerID]],CustomerTbl[CustomerID],CustomerTbl[RiskScore])</f>
        <v>472</v>
      </c>
      <c r="R1705" t="str">
        <f>IFERROR(INDEX(RiskTbl[Risk_Category],MATCH(Loans[[#This Row],[RiskScore]],RiskTbl[Score_Min],1)),"Unknown")</f>
        <v>High Risk</v>
      </c>
      <c r="S1705" t="str">
        <f>IF(OR(Loans[[#This Row],[LoanStatus]]="Default",Loans[[#This Row],[LoanStatus]]="Watchlist",Loans[[#This Row],[CollateralRisk]]="Undersecured",Loans[[#This Row],[RiskCategory]]="High Risk"),"High Risk Exposure","Normal")</f>
        <v>High Risk Exposure</v>
      </c>
      <c r="T1705" t="str" cm="1">
        <f t="array" ref="T1705">_xlfn.IFS(
Loans[[#This Row],[LoanStatus]]="Default","Critical",
OR(Loans[[#This Row],[LoanStatus]]="Watchlist",Loans[[#This Row],[CollateralRisk]]="Undersecured",Loans[[#This Row],[RiskCategory]]="High Risk"),"High",
TRUE,"Normal"
)</f>
        <v>Critical</v>
      </c>
    </row>
    <row r="1706" spans="1:20" x14ac:dyDescent="0.35">
      <c r="A1706" t="s">
        <v>2528</v>
      </c>
      <c r="B1706" t="s">
        <v>1470</v>
      </c>
      <c r="C1706" t="s">
        <v>270</v>
      </c>
      <c r="D1706" t="s">
        <v>157</v>
      </c>
      <c r="E1706" s="34">
        <v>25000000</v>
      </c>
      <c r="F1706" s="29">
        <v>0.1095</v>
      </c>
      <c r="G1706" s="30">
        <v>43856</v>
      </c>
      <c r="H1706">
        <v>72</v>
      </c>
      <c r="I1706">
        <v>10</v>
      </c>
      <c r="J1706" s="34">
        <v>23500000</v>
      </c>
      <c r="K1706" t="s">
        <v>171</v>
      </c>
      <c r="L1706" s="34">
        <f>PMT(Loans[[#This Row],[InterestRate]]/12,Loans[[#This Row],[LoanTenureMonths]],-Loans[[#This Row],[LoanAmount]])</f>
        <v>475211.98463297664</v>
      </c>
      <c r="M1706" s="30">
        <f>EDATE(Loans[[#This Row],[LoanStartDate]],Loans[[#This Row],[LoanTenureMonths]])</f>
        <v>46048</v>
      </c>
      <c r="N1706" s="33">
        <f>IF(Loans[[#This Row],[LoanAmount]]=0,0,Loans[[#This Row],[CollateralValue]]/Loans[[#This Row],[LoanAmount]])</f>
        <v>0.94</v>
      </c>
      <c r="O1706" t="str">
        <f>IF(Loans[[#This Row],[CollateralCoverageRatio]]&lt;1,"Undersecured","Secured")</f>
        <v>Undersecured</v>
      </c>
      <c r="P1706" t="str">
        <f>_xlfn.XLOOKUP(Loans[[#This Row],[BranchCode]],BranchesTbl[BranchCode],BranchesTbl[BranchName])</f>
        <v>Nakuru</v>
      </c>
      <c r="Q1706">
        <f>_xlfn.XLOOKUP(Loans[[#This Row],[CustomerID]],CustomerTbl[CustomerID],CustomerTbl[RiskScore])</f>
        <v>680</v>
      </c>
      <c r="R1706" t="str">
        <f>IFERROR(INDEX(RiskTbl[Risk_Category],MATCH(Loans[[#This Row],[RiskScore]],RiskTbl[Score_Min],1)),"Unknown")</f>
        <v>Low Risk</v>
      </c>
      <c r="S1706" t="str">
        <f>IF(OR(Loans[[#This Row],[LoanStatus]]="Default",Loans[[#This Row],[LoanStatus]]="Watchlist",Loans[[#This Row],[CollateralRisk]]="Undersecured",Loans[[#This Row],[RiskCategory]]="High Risk"),"High Risk Exposure","Normal")</f>
        <v>High Risk Exposure</v>
      </c>
      <c r="T1706" t="str" cm="1">
        <f t="array" ref="T1706">_xlfn.IFS(
Loans[[#This Row],[LoanStatus]]="Default","Critical",
OR(Loans[[#This Row],[LoanStatus]]="Watchlist",Loans[[#This Row],[CollateralRisk]]="Undersecured",Loans[[#This Row],[RiskCategory]]="High Risk"),"High",
TRUE,"Normal"
)</f>
        <v>High</v>
      </c>
    </row>
    <row r="1707" spans="1:20" x14ac:dyDescent="0.35">
      <c r="A1707" t="s">
        <v>2529</v>
      </c>
      <c r="B1707" t="s">
        <v>1050</v>
      </c>
      <c r="C1707" t="s">
        <v>193</v>
      </c>
      <c r="D1707" t="s">
        <v>156</v>
      </c>
      <c r="E1707" s="34">
        <v>6000000</v>
      </c>
      <c r="F1707" s="29">
        <v>0.1855</v>
      </c>
      <c r="G1707" s="30">
        <v>45708</v>
      </c>
      <c r="H1707">
        <v>72</v>
      </c>
      <c r="I1707">
        <v>0</v>
      </c>
      <c r="J1707" s="34">
        <v>6360000</v>
      </c>
      <c r="K1707" t="s">
        <v>171</v>
      </c>
      <c r="L1707" s="34">
        <f>PMT(Loans[[#This Row],[InterestRate]]/12,Loans[[#This Row],[LoanTenureMonths]],-Loans[[#This Row],[LoanAmount]])</f>
        <v>138718.86054148889</v>
      </c>
      <c r="M1707" s="30">
        <f>EDATE(Loans[[#This Row],[LoanStartDate]],Loans[[#This Row],[LoanTenureMonths]])</f>
        <v>47899</v>
      </c>
      <c r="N1707" s="33">
        <f>IF(Loans[[#This Row],[LoanAmount]]=0,0,Loans[[#This Row],[CollateralValue]]/Loans[[#This Row],[LoanAmount]])</f>
        <v>1.06</v>
      </c>
      <c r="O1707" t="str">
        <f>IF(Loans[[#This Row],[CollateralCoverageRatio]]&lt;1,"Undersecured","Secured")</f>
        <v>Secured</v>
      </c>
      <c r="P1707" t="str">
        <f>_xlfn.XLOOKUP(Loans[[#This Row],[BranchCode]],BranchesTbl[BranchCode],BranchesTbl[BranchName])</f>
        <v>Mombasa</v>
      </c>
      <c r="Q1707">
        <f>_xlfn.XLOOKUP(Loans[[#This Row],[CustomerID]],CustomerTbl[CustomerID],CustomerTbl[RiskScore])</f>
        <v>835</v>
      </c>
      <c r="R1707" t="str">
        <f>IFERROR(INDEX(RiskTbl[Risk_Category],MATCH(Loans[[#This Row],[RiskScore]],RiskTbl[Score_Min],1)),"Unknown")</f>
        <v>Prime</v>
      </c>
      <c r="S1707" t="str">
        <f>IF(OR(Loans[[#This Row],[LoanStatus]]="Default",Loans[[#This Row],[LoanStatus]]="Watchlist",Loans[[#This Row],[CollateralRisk]]="Undersecured",Loans[[#This Row],[RiskCategory]]="High Risk"),"High Risk Exposure","Normal")</f>
        <v>Normal</v>
      </c>
      <c r="T1707" t="str" cm="1">
        <f t="array" ref="T1707">_xlfn.IFS(
Loans[[#This Row],[LoanStatus]]="Default","Critical",
OR(Loans[[#This Row],[LoanStatus]]="Watchlist",Loans[[#This Row],[CollateralRisk]]="Undersecured",Loans[[#This Row],[RiskCategory]]="High Risk"),"High",
TRUE,"Normal"
)</f>
        <v>Normal</v>
      </c>
    </row>
    <row r="1708" spans="1:20" x14ac:dyDescent="0.35">
      <c r="A1708" t="s">
        <v>2530</v>
      </c>
      <c r="B1708" t="s">
        <v>462</v>
      </c>
      <c r="C1708" t="s">
        <v>219</v>
      </c>
      <c r="D1708" t="s">
        <v>156</v>
      </c>
      <c r="E1708" s="34">
        <v>3000000</v>
      </c>
      <c r="F1708" s="29">
        <v>0.15659999999999999</v>
      </c>
      <c r="G1708" s="30">
        <v>44034</v>
      </c>
      <c r="H1708">
        <v>12</v>
      </c>
      <c r="I1708">
        <v>90</v>
      </c>
      <c r="J1708" s="34">
        <v>2040000</v>
      </c>
      <c r="K1708" t="s">
        <v>199</v>
      </c>
      <c r="L1708" s="34">
        <f>PMT(Loans[[#This Row],[InterestRate]]/12,Loans[[#This Row],[LoanTenureMonths]],-Loans[[#This Row],[LoanAmount]])</f>
        <v>271710.12286581798</v>
      </c>
      <c r="M1708" s="30">
        <f>EDATE(Loans[[#This Row],[LoanStartDate]],Loans[[#This Row],[LoanTenureMonths]])</f>
        <v>44399</v>
      </c>
      <c r="N1708" s="33">
        <f>IF(Loans[[#This Row],[LoanAmount]]=0,0,Loans[[#This Row],[CollateralValue]]/Loans[[#This Row],[LoanAmount]])</f>
        <v>0.68</v>
      </c>
      <c r="O1708" t="str">
        <f>IF(Loans[[#This Row],[CollateralCoverageRatio]]&lt;1,"Undersecured","Secured")</f>
        <v>Undersecured</v>
      </c>
      <c r="P1708" t="str">
        <f>_xlfn.XLOOKUP(Loans[[#This Row],[BranchCode]],BranchesTbl[BranchCode],BranchesTbl[BranchName])</f>
        <v>Meru</v>
      </c>
      <c r="Q1708">
        <f>_xlfn.XLOOKUP(Loans[[#This Row],[CustomerID]],CustomerTbl[CustomerID],CustomerTbl[RiskScore])</f>
        <v>809</v>
      </c>
      <c r="R1708" t="str">
        <f>IFERROR(INDEX(RiskTbl[Risk_Category],MATCH(Loans[[#This Row],[RiskScore]],RiskTbl[Score_Min],1)),"Unknown")</f>
        <v>Prime</v>
      </c>
      <c r="S1708" t="str">
        <f>IF(OR(Loans[[#This Row],[LoanStatus]]="Default",Loans[[#This Row],[LoanStatus]]="Watchlist",Loans[[#This Row],[CollateralRisk]]="Undersecured",Loans[[#This Row],[RiskCategory]]="High Risk"),"High Risk Exposure","Normal")</f>
        <v>High Risk Exposure</v>
      </c>
      <c r="T1708" t="str" cm="1">
        <f t="array" ref="T1708">_xlfn.IFS(
Loans[[#This Row],[LoanStatus]]="Default","Critical",
OR(Loans[[#This Row],[LoanStatus]]="Watchlist",Loans[[#This Row],[CollateralRisk]]="Undersecured",Loans[[#This Row],[RiskCategory]]="High Risk"),"High",
TRUE,"Normal"
)</f>
        <v>High</v>
      </c>
    </row>
    <row r="1709" spans="1:20" x14ac:dyDescent="0.35">
      <c r="A1709" t="s">
        <v>2531</v>
      </c>
      <c r="B1709" t="s">
        <v>1819</v>
      </c>
      <c r="C1709" t="s">
        <v>193</v>
      </c>
      <c r="D1709" t="s">
        <v>158</v>
      </c>
      <c r="E1709" s="34">
        <v>6000000</v>
      </c>
      <c r="F1709" s="29">
        <v>0.14130000000000001</v>
      </c>
      <c r="G1709" s="30">
        <v>44176</v>
      </c>
      <c r="H1709">
        <v>12</v>
      </c>
      <c r="I1709">
        <v>0</v>
      </c>
      <c r="J1709" s="34">
        <v>4080000</v>
      </c>
      <c r="K1709" t="s">
        <v>171</v>
      </c>
      <c r="L1709" s="34">
        <f>PMT(Loans[[#This Row],[InterestRate]]/12,Loans[[#This Row],[LoanTenureMonths]],-Loans[[#This Row],[LoanAmount]])</f>
        <v>539089.77880539047</v>
      </c>
      <c r="M1709" s="30">
        <f>EDATE(Loans[[#This Row],[LoanStartDate]],Loans[[#This Row],[LoanTenureMonths]])</f>
        <v>44541</v>
      </c>
      <c r="N1709" s="33">
        <f>IF(Loans[[#This Row],[LoanAmount]]=0,0,Loans[[#This Row],[CollateralValue]]/Loans[[#This Row],[LoanAmount]])</f>
        <v>0.68</v>
      </c>
      <c r="O1709" t="str">
        <f>IF(Loans[[#This Row],[CollateralCoverageRatio]]&lt;1,"Undersecured","Secured")</f>
        <v>Undersecured</v>
      </c>
      <c r="P1709" t="str">
        <f>_xlfn.XLOOKUP(Loans[[#This Row],[BranchCode]],BranchesTbl[BranchCode],BranchesTbl[BranchName])</f>
        <v>Mombasa</v>
      </c>
      <c r="Q1709">
        <f>_xlfn.XLOOKUP(Loans[[#This Row],[CustomerID]],CustomerTbl[CustomerID],CustomerTbl[RiskScore])</f>
        <v>447</v>
      </c>
      <c r="R1709" t="str">
        <f>IFERROR(INDEX(RiskTbl[Risk_Category],MATCH(Loans[[#This Row],[RiskScore]],RiskTbl[Score_Min],1)),"Unknown")</f>
        <v>High Risk</v>
      </c>
      <c r="S1709" t="str">
        <f>IF(OR(Loans[[#This Row],[LoanStatus]]="Default",Loans[[#This Row],[LoanStatus]]="Watchlist",Loans[[#This Row],[CollateralRisk]]="Undersecured",Loans[[#This Row],[RiskCategory]]="High Risk"),"High Risk Exposure","Normal")</f>
        <v>High Risk Exposure</v>
      </c>
      <c r="T1709" t="str" cm="1">
        <f t="array" ref="T1709">_xlfn.IFS(
Loans[[#This Row],[LoanStatus]]="Default","Critical",
OR(Loans[[#This Row],[LoanStatus]]="Watchlist",Loans[[#This Row],[CollateralRisk]]="Undersecured",Loans[[#This Row],[RiskCategory]]="High Risk"),"High",
TRUE,"Normal"
)</f>
        <v>High</v>
      </c>
    </row>
    <row r="1710" spans="1:20" x14ac:dyDescent="0.35">
      <c r="A1710" t="s">
        <v>2532</v>
      </c>
      <c r="B1710" t="s">
        <v>1569</v>
      </c>
      <c r="C1710" t="s">
        <v>239</v>
      </c>
      <c r="D1710" t="s">
        <v>158</v>
      </c>
      <c r="E1710" s="34">
        <v>1000000</v>
      </c>
      <c r="F1710" s="29">
        <v>0.17499999999999999</v>
      </c>
      <c r="G1710" s="30">
        <v>44212</v>
      </c>
      <c r="H1710">
        <v>24</v>
      </c>
      <c r="I1710">
        <v>0</v>
      </c>
      <c r="J1710" s="34">
        <v>700000</v>
      </c>
      <c r="K1710" t="s">
        <v>171</v>
      </c>
      <c r="L1710" s="34">
        <f>PMT(Loans[[#This Row],[InterestRate]]/12,Loans[[#This Row],[LoanTenureMonths]],-Loans[[#This Row],[LoanAmount]])</f>
        <v>49682.847919022199</v>
      </c>
      <c r="M1710" s="30">
        <f>EDATE(Loans[[#This Row],[LoanStartDate]],Loans[[#This Row],[LoanTenureMonths]])</f>
        <v>44942</v>
      </c>
      <c r="N1710" s="33">
        <f>IF(Loans[[#This Row],[LoanAmount]]=0,0,Loans[[#This Row],[CollateralValue]]/Loans[[#This Row],[LoanAmount]])</f>
        <v>0.7</v>
      </c>
      <c r="O1710" t="str">
        <f>IF(Loans[[#This Row],[CollateralCoverageRatio]]&lt;1,"Undersecured","Secured")</f>
        <v>Undersecured</v>
      </c>
      <c r="P1710" t="str">
        <f>_xlfn.XLOOKUP(Loans[[#This Row],[BranchCode]],BranchesTbl[BranchCode],BranchesTbl[BranchName])</f>
        <v>Machakos</v>
      </c>
      <c r="Q1710">
        <f>_xlfn.XLOOKUP(Loans[[#This Row],[CustomerID]],CustomerTbl[CustomerID],CustomerTbl[RiskScore])</f>
        <v>621</v>
      </c>
      <c r="R1710" t="str">
        <f>IFERROR(INDEX(RiskTbl[Risk_Category],MATCH(Loans[[#This Row],[RiskScore]],RiskTbl[Score_Min],1)),"Unknown")</f>
        <v>Medium Risk</v>
      </c>
      <c r="S1710" t="str">
        <f>IF(OR(Loans[[#This Row],[LoanStatus]]="Default",Loans[[#This Row],[LoanStatus]]="Watchlist",Loans[[#This Row],[CollateralRisk]]="Undersecured",Loans[[#This Row],[RiskCategory]]="High Risk"),"High Risk Exposure","Normal")</f>
        <v>High Risk Exposure</v>
      </c>
      <c r="T1710" t="str" cm="1">
        <f t="array" ref="T1710">_xlfn.IFS(
Loans[[#This Row],[LoanStatus]]="Default","Critical",
OR(Loans[[#This Row],[LoanStatus]]="Watchlist",Loans[[#This Row],[CollateralRisk]]="Undersecured",Loans[[#This Row],[RiskCategory]]="High Risk"),"High",
TRUE,"Normal"
)</f>
        <v>High</v>
      </c>
    </row>
    <row r="1711" spans="1:20" x14ac:dyDescent="0.35">
      <c r="A1711" t="s">
        <v>2533</v>
      </c>
      <c r="B1711" t="s">
        <v>657</v>
      </c>
      <c r="C1711" t="s">
        <v>181</v>
      </c>
      <c r="D1711" t="s">
        <v>157</v>
      </c>
      <c r="E1711" s="34">
        <v>80000000</v>
      </c>
      <c r="F1711" s="29">
        <v>9.4100000000000003E-2</v>
      </c>
      <c r="G1711" s="30">
        <v>44382</v>
      </c>
      <c r="H1711">
        <v>60</v>
      </c>
      <c r="I1711">
        <v>120</v>
      </c>
      <c r="J1711" s="34">
        <v>65600000</v>
      </c>
      <c r="K1711" t="s">
        <v>178</v>
      </c>
      <c r="L1711" s="34">
        <f>PMT(Loans[[#This Row],[InterestRate]]/12,Loans[[#This Row],[LoanTenureMonths]],-Loans[[#This Row],[LoanAmount]])</f>
        <v>1676632.5027918608</v>
      </c>
      <c r="M1711" s="30">
        <f>EDATE(Loans[[#This Row],[LoanStartDate]],Loans[[#This Row],[LoanTenureMonths]])</f>
        <v>46208</v>
      </c>
      <c r="N1711" s="33">
        <f>IF(Loans[[#This Row],[LoanAmount]]=0,0,Loans[[#This Row],[CollateralValue]]/Loans[[#This Row],[LoanAmount]])</f>
        <v>0.82</v>
      </c>
      <c r="O1711" t="str">
        <f>IF(Loans[[#This Row],[CollateralCoverageRatio]]&lt;1,"Undersecured","Secured")</f>
        <v>Undersecured</v>
      </c>
      <c r="P1711" t="str">
        <f>_xlfn.XLOOKUP(Loans[[#This Row],[BranchCode]],BranchesTbl[BranchCode],BranchesTbl[BranchName])</f>
        <v>Kitale</v>
      </c>
      <c r="Q1711">
        <f>_xlfn.XLOOKUP(Loans[[#This Row],[CustomerID]],CustomerTbl[CustomerID],CustomerTbl[RiskScore])</f>
        <v>359</v>
      </c>
      <c r="R1711" t="str">
        <f>IFERROR(INDEX(RiskTbl[Risk_Category],MATCH(Loans[[#This Row],[RiskScore]],RiskTbl[Score_Min],1)),"Unknown")</f>
        <v>High Risk</v>
      </c>
      <c r="S1711" t="str">
        <f>IF(OR(Loans[[#This Row],[LoanStatus]]="Default",Loans[[#This Row],[LoanStatus]]="Watchlist",Loans[[#This Row],[CollateralRisk]]="Undersecured",Loans[[#This Row],[RiskCategory]]="High Risk"),"High Risk Exposure","Normal")</f>
        <v>High Risk Exposure</v>
      </c>
      <c r="T1711" t="str" cm="1">
        <f t="array" ref="T1711">_xlfn.IFS(
Loans[[#This Row],[LoanStatus]]="Default","Critical",
OR(Loans[[#This Row],[LoanStatus]]="Watchlist",Loans[[#This Row],[CollateralRisk]]="Undersecured",Loans[[#This Row],[RiskCategory]]="High Risk"),"High",
TRUE,"Normal"
)</f>
        <v>Critical</v>
      </c>
    </row>
    <row r="1712" spans="1:20" x14ac:dyDescent="0.35">
      <c r="A1712" t="s">
        <v>2534</v>
      </c>
      <c r="B1712" t="s">
        <v>298</v>
      </c>
      <c r="C1712" t="s">
        <v>181</v>
      </c>
      <c r="D1712" t="s">
        <v>155</v>
      </c>
      <c r="E1712" s="34">
        <v>1000000</v>
      </c>
      <c r="F1712" s="29">
        <v>0.251</v>
      </c>
      <c r="G1712" s="30">
        <v>44421</v>
      </c>
      <c r="H1712">
        <v>48</v>
      </c>
      <c r="I1712">
        <v>0</v>
      </c>
      <c r="J1712" s="34">
        <v>0</v>
      </c>
      <c r="K1712" t="s">
        <v>171</v>
      </c>
      <c r="L1712" s="34">
        <f>PMT(Loans[[#This Row],[InterestRate]]/12,Loans[[#This Row],[LoanTenureMonths]],-Loans[[#This Row],[LoanAmount]])</f>
        <v>33212.926926699787</v>
      </c>
      <c r="M1712" s="30">
        <f>EDATE(Loans[[#This Row],[LoanStartDate]],Loans[[#This Row],[LoanTenureMonths]])</f>
        <v>45882</v>
      </c>
      <c r="N1712" s="33">
        <f>IF(Loans[[#This Row],[LoanAmount]]=0,0,Loans[[#This Row],[CollateralValue]]/Loans[[#This Row],[LoanAmount]])</f>
        <v>0</v>
      </c>
      <c r="O1712" t="str">
        <f>IF(Loans[[#This Row],[CollateralCoverageRatio]]&lt;1,"Undersecured","Secured")</f>
        <v>Undersecured</v>
      </c>
      <c r="P1712" t="str">
        <f>_xlfn.XLOOKUP(Loans[[#This Row],[BranchCode]],BranchesTbl[BranchCode],BranchesTbl[BranchName])</f>
        <v>Kitale</v>
      </c>
      <c r="Q1712">
        <f>_xlfn.XLOOKUP(Loans[[#This Row],[CustomerID]],CustomerTbl[CustomerID],CustomerTbl[RiskScore])</f>
        <v>324</v>
      </c>
      <c r="R1712" t="str">
        <f>IFERROR(INDEX(RiskTbl[Risk_Category],MATCH(Loans[[#This Row],[RiskScore]],RiskTbl[Score_Min],1)),"Unknown")</f>
        <v>High Risk</v>
      </c>
      <c r="S1712" t="str">
        <f>IF(OR(Loans[[#This Row],[LoanStatus]]="Default",Loans[[#This Row],[LoanStatus]]="Watchlist",Loans[[#This Row],[CollateralRisk]]="Undersecured",Loans[[#This Row],[RiskCategory]]="High Risk"),"High Risk Exposure","Normal")</f>
        <v>High Risk Exposure</v>
      </c>
      <c r="T1712" t="str" cm="1">
        <f t="array" ref="T1712">_xlfn.IFS(
Loans[[#This Row],[LoanStatus]]="Default","Critical",
OR(Loans[[#This Row],[LoanStatus]]="Watchlist",Loans[[#This Row],[CollateralRisk]]="Undersecured",Loans[[#This Row],[RiskCategory]]="High Risk"),"High",
TRUE,"Normal"
)</f>
        <v>High</v>
      </c>
    </row>
    <row r="1713" spans="1:20" x14ac:dyDescent="0.35">
      <c r="A1713" t="s">
        <v>2535</v>
      </c>
      <c r="B1713" t="s">
        <v>824</v>
      </c>
      <c r="C1713" t="s">
        <v>232</v>
      </c>
      <c r="D1713" t="s">
        <v>156</v>
      </c>
      <c r="E1713" s="34">
        <v>1000000</v>
      </c>
      <c r="F1713" s="29">
        <v>0.17510000000000001</v>
      </c>
      <c r="G1713" s="30">
        <v>44342</v>
      </c>
      <c r="H1713">
        <v>12</v>
      </c>
      <c r="I1713">
        <v>0</v>
      </c>
      <c r="J1713" s="34">
        <v>520000</v>
      </c>
      <c r="K1713" t="s">
        <v>171</v>
      </c>
      <c r="L1713" s="34">
        <f>PMT(Loans[[#This Row],[InterestRate]]/12,Loans[[#This Row],[LoanTenureMonths]],-Loans[[#This Row],[LoanAmount]])</f>
        <v>91446.956774507737</v>
      </c>
      <c r="M1713" s="30">
        <f>EDATE(Loans[[#This Row],[LoanStartDate]],Loans[[#This Row],[LoanTenureMonths]])</f>
        <v>44707</v>
      </c>
      <c r="N1713" s="33">
        <f>IF(Loans[[#This Row],[LoanAmount]]=0,0,Loans[[#This Row],[CollateralValue]]/Loans[[#This Row],[LoanAmount]])</f>
        <v>0.52</v>
      </c>
      <c r="O1713" t="str">
        <f>IF(Loans[[#This Row],[CollateralCoverageRatio]]&lt;1,"Undersecured","Secured")</f>
        <v>Undersecured</v>
      </c>
      <c r="P1713" t="str">
        <f>_xlfn.XLOOKUP(Loans[[#This Row],[BranchCode]],BranchesTbl[BranchCode],BranchesTbl[BranchName])</f>
        <v>Upper Hill</v>
      </c>
      <c r="Q1713">
        <f>_xlfn.XLOOKUP(Loans[[#This Row],[CustomerID]],CustomerTbl[CustomerID],CustomerTbl[RiskScore])</f>
        <v>835</v>
      </c>
      <c r="R1713" t="str">
        <f>IFERROR(INDEX(RiskTbl[Risk_Category],MATCH(Loans[[#This Row],[RiskScore]],RiskTbl[Score_Min],1)),"Unknown")</f>
        <v>Prime</v>
      </c>
      <c r="S1713" t="str">
        <f>IF(OR(Loans[[#This Row],[LoanStatus]]="Default",Loans[[#This Row],[LoanStatus]]="Watchlist",Loans[[#This Row],[CollateralRisk]]="Undersecured",Loans[[#This Row],[RiskCategory]]="High Risk"),"High Risk Exposure","Normal")</f>
        <v>High Risk Exposure</v>
      </c>
      <c r="T1713" t="str" cm="1">
        <f t="array" ref="T1713">_xlfn.IFS(
Loans[[#This Row],[LoanStatus]]="Default","Critical",
OR(Loans[[#This Row],[LoanStatus]]="Watchlist",Loans[[#This Row],[CollateralRisk]]="Undersecured",Loans[[#This Row],[RiskCategory]]="High Risk"),"High",
TRUE,"Normal"
)</f>
        <v>High</v>
      </c>
    </row>
    <row r="1714" spans="1:20" x14ac:dyDescent="0.35">
      <c r="A1714" t="s">
        <v>2536</v>
      </c>
      <c r="B1714" t="s">
        <v>1392</v>
      </c>
      <c r="C1714" t="s">
        <v>239</v>
      </c>
      <c r="D1714" t="s">
        <v>156</v>
      </c>
      <c r="E1714" s="34">
        <v>25000000</v>
      </c>
      <c r="F1714" s="29">
        <v>0.16700000000000001</v>
      </c>
      <c r="G1714" s="30">
        <v>45277</v>
      </c>
      <c r="H1714">
        <v>12</v>
      </c>
      <c r="I1714">
        <v>120</v>
      </c>
      <c r="J1714" s="34">
        <v>37250000</v>
      </c>
      <c r="K1714" t="s">
        <v>178</v>
      </c>
      <c r="L1714" s="34">
        <f>PMT(Loans[[#This Row],[InterestRate]]/12,Loans[[#This Row],[LoanTenureMonths]],-Loans[[#This Row],[LoanAmount]])</f>
        <v>2276561.0580729395</v>
      </c>
      <c r="M1714" s="30">
        <f>EDATE(Loans[[#This Row],[LoanStartDate]],Loans[[#This Row],[LoanTenureMonths]])</f>
        <v>45643</v>
      </c>
      <c r="N1714" s="33">
        <f>IF(Loans[[#This Row],[LoanAmount]]=0,0,Loans[[#This Row],[CollateralValue]]/Loans[[#This Row],[LoanAmount]])</f>
        <v>1.49</v>
      </c>
      <c r="O1714" t="str">
        <f>IF(Loans[[#This Row],[CollateralCoverageRatio]]&lt;1,"Undersecured","Secured")</f>
        <v>Secured</v>
      </c>
      <c r="P1714" t="str">
        <f>_xlfn.XLOOKUP(Loans[[#This Row],[BranchCode]],BranchesTbl[BranchCode],BranchesTbl[BranchName])</f>
        <v>Machakos</v>
      </c>
      <c r="Q1714">
        <f>_xlfn.XLOOKUP(Loans[[#This Row],[CustomerID]],CustomerTbl[CustomerID],CustomerTbl[RiskScore])</f>
        <v>625</v>
      </c>
      <c r="R1714" t="str">
        <f>IFERROR(INDEX(RiskTbl[Risk_Category],MATCH(Loans[[#This Row],[RiskScore]],RiskTbl[Score_Min],1)),"Unknown")</f>
        <v>Medium Risk</v>
      </c>
      <c r="S1714" t="str">
        <f>IF(OR(Loans[[#This Row],[LoanStatus]]="Default",Loans[[#This Row],[LoanStatus]]="Watchlist",Loans[[#This Row],[CollateralRisk]]="Undersecured",Loans[[#This Row],[RiskCategory]]="High Risk"),"High Risk Exposure","Normal")</f>
        <v>High Risk Exposure</v>
      </c>
      <c r="T1714" t="str" cm="1">
        <f t="array" ref="T1714">_xlfn.IFS(
Loans[[#This Row],[LoanStatus]]="Default","Critical",
OR(Loans[[#This Row],[LoanStatus]]="Watchlist",Loans[[#This Row],[CollateralRisk]]="Undersecured",Loans[[#This Row],[RiskCategory]]="High Risk"),"High",
TRUE,"Normal"
)</f>
        <v>Critical</v>
      </c>
    </row>
    <row r="1715" spans="1:20" x14ac:dyDescent="0.35">
      <c r="A1715" t="s">
        <v>2537</v>
      </c>
      <c r="B1715" t="s">
        <v>2538</v>
      </c>
      <c r="C1715" t="s">
        <v>267</v>
      </c>
      <c r="D1715" t="s">
        <v>155</v>
      </c>
      <c r="E1715" s="34">
        <v>100000</v>
      </c>
      <c r="F1715" s="29">
        <v>0.22670000000000001</v>
      </c>
      <c r="G1715" s="30">
        <v>45254</v>
      </c>
      <c r="H1715">
        <v>36</v>
      </c>
      <c r="I1715">
        <v>0</v>
      </c>
      <c r="J1715" s="34">
        <v>0</v>
      </c>
      <c r="K1715" t="s">
        <v>171</v>
      </c>
      <c r="L1715" s="34">
        <f>PMT(Loans[[#This Row],[InterestRate]]/12,Loans[[#This Row],[LoanTenureMonths]],-Loans[[#This Row],[LoanAmount]])</f>
        <v>3853.7934988889979</v>
      </c>
      <c r="M1715" s="30">
        <f>EDATE(Loans[[#This Row],[LoanStartDate]],Loans[[#This Row],[LoanTenureMonths]])</f>
        <v>46350</v>
      </c>
      <c r="N1715" s="33">
        <f>IF(Loans[[#This Row],[LoanAmount]]=0,0,Loans[[#This Row],[CollateralValue]]/Loans[[#This Row],[LoanAmount]])</f>
        <v>0</v>
      </c>
      <c r="O1715" t="str">
        <f>IF(Loans[[#This Row],[CollateralCoverageRatio]]&lt;1,"Undersecured","Secured")</f>
        <v>Undersecured</v>
      </c>
      <c r="P1715" t="str">
        <f>_xlfn.XLOOKUP(Loans[[#This Row],[BranchCode]],BranchesTbl[BranchCode],BranchesTbl[BranchName])</f>
        <v>Malindi</v>
      </c>
      <c r="Q1715">
        <f>_xlfn.XLOOKUP(Loans[[#This Row],[CustomerID]],CustomerTbl[CustomerID],CustomerTbl[RiskScore])</f>
        <v>585</v>
      </c>
      <c r="R1715" t="str">
        <f>IFERROR(INDEX(RiskTbl[Risk_Category],MATCH(Loans[[#This Row],[RiskScore]],RiskTbl[Score_Min],1)),"Unknown")</f>
        <v>Medium Risk</v>
      </c>
      <c r="S1715" t="str">
        <f>IF(OR(Loans[[#This Row],[LoanStatus]]="Default",Loans[[#This Row],[LoanStatus]]="Watchlist",Loans[[#This Row],[CollateralRisk]]="Undersecured",Loans[[#This Row],[RiskCategory]]="High Risk"),"High Risk Exposure","Normal")</f>
        <v>High Risk Exposure</v>
      </c>
      <c r="T1715" t="str" cm="1">
        <f t="array" ref="T1715">_xlfn.IFS(
Loans[[#This Row],[LoanStatus]]="Default","Critical",
OR(Loans[[#This Row],[LoanStatus]]="Watchlist",Loans[[#This Row],[CollateralRisk]]="Undersecured",Loans[[#This Row],[RiskCategory]]="High Risk"),"High",
TRUE,"Normal"
)</f>
        <v>High</v>
      </c>
    </row>
    <row r="1716" spans="1:20" x14ac:dyDescent="0.35">
      <c r="A1716" t="s">
        <v>2539</v>
      </c>
      <c r="B1716" t="s">
        <v>1028</v>
      </c>
      <c r="C1716" t="s">
        <v>187</v>
      </c>
      <c r="D1716" t="s">
        <v>158</v>
      </c>
      <c r="E1716" s="34">
        <v>6000000</v>
      </c>
      <c r="F1716" s="29">
        <v>0.13039999999999999</v>
      </c>
      <c r="G1716" s="30">
        <v>45053</v>
      </c>
      <c r="H1716">
        <v>24</v>
      </c>
      <c r="I1716">
        <v>20</v>
      </c>
      <c r="J1716" s="34">
        <v>3000000</v>
      </c>
      <c r="K1716" t="s">
        <v>171</v>
      </c>
      <c r="L1716" s="34">
        <f>PMT(Loans[[#This Row],[InterestRate]]/12,Loans[[#This Row],[LoanTenureMonths]],-Loans[[#This Row],[LoanAmount]])</f>
        <v>285363.67811012932</v>
      </c>
      <c r="M1716" s="30">
        <f>EDATE(Loans[[#This Row],[LoanStartDate]],Loans[[#This Row],[LoanTenureMonths]])</f>
        <v>45784</v>
      </c>
      <c r="N1716" s="33">
        <f>IF(Loans[[#This Row],[LoanAmount]]=0,0,Loans[[#This Row],[CollateralValue]]/Loans[[#This Row],[LoanAmount]])</f>
        <v>0.5</v>
      </c>
      <c r="O1716" t="str">
        <f>IF(Loans[[#This Row],[CollateralCoverageRatio]]&lt;1,"Undersecured","Secured")</f>
        <v>Undersecured</v>
      </c>
      <c r="P1716" t="str">
        <f>_xlfn.XLOOKUP(Loans[[#This Row],[BranchCode]],BranchesTbl[BranchCode],BranchesTbl[BranchName])</f>
        <v>Eldoret</v>
      </c>
      <c r="Q1716">
        <f>_xlfn.XLOOKUP(Loans[[#This Row],[CustomerID]],CustomerTbl[CustomerID],CustomerTbl[RiskScore])</f>
        <v>305</v>
      </c>
      <c r="R1716" t="str">
        <f>IFERROR(INDEX(RiskTbl[Risk_Category],MATCH(Loans[[#This Row],[RiskScore]],RiskTbl[Score_Min],1)),"Unknown")</f>
        <v>High Risk</v>
      </c>
      <c r="S1716" t="str">
        <f>IF(OR(Loans[[#This Row],[LoanStatus]]="Default",Loans[[#This Row],[LoanStatus]]="Watchlist",Loans[[#This Row],[CollateralRisk]]="Undersecured",Loans[[#This Row],[RiskCategory]]="High Risk"),"High Risk Exposure","Normal")</f>
        <v>High Risk Exposure</v>
      </c>
      <c r="T1716" t="str" cm="1">
        <f t="array" ref="T1716">_xlfn.IFS(
Loans[[#This Row],[LoanStatus]]="Default","Critical",
OR(Loans[[#This Row],[LoanStatus]]="Watchlist",Loans[[#This Row],[CollateralRisk]]="Undersecured",Loans[[#This Row],[RiskCategory]]="High Risk"),"High",
TRUE,"Normal"
)</f>
        <v>High</v>
      </c>
    </row>
    <row r="1717" spans="1:20" x14ac:dyDescent="0.35">
      <c r="A1717" t="s">
        <v>2540</v>
      </c>
      <c r="B1717" t="s">
        <v>547</v>
      </c>
      <c r="C1717" t="s">
        <v>232</v>
      </c>
      <c r="D1717" t="s">
        <v>156</v>
      </c>
      <c r="E1717" s="34">
        <v>6000000</v>
      </c>
      <c r="F1717" s="29">
        <v>0.1817</v>
      </c>
      <c r="G1717" s="30">
        <v>45889</v>
      </c>
      <c r="H1717">
        <v>72</v>
      </c>
      <c r="I1717">
        <v>10</v>
      </c>
      <c r="J1717" s="34">
        <v>4500000</v>
      </c>
      <c r="K1717" t="s">
        <v>171</v>
      </c>
      <c r="L1717" s="34">
        <f>PMT(Loans[[#This Row],[InterestRate]]/12,Loans[[#This Row],[LoanTenureMonths]],-Loans[[#This Row],[LoanAmount]])</f>
        <v>137423.9952176337</v>
      </c>
      <c r="M1717" s="30">
        <f>EDATE(Loans[[#This Row],[LoanStartDate]],Loans[[#This Row],[LoanTenureMonths]])</f>
        <v>48080</v>
      </c>
      <c r="N1717" s="33">
        <f>IF(Loans[[#This Row],[LoanAmount]]=0,0,Loans[[#This Row],[CollateralValue]]/Loans[[#This Row],[LoanAmount]])</f>
        <v>0.75</v>
      </c>
      <c r="O1717" t="str">
        <f>IF(Loans[[#This Row],[CollateralCoverageRatio]]&lt;1,"Undersecured","Secured")</f>
        <v>Undersecured</v>
      </c>
      <c r="P1717" t="str">
        <f>_xlfn.XLOOKUP(Loans[[#This Row],[BranchCode]],BranchesTbl[BranchCode],BranchesTbl[BranchName])</f>
        <v>Upper Hill</v>
      </c>
      <c r="Q1717">
        <f>_xlfn.XLOOKUP(Loans[[#This Row],[CustomerID]],CustomerTbl[CustomerID],CustomerTbl[RiskScore])</f>
        <v>615</v>
      </c>
      <c r="R1717" t="str">
        <f>IFERROR(INDEX(RiskTbl[Risk_Category],MATCH(Loans[[#This Row],[RiskScore]],RiskTbl[Score_Min],1)),"Unknown")</f>
        <v>Medium Risk</v>
      </c>
      <c r="S1717" t="str">
        <f>IF(OR(Loans[[#This Row],[LoanStatus]]="Default",Loans[[#This Row],[LoanStatus]]="Watchlist",Loans[[#This Row],[CollateralRisk]]="Undersecured",Loans[[#This Row],[RiskCategory]]="High Risk"),"High Risk Exposure","Normal")</f>
        <v>High Risk Exposure</v>
      </c>
      <c r="T1717" t="str" cm="1">
        <f t="array" ref="T1717">_xlfn.IFS(
Loans[[#This Row],[LoanStatus]]="Default","Critical",
OR(Loans[[#This Row],[LoanStatus]]="Watchlist",Loans[[#This Row],[CollateralRisk]]="Undersecured",Loans[[#This Row],[RiskCategory]]="High Risk"),"High",
TRUE,"Normal"
)</f>
        <v>High</v>
      </c>
    </row>
    <row r="1718" spans="1:20" x14ac:dyDescent="0.35">
      <c r="A1718" t="s">
        <v>2541</v>
      </c>
      <c r="B1718" t="s">
        <v>954</v>
      </c>
      <c r="C1718" t="s">
        <v>206</v>
      </c>
      <c r="D1718" t="s">
        <v>158</v>
      </c>
      <c r="E1718" s="34">
        <v>3000000</v>
      </c>
      <c r="F1718" s="29">
        <v>0.14779999999999999</v>
      </c>
      <c r="G1718" s="30">
        <v>43843</v>
      </c>
      <c r="H1718">
        <v>48</v>
      </c>
      <c r="I1718">
        <v>90</v>
      </c>
      <c r="J1718" s="34">
        <v>4290000</v>
      </c>
      <c r="K1718" t="s">
        <v>199</v>
      </c>
      <c r="L1718" s="34">
        <f>PMT(Loans[[#This Row],[InterestRate]]/12,Loans[[#This Row],[LoanTenureMonths]],-Loans[[#This Row],[LoanAmount]])</f>
        <v>83158.068060487552</v>
      </c>
      <c r="M1718" s="30">
        <f>EDATE(Loans[[#This Row],[LoanStartDate]],Loans[[#This Row],[LoanTenureMonths]])</f>
        <v>45304</v>
      </c>
      <c r="N1718" s="33">
        <f>IF(Loans[[#This Row],[LoanAmount]]=0,0,Loans[[#This Row],[CollateralValue]]/Loans[[#This Row],[LoanAmount]])</f>
        <v>1.43</v>
      </c>
      <c r="O1718" t="str">
        <f>IF(Loans[[#This Row],[CollateralCoverageRatio]]&lt;1,"Undersecured","Secured")</f>
        <v>Secured</v>
      </c>
      <c r="P1718" t="str">
        <f>_xlfn.XLOOKUP(Loans[[#This Row],[BranchCode]],BranchesTbl[BranchCode],BranchesTbl[BranchName])</f>
        <v>Nyahururu</v>
      </c>
      <c r="Q1718">
        <f>_xlfn.XLOOKUP(Loans[[#This Row],[CustomerID]],CustomerTbl[CustomerID],CustomerTbl[RiskScore])</f>
        <v>771</v>
      </c>
      <c r="R1718" t="str">
        <f>IFERROR(INDEX(RiskTbl[Risk_Category],MATCH(Loans[[#This Row],[RiskScore]],RiskTbl[Score_Min],1)),"Unknown")</f>
        <v>Very Low Risk</v>
      </c>
      <c r="S1718" t="str">
        <f>IF(OR(Loans[[#This Row],[LoanStatus]]="Default",Loans[[#This Row],[LoanStatus]]="Watchlist",Loans[[#This Row],[CollateralRisk]]="Undersecured",Loans[[#This Row],[RiskCategory]]="High Risk"),"High Risk Exposure","Normal")</f>
        <v>High Risk Exposure</v>
      </c>
      <c r="T1718" t="str" cm="1">
        <f t="array" ref="T1718">_xlfn.IFS(
Loans[[#This Row],[LoanStatus]]="Default","Critical",
OR(Loans[[#This Row],[LoanStatus]]="Watchlist",Loans[[#This Row],[CollateralRisk]]="Undersecured",Loans[[#This Row],[RiskCategory]]="High Risk"),"High",
TRUE,"Normal"
)</f>
        <v>High</v>
      </c>
    </row>
    <row r="1719" spans="1:20" x14ac:dyDescent="0.35">
      <c r="A1719" t="s">
        <v>2542</v>
      </c>
      <c r="B1719" t="s">
        <v>701</v>
      </c>
      <c r="C1719" t="s">
        <v>270</v>
      </c>
      <c r="D1719" t="s">
        <v>156</v>
      </c>
      <c r="E1719" s="34">
        <v>1000000</v>
      </c>
      <c r="F1719" s="29">
        <v>0.21099999999999999</v>
      </c>
      <c r="G1719" s="30">
        <v>44169</v>
      </c>
      <c r="H1719">
        <v>24</v>
      </c>
      <c r="I1719">
        <v>5</v>
      </c>
      <c r="J1719" s="34">
        <v>790000</v>
      </c>
      <c r="K1719" t="s">
        <v>171</v>
      </c>
      <c r="L1719" s="34">
        <f>PMT(Loans[[#This Row],[InterestRate]]/12,Loans[[#This Row],[LoanTenureMonths]],-Loans[[#This Row],[LoanAmount]])</f>
        <v>51434.781961506153</v>
      </c>
      <c r="M1719" s="30">
        <f>EDATE(Loans[[#This Row],[LoanStartDate]],Loans[[#This Row],[LoanTenureMonths]])</f>
        <v>44899</v>
      </c>
      <c r="N1719" s="33">
        <f>IF(Loans[[#This Row],[LoanAmount]]=0,0,Loans[[#This Row],[CollateralValue]]/Loans[[#This Row],[LoanAmount]])</f>
        <v>0.79</v>
      </c>
      <c r="O1719" t="str">
        <f>IF(Loans[[#This Row],[CollateralCoverageRatio]]&lt;1,"Undersecured","Secured")</f>
        <v>Undersecured</v>
      </c>
      <c r="P1719" t="str">
        <f>_xlfn.XLOOKUP(Loans[[#This Row],[BranchCode]],BranchesTbl[BranchCode],BranchesTbl[BranchName])</f>
        <v>Nakuru</v>
      </c>
      <c r="Q1719">
        <f>_xlfn.XLOOKUP(Loans[[#This Row],[CustomerID]],CustomerTbl[CustomerID],CustomerTbl[RiskScore])</f>
        <v>522</v>
      </c>
      <c r="R1719" t="str">
        <f>IFERROR(INDEX(RiskTbl[Risk_Category],MATCH(Loans[[#This Row],[RiskScore]],RiskTbl[Score_Min],1)),"Unknown")</f>
        <v>High Risk</v>
      </c>
      <c r="S1719" t="str">
        <f>IF(OR(Loans[[#This Row],[LoanStatus]]="Default",Loans[[#This Row],[LoanStatus]]="Watchlist",Loans[[#This Row],[CollateralRisk]]="Undersecured",Loans[[#This Row],[RiskCategory]]="High Risk"),"High Risk Exposure","Normal")</f>
        <v>High Risk Exposure</v>
      </c>
      <c r="T1719" t="str" cm="1">
        <f t="array" ref="T1719">_xlfn.IFS(
Loans[[#This Row],[LoanStatus]]="Default","Critical",
OR(Loans[[#This Row],[LoanStatus]]="Watchlist",Loans[[#This Row],[CollateralRisk]]="Undersecured",Loans[[#This Row],[RiskCategory]]="High Risk"),"High",
TRUE,"Normal"
)</f>
        <v>High</v>
      </c>
    </row>
    <row r="1720" spans="1:20" x14ac:dyDescent="0.35">
      <c r="A1720" t="s">
        <v>2543</v>
      </c>
      <c r="B1720" t="s">
        <v>805</v>
      </c>
      <c r="C1720" t="s">
        <v>270</v>
      </c>
      <c r="D1720" t="s">
        <v>155</v>
      </c>
      <c r="E1720" s="34">
        <v>1000000</v>
      </c>
      <c r="F1720" s="29">
        <v>0.18559999999999999</v>
      </c>
      <c r="G1720" s="30">
        <v>44267</v>
      </c>
      <c r="H1720">
        <v>60</v>
      </c>
      <c r="I1720">
        <v>90</v>
      </c>
      <c r="J1720" s="34">
        <v>0</v>
      </c>
      <c r="K1720" t="s">
        <v>199</v>
      </c>
      <c r="L1720" s="34">
        <f>PMT(Loans[[#This Row],[InterestRate]]/12,Loans[[#This Row],[LoanTenureMonths]],-Loans[[#This Row],[LoanAmount]])</f>
        <v>25699.047988506129</v>
      </c>
      <c r="M1720" s="30">
        <f>EDATE(Loans[[#This Row],[LoanStartDate]],Loans[[#This Row],[LoanTenureMonths]])</f>
        <v>46093</v>
      </c>
      <c r="N1720" s="33">
        <f>IF(Loans[[#This Row],[LoanAmount]]=0,0,Loans[[#This Row],[CollateralValue]]/Loans[[#This Row],[LoanAmount]])</f>
        <v>0</v>
      </c>
      <c r="O1720" t="str">
        <f>IF(Loans[[#This Row],[CollateralCoverageRatio]]&lt;1,"Undersecured","Secured")</f>
        <v>Undersecured</v>
      </c>
      <c r="P1720" t="str">
        <f>_xlfn.XLOOKUP(Loans[[#This Row],[BranchCode]],BranchesTbl[BranchCode],BranchesTbl[BranchName])</f>
        <v>Nakuru</v>
      </c>
      <c r="Q1720">
        <f>_xlfn.XLOOKUP(Loans[[#This Row],[CustomerID]],CustomerTbl[CustomerID],CustomerTbl[RiskScore])</f>
        <v>755</v>
      </c>
      <c r="R1720" t="str">
        <f>IFERROR(INDEX(RiskTbl[Risk_Category],MATCH(Loans[[#This Row],[RiskScore]],RiskTbl[Score_Min],1)),"Unknown")</f>
        <v>Very Low Risk</v>
      </c>
      <c r="S1720" t="str">
        <f>IF(OR(Loans[[#This Row],[LoanStatus]]="Default",Loans[[#This Row],[LoanStatus]]="Watchlist",Loans[[#This Row],[CollateralRisk]]="Undersecured",Loans[[#This Row],[RiskCategory]]="High Risk"),"High Risk Exposure","Normal")</f>
        <v>High Risk Exposure</v>
      </c>
      <c r="T1720" t="str" cm="1">
        <f t="array" ref="T1720">_xlfn.IFS(
Loans[[#This Row],[LoanStatus]]="Default","Critical",
OR(Loans[[#This Row],[LoanStatus]]="Watchlist",Loans[[#This Row],[CollateralRisk]]="Undersecured",Loans[[#This Row],[RiskCategory]]="High Risk"),"High",
TRUE,"Normal"
)</f>
        <v>High</v>
      </c>
    </row>
    <row r="1721" spans="1:20" x14ac:dyDescent="0.35">
      <c r="A1721" t="s">
        <v>2544</v>
      </c>
      <c r="B1721" t="s">
        <v>704</v>
      </c>
      <c r="C1721" t="s">
        <v>190</v>
      </c>
      <c r="D1721" t="s">
        <v>157</v>
      </c>
      <c r="E1721" s="34">
        <v>25000000</v>
      </c>
      <c r="F1721" s="29">
        <v>0.1191</v>
      </c>
      <c r="G1721" s="30">
        <v>45730</v>
      </c>
      <c r="H1721">
        <v>72</v>
      </c>
      <c r="I1721">
        <v>90</v>
      </c>
      <c r="J1721" s="34">
        <v>17250000</v>
      </c>
      <c r="K1721" t="s">
        <v>199</v>
      </c>
      <c r="L1721" s="34">
        <f>PMT(Loans[[#This Row],[InterestRate]]/12,Loans[[#This Row],[LoanTenureMonths]],-Loans[[#This Row],[LoanAmount]])</f>
        <v>487585.54475131299</v>
      </c>
      <c r="M1721" s="30">
        <f>EDATE(Loans[[#This Row],[LoanStartDate]],Loans[[#This Row],[LoanTenureMonths]])</f>
        <v>47921</v>
      </c>
      <c r="N1721" s="33">
        <f>IF(Loans[[#This Row],[LoanAmount]]=0,0,Loans[[#This Row],[CollateralValue]]/Loans[[#This Row],[LoanAmount]])</f>
        <v>0.69</v>
      </c>
      <c r="O1721" t="str">
        <f>IF(Loans[[#This Row],[CollateralCoverageRatio]]&lt;1,"Undersecured","Secured")</f>
        <v>Undersecured</v>
      </c>
      <c r="P1721" t="str">
        <f>_xlfn.XLOOKUP(Loans[[#This Row],[BranchCode]],BranchesTbl[BranchCode],BranchesTbl[BranchName])</f>
        <v>Nyeri</v>
      </c>
      <c r="Q1721">
        <f>_xlfn.XLOOKUP(Loans[[#This Row],[CustomerID]],CustomerTbl[CustomerID],CustomerTbl[RiskScore])</f>
        <v>370</v>
      </c>
      <c r="R1721" t="str">
        <f>IFERROR(INDEX(RiskTbl[Risk_Category],MATCH(Loans[[#This Row],[RiskScore]],RiskTbl[Score_Min],1)),"Unknown")</f>
        <v>High Risk</v>
      </c>
      <c r="S1721" t="str">
        <f>IF(OR(Loans[[#This Row],[LoanStatus]]="Default",Loans[[#This Row],[LoanStatus]]="Watchlist",Loans[[#This Row],[CollateralRisk]]="Undersecured",Loans[[#This Row],[RiskCategory]]="High Risk"),"High Risk Exposure","Normal")</f>
        <v>High Risk Exposure</v>
      </c>
      <c r="T1721" t="str" cm="1">
        <f t="array" ref="T1721">_xlfn.IFS(
Loans[[#This Row],[LoanStatus]]="Default","Critical",
OR(Loans[[#This Row],[LoanStatus]]="Watchlist",Loans[[#This Row],[CollateralRisk]]="Undersecured",Loans[[#This Row],[RiskCategory]]="High Risk"),"High",
TRUE,"Normal"
)</f>
        <v>High</v>
      </c>
    </row>
    <row r="1722" spans="1:20" x14ac:dyDescent="0.35">
      <c r="A1722" t="s">
        <v>2545</v>
      </c>
      <c r="B1722" t="s">
        <v>421</v>
      </c>
      <c r="C1722" t="s">
        <v>232</v>
      </c>
      <c r="D1722" t="s">
        <v>156</v>
      </c>
      <c r="E1722" s="34">
        <v>25000000</v>
      </c>
      <c r="F1722" s="29">
        <v>0.19040000000000001</v>
      </c>
      <c r="G1722" s="30">
        <v>45665</v>
      </c>
      <c r="H1722">
        <v>48</v>
      </c>
      <c r="I1722">
        <v>90</v>
      </c>
      <c r="J1722" s="34">
        <v>33000000</v>
      </c>
      <c r="K1722" t="s">
        <v>199</v>
      </c>
      <c r="L1722" s="34">
        <f>PMT(Loans[[#This Row],[InterestRate]]/12,Loans[[#This Row],[LoanTenureMonths]],-Loans[[#This Row],[LoanAmount]])</f>
        <v>748030.74529528269</v>
      </c>
      <c r="M1722" s="30">
        <f>EDATE(Loans[[#This Row],[LoanStartDate]],Loans[[#This Row],[LoanTenureMonths]])</f>
        <v>47126</v>
      </c>
      <c r="N1722" s="33">
        <f>IF(Loans[[#This Row],[LoanAmount]]=0,0,Loans[[#This Row],[CollateralValue]]/Loans[[#This Row],[LoanAmount]])</f>
        <v>1.32</v>
      </c>
      <c r="O1722" t="str">
        <f>IF(Loans[[#This Row],[CollateralCoverageRatio]]&lt;1,"Undersecured","Secured")</f>
        <v>Secured</v>
      </c>
      <c r="P1722" t="str">
        <f>_xlfn.XLOOKUP(Loans[[#This Row],[BranchCode]],BranchesTbl[BranchCode],BranchesTbl[BranchName])</f>
        <v>Upper Hill</v>
      </c>
      <c r="Q1722">
        <f>_xlfn.XLOOKUP(Loans[[#This Row],[CustomerID]],CustomerTbl[CustomerID],CustomerTbl[RiskScore])</f>
        <v>803</v>
      </c>
      <c r="R1722" t="str">
        <f>IFERROR(INDEX(RiskTbl[Risk_Category],MATCH(Loans[[#This Row],[RiskScore]],RiskTbl[Score_Min],1)),"Unknown")</f>
        <v>Prime</v>
      </c>
      <c r="S1722" t="str">
        <f>IF(OR(Loans[[#This Row],[LoanStatus]]="Default",Loans[[#This Row],[LoanStatus]]="Watchlist",Loans[[#This Row],[CollateralRisk]]="Undersecured",Loans[[#This Row],[RiskCategory]]="High Risk"),"High Risk Exposure","Normal")</f>
        <v>High Risk Exposure</v>
      </c>
      <c r="T1722" t="str" cm="1">
        <f t="array" ref="T1722">_xlfn.IFS(
Loans[[#This Row],[LoanStatus]]="Default","Critical",
OR(Loans[[#This Row],[LoanStatus]]="Watchlist",Loans[[#This Row],[CollateralRisk]]="Undersecured",Loans[[#This Row],[RiskCategory]]="High Risk"),"High",
TRUE,"Normal"
)</f>
        <v>High</v>
      </c>
    </row>
    <row r="1723" spans="1:20" x14ac:dyDescent="0.35">
      <c r="A1723" t="s">
        <v>2546</v>
      </c>
      <c r="B1723" t="s">
        <v>608</v>
      </c>
      <c r="C1723" t="s">
        <v>170</v>
      </c>
      <c r="D1723" t="s">
        <v>156</v>
      </c>
      <c r="E1723" s="34">
        <v>1000000</v>
      </c>
      <c r="F1723" s="29">
        <v>0.23630000000000001</v>
      </c>
      <c r="G1723" s="30">
        <v>45242</v>
      </c>
      <c r="H1723">
        <v>36</v>
      </c>
      <c r="I1723">
        <v>90</v>
      </c>
      <c r="J1723" s="34">
        <v>530000</v>
      </c>
      <c r="K1723" t="s">
        <v>199</v>
      </c>
      <c r="L1723" s="34">
        <f>PMT(Loans[[#This Row],[InterestRate]]/12,Loans[[#This Row],[LoanTenureMonths]],-Loans[[#This Row],[LoanAmount]])</f>
        <v>39038.845199477342</v>
      </c>
      <c r="M1723" s="30">
        <f>EDATE(Loans[[#This Row],[LoanStartDate]],Loans[[#This Row],[LoanTenureMonths]])</f>
        <v>46338</v>
      </c>
      <c r="N1723" s="33">
        <f>IF(Loans[[#This Row],[LoanAmount]]=0,0,Loans[[#This Row],[CollateralValue]]/Loans[[#This Row],[LoanAmount]])</f>
        <v>0.53</v>
      </c>
      <c r="O1723" t="str">
        <f>IF(Loans[[#This Row],[CollateralCoverageRatio]]&lt;1,"Undersecured","Secured")</f>
        <v>Undersecured</v>
      </c>
      <c r="P1723" t="str">
        <f>_xlfn.XLOOKUP(Loans[[#This Row],[BranchCode]],BranchesTbl[BranchCode],BranchesTbl[BranchName])</f>
        <v>Thika</v>
      </c>
      <c r="Q1723">
        <f>_xlfn.XLOOKUP(Loans[[#This Row],[CustomerID]],CustomerTbl[CustomerID],CustomerTbl[RiskScore])</f>
        <v>557</v>
      </c>
      <c r="R1723" t="str">
        <f>IFERROR(INDEX(RiskTbl[Risk_Category],MATCH(Loans[[#This Row],[RiskScore]],RiskTbl[Score_Min],1)),"Unknown")</f>
        <v>High Risk</v>
      </c>
      <c r="S1723" t="str">
        <f>IF(OR(Loans[[#This Row],[LoanStatus]]="Default",Loans[[#This Row],[LoanStatus]]="Watchlist",Loans[[#This Row],[CollateralRisk]]="Undersecured",Loans[[#This Row],[RiskCategory]]="High Risk"),"High Risk Exposure","Normal")</f>
        <v>High Risk Exposure</v>
      </c>
      <c r="T1723" t="str" cm="1">
        <f t="array" ref="T1723">_xlfn.IFS(
Loans[[#This Row],[LoanStatus]]="Default","Critical",
OR(Loans[[#This Row],[LoanStatus]]="Watchlist",Loans[[#This Row],[CollateralRisk]]="Undersecured",Loans[[#This Row],[RiskCategory]]="High Risk"),"High",
TRUE,"Normal"
)</f>
        <v>High</v>
      </c>
    </row>
    <row r="1724" spans="1:20" x14ac:dyDescent="0.35">
      <c r="A1724" t="s">
        <v>2547</v>
      </c>
      <c r="B1724" t="s">
        <v>1732</v>
      </c>
      <c r="C1724" t="s">
        <v>206</v>
      </c>
      <c r="D1724" t="s">
        <v>158</v>
      </c>
      <c r="E1724" s="34">
        <v>1000000</v>
      </c>
      <c r="F1724" s="29">
        <v>0.1613</v>
      </c>
      <c r="G1724" s="30">
        <v>45843</v>
      </c>
      <c r="H1724">
        <v>72</v>
      </c>
      <c r="I1724">
        <v>0</v>
      </c>
      <c r="J1724" s="34">
        <v>1020000</v>
      </c>
      <c r="K1724" t="s">
        <v>171</v>
      </c>
      <c r="L1724" s="34">
        <f>PMT(Loans[[#This Row],[InterestRate]]/12,Loans[[#This Row],[LoanTenureMonths]],-Loans[[#This Row],[LoanAmount]])</f>
        <v>21763.478287072285</v>
      </c>
      <c r="M1724" s="30">
        <f>EDATE(Loans[[#This Row],[LoanStartDate]],Loans[[#This Row],[LoanTenureMonths]])</f>
        <v>48034</v>
      </c>
      <c r="N1724" s="33">
        <f>IF(Loans[[#This Row],[LoanAmount]]=0,0,Loans[[#This Row],[CollateralValue]]/Loans[[#This Row],[LoanAmount]])</f>
        <v>1.02</v>
      </c>
      <c r="O1724" t="str">
        <f>IF(Loans[[#This Row],[CollateralCoverageRatio]]&lt;1,"Undersecured","Secured")</f>
        <v>Secured</v>
      </c>
      <c r="P1724" t="str">
        <f>_xlfn.XLOOKUP(Loans[[#This Row],[BranchCode]],BranchesTbl[BranchCode],BranchesTbl[BranchName])</f>
        <v>Nyahururu</v>
      </c>
      <c r="Q1724">
        <f>_xlfn.XLOOKUP(Loans[[#This Row],[CustomerID]],CustomerTbl[CustomerID],CustomerTbl[RiskScore])</f>
        <v>588</v>
      </c>
      <c r="R1724" t="str">
        <f>IFERROR(INDEX(RiskTbl[Risk_Category],MATCH(Loans[[#This Row],[RiskScore]],RiskTbl[Score_Min],1)),"Unknown")</f>
        <v>Medium Risk</v>
      </c>
      <c r="S1724" t="str">
        <f>IF(OR(Loans[[#This Row],[LoanStatus]]="Default",Loans[[#This Row],[LoanStatus]]="Watchlist",Loans[[#This Row],[CollateralRisk]]="Undersecured",Loans[[#This Row],[RiskCategory]]="High Risk"),"High Risk Exposure","Normal")</f>
        <v>Normal</v>
      </c>
      <c r="T1724" t="str" cm="1">
        <f t="array" ref="T1724">_xlfn.IFS(
Loans[[#This Row],[LoanStatus]]="Default","Critical",
OR(Loans[[#This Row],[LoanStatus]]="Watchlist",Loans[[#This Row],[CollateralRisk]]="Undersecured",Loans[[#This Row],[RiskCategory]]="High Risk"),"High",
TRUE,"Normal"
)</f>
        <v>Normal</v>
      </c>
    </row>
    <row r="1725" spans="1:20" x14ac:dyDescent="0.35">
      <c r="A1725" t="s">
        <v>2548</v>
      </c>
      <c r="B1725" t="s">
        <v>663</v>
      </c>
      <c r="C1725" t="s">
        <v>267</v>
      </c>
      <c r="D1725" t="s">
        <v>156</v>
      </c>
      <c r="E1725" s="34">
        <v>25000000</v>
      </c>
      <c r="F1725" s="29">
        <v>0.159</v>
      </c>
      <c r="G1725" s="30">
        <v>44287</v>
      </c>
      <c r="H1725">
        <v>48</v>
      </c>
      <c r="I1725">
        <v>0</v>
      </c>
      <c r="J1725" s="34">
        <v>25750000</v>
      </c>
      <c r="K1725" t="s">
        <v>171</v>
      </c>
      <c r="L1725" s="34">
        <f>PMT(Loans[[#This Row],[InterestRate]]/12,Loans[[#This Row],[LoanTenureMonths]],-Loans[[#This Row],[LoanAmount]])</f>
        <v>707227.29280044767</v>
      </c>
      <c r="M1725" s="30">
        <f>EDATE(Loans[[#This Row],[LoanStartDate]],Loans[[#This Row],[LoanTenureMonths]])</f>
        <v>45748</v>
      </c>
      <c r="N1725" s="33">
        <f>IF(Loans[[#This Row],[LoanAmount]]=0,0,Loans[[#This Row],[CollateralValue]]/Loans[[#This Row],[LoanAmount]])</f>
        <v>1.03</v>
      </c>
      <c r="O1725" t="str">
        <f>IF(Loans[[#This Row],[CollateralCoverageRatio]]&lt;1,"Undersecured","Secured")</f>
        <v>Secured</v>
      </c>
      <c r="P1725" t="str">
        <f>_xlfn.XLOOKUP(Loans[[#This Row],[BranchCode]],BranchesTbl[BranchCode],BranchesTbl[BranchName])</f>
        <v>Malindi</v>
      </c>
      <c r="Q1725">
        <f>_xlfn.XLOOKUP(Loans[[#This Row],[CustomerID]],CustomerTbl[CustomerID],CustomerTbl[RiskScore])</f>
        <v>823</v>
      </c>
      <c r="R1725" t="str">
        <f>IFERROR(INDEX(RiskTbl[Risk_Category],MATCH(Loans[[#This Row],[RiskScore]],RiskTbl[Score_Min],1)),"Unknown")</f>
        <v>Prime</v>
      </c>
      <c r="S1725" t="str">
        <f>IF(OR(Loans[[#This Row],[LoanStatus]]="Default",Loans[[#This Row],[LoanStatus]]="Watchlist",Loans[[#This Row],[CollateralRisk]]="Undersecured",Loans[[#This Row],[RiskCategory]]="High Risk"),"High Risk Exposure","Normal")</f>
        <v>Normal</v>
      </c>
      <c r="T1725" t="str" cm="1">
        <f t="array" ref="T1725">_xlfn.IFS(
Loans[[#This Row],[LoanStatus]]="Default","Critical",
OR(Loans[[#This Row],[LoanStatus]]="Watchlist",Loans[[#This Row],[CollateralRisk]]="Undersecured",Loans[[#This Row],[RiskCategory]]="High Risk"),"High",
TRUE,"Normal"
)</f>
        <v>Normal</v>
      </c>
    </row>
    <row r="1726" spans="1:20" x14ac:dyDescent="0.35">
      <c r="A1726" t="s">
        <v>2549</v>
      </c>
      <c r="B1726" t="s">
        <v>625</v>
      </c>
      <c r="C1726" t="s">
        <v>219</v>
      </c>
      <c r="D1726" t="s">
        <v>157</v>
      </c>
      <c r="E1726" s="34">
        <v>80000000</v>
      </c>
      <c r="F1726" s="29">
        <v>0.1236</v>
      </c>
      <c r="G1726" s="30">
        <v>43917</v>
      </c>
      <c r="H1726">
        <v>24</v>
      </c>
      <c r="I1726">
        <v>0</v>
      </c>
      <c r="J1726" s="34">
        <v>66400000</v>
      </c>
      <c r="K1726" t="s">
        <v>171</v>
      </c>
      <c r="L1726" s="34">
        <f>PMT(Loans[[#This Row],[InterestRate]]/12,Loans[[#This Row],[LoanTenureMonths]],-Loans[[#This Row],[LoanAmount]])</f>
        <v>3779341.2594385082</v>
      </c>
      <c r="M1726" s="30">
        <f>EDATE(Loans[[#This Row],[LoanStartDate]],Loans[[#This Row],[LoanTenureMonths]])</f>
        <v>44647</v>
      </c>
      <c r="N1726" s="33">
        <f>IF(Loans[[#This Row],[LoanAmount]]=0,0,Loans[[#This Row],[CollateralValue]]/Loans[[#This Row],[LoanAmount]])</f>
        <v>0.83</v>
      </c>
      <c r="O1726" t="str">
        <f>IF(Loans[[#This Row],[CollateralCoverageRatio]]&lt;1,"Undersecured","Secured")</f>
        <v>Undersecured</v>
      </c>
      <c r="P1726" t="str">
        <f>_xlfn.XLOOKUP(Loans[[#This Row],[BranchCode]],BranchesTbl[BranchCode],BranchesTbl[BranchName])</f>
        <v>Meru</v>
      </c>
      <c r="Q1726">
        <f>_xlfn.XLOOKUP(Loans[[#This Row],[CustomerID]],CustomerTbl[CustomerID],CustomerTbl[RiskScore])</f>
        <v>787</v>
      </c>
      <c r="R1726" t="str">
        <f>IFERROR(INDEX(RiskTbl[Risk_Category],MATCH(Loans[[#This Row],[RiskScore]],RiskTbl[Score_Min],1)),"Unknown")</f>
        <v>Very Low Risk</v>
      </c>
      <c r="S1726" t="str">
        <f>IF(OR(Loans[[#This Row],[LoanStatus]]="Default",Loans[[#This Row],[LoanStatus]]="Watchlist",Loans[[#This Row],[CollateralRisk]]="Undersecured",Loans[[#This Row],[RiskCategory]]="High Risk"),"High Risk Exposure","Normal")</f>
        <v>High Risk Exposure</v>
      </c>
      <c r="T1726" t="str" cm="1">
        <f t="array" ref="T1726">_xlfn.IFS(
Loans[[#This Row],[LoanStatus]]="Default","Critical",
OR(Loans[[#This Row],[LoanStatus]]="Watchlist",Loans[[#This Row],[CollateralRisk]]="Undersecured",Loans[[#This Row],[RiskCategory]]="High Risk"),"High",
TRUE,"Normal"
)</f>
        <v>High</v>
      </c>
    </row>
    <row r="1727" spans="1:20" x14ac:dyDescent="0.35">
      <c r="A1727" t="s">
        <v>2550</v>
      </c>
      <c r="B1727" t="s">
        <v>385</v>
      </c>
      <c r="C1727" t="s">
        <v>193</v>
      </c>
      <c r="D1727" t="s">
        <v>156</v>
      </c>
      <c r="E1727" s="34">
        <v>6000000</v>
      </c>
      <c r="F1727" s="29">
        <v>0.22720000000000001</v>
      </c>
      <c r="G1727" s="30">
        <v>45740</v>
      </c>
      <c r="H1727">
        <v>24</v>
      </c>
      <c r="I1727">
        <v>0</v>
      </c>
      <c r="J1727" s="34">
        <v>3960000</v>
      </c>
      <c r="K1727" t="s">
        <v>171</v>
      </c>
      <c r="L1727" s="34">
        <f>PMT(Loans[[#This Row],[InterestRate]]/12,Loans[[#This Row],[LoanTenureMonths]],-Loans[[#This Row],[LoanAmount]])</f>
        <v>313406.38323591353</v>
      </c>
      <c r="M1727" s="30">
        <f>EDATE(Loans[[#This Row],[LoanStartDate]],Loans[[#This Row],[LoanTenureMonths]])</f>
        <v>46470</v>
      </c>
      <c r="N1727" s="33">
        <f>IF(Loans[[#This Row],[LoanAmount]]=0,0,Loans[[#This Row],[CollateralValue]]/Loans[[#This Row],[LoanAmount]])</f>
        <v>0.66</v>
      </c>
      <c r="O1727" t="str">
        <f>IF(Loans[[#This Row],[CollateralCoverageRatio]]&lt;1,"Undersecured","Secured")</f>
        <v>Undersecured</v>
      </c>
      <c r="P1727" t="str">
        <f>_xlfn.XLOOKUP(Loans[[#This Row],[BranchCode]],BranchesTbl[BranchCode],BranchesTbl[BranchName])</f>
        <v>Mombasa</v>
      </c>
      <c r="Q1727">
        <f>_xlfn.XLOOKUP(Loans[[#This Row],[CustomerID]],CustomerTbl[CustomerID],CustomerTbl[RiskScore])</f>
        <v>753</v>
      </c>
      <c r="R1727" t="str">
        <f>IFERROR(INDEX(RiskTbl[Risk_Category],MATCH(Loans[[#This Row],[RiskScore]],RiskTbl[Score_Min],1)),"Unknown")</f>
        <v>Very Low Risk</v>
      </c>
      <c r="S1727" t="str">
        <f>IF(OR(Loans[[#This Row],[LoanStatus]]="Default",Loans[[#This Row],[LoanStatus]]="Watchlist",Loans[[#This Row],[CollateralRisk]]="Undersecured",Loans[[#This Row],[RiskCategory]]="High Risk"),"High Risk Exposure","Normal")</f>
        <v>High Risk Exposure</v>
      </c>
      <c r="T1727" t="str" cm="1">
        <f t="array" ref="T1727">_xlfn.IFS(
Loans[[#This Row],[LoanStatus]]="Default","Critical",
OR(Loans[[#This Row],[LoanStatus]]="Watchlist",Loans[[#This Row],[CollateralRisk]]="Undersecured",Loans[[#This Row],[RiskCategory]]="High Risk"),"High",
TRUE,"Normal"
)</f>
        <v>High</v>
      </c>
    </row>
    <row r="1728" spans="1:20" x14ac:dyDescent="0.35">
      <c r="A1728" t="s">
        <v>2551</v>
      </c>
      <c r="B1728" t="s">
        <v>545</v>
      </c>
      <c r="C1728" t="s">
        <v>174</v>
      </c>
      <c r="D1728" t="s">
        <v>155</v>
      </c>
      <c r="E1728" s="34">
        <v>1000000</v>
      </c>
      <c r="F1728" s="29">
        <v>0.24970000000000001</v>
      </c>
      <c r="G1728" s="30">
        <v>44186</v>
      </c>
      <c r="H1728">
        <v>36</v>
      </c>
      <c r="I1728">
        <v>0</v>
      </c>
      <c r="J1728" s="34">
        <v>0</v>
      </c>
      <c r="K1728" t="s">
        <v>171</v>
      </c>
      <c r="L1728" s="34">
        <f>PMT(Loans[[#This Row],[InterestRate]]/12,Loans[[#This Row],[LoanTenureMonths]],-Loans[[#This Row],[LoanAmount]])</f>
        <v>39743.960995869173</v>
      </c>
      <c r="M1728" s="30">
        <f>EDATE(Loans[[#This Row],[LoanStartDate]],Loans[[#This Row],[LoanTenureMonths]])</f>
        <v>45281</v>
      </c>
      <c r="N1728" s="33">
        <f>IF(Loans[[#This Row],[LoanAmount]]=0,0,Loans[[#This Row],[CollateralValue]]/Loans[[#This Row],[LoanAmount]])</f>
        <v>0</v>
      </c>
      <c r="O1728" t="str">
        <f>IF(Loans[[#This Row],[CollateralCoverageRatio]]&lt;1,"Undersecured","Secured")</f>
        <v>Undersecured</v>
      </c>
      <c r="P1728" t="str">
        <f>_xlfn.XLOOKUP(Loans[[#This Row],[BranchCode]],BranchesTbl[BranchCode],BranchesTbl[BranchName])</f>
        <v>Westlands</v>
      </c>
      <c r="Q1728">
        <f>_xlfn.XLOOKUP(Loans[[#This Row],[CustomerID]],CustomerTbl[CustomerID],CustomerTbl[RiskScore])</f>
        <v>804</v>
      </c>
      <c r="R1728" t="str">
        <f>IFERROR(INDEX(RiskTbl[Risk_Category],MATCH(Loans[[#This Row],[RiskScore]],RiskTbl[Score_Min],1)),"Unknown")</f>
        <v>Prime</v>
      </c>
      <c r="S1728" t="str">
        <f>IF(OR(Loans[[#This Row],[LoanStatus]]="Default",Loans[[#This Row],[LoanStatus]]="Watchlist",Loans[[#This Row],[CollateralRisk]]="Undersecured",Loans[[#This Row],[RiskCategory]]="High Risk"),"High Risk Exposure","Normal")</f>
        <v>High Risk Exposure</v>
      </c>
      <c r="T1728" t="str" cm="1">
        <f t="array" ref="T1728">_xlfn.IFS(
Loans[[#This Row],[LoanStatus]]="Default","Critical",
OR(Loans[[#This Row],[LoanStatus]]="Watchlist",Loans[[#This Row],[CollateralRisk]]="Undersecured",Loans[[#This Row],[RiskCategory]]="High Risk"),"High",
TRUE,"Normal"
)</f>
        <v>High</v>
      </c>
    </row>
    <row r="1729" spans="1:20" x14ac:dyDescent="0.35">
      <c r="A1729" t="s">
        <v>2552</v>
      </c>
      <c r="B1729" t="s">
        <v>186</v>
      </c>
      <c r="C1729" t="s">
        <v>270</v>
      </c>
      <c r="D1729" t="s">
        <v>156</v>
      </c>
      <c r="E1729" s="34">
        <v>3000000</v>
      </c>
      <c r="F1729" s="29">
        <v>0.2079</v>
      </c>
      <c r="G1729" s="30">
        <v>45796</v>
      </c>
      <c r="H1729">
        <v>48</v>
      </c>
      <c r="I1729">
        <v>0</v>
      </c>
      <c r="J1729" s="34">
        <v>3030000</v>
      </c>
      <c r="K1729" t="s">
        <v>171</v>
      </c>
      <c r="L1729" s="34">
        <f>PMT(Loans[[#This Row],[InterestRate]]/12,Loans[[#This Row],[LoanTenureMonths]],-Loans[[#This Row],[LoanAmount]])</f>
        <v>92558.564697989277</v>
      </c>
      <c r="M1729" s="30">
        <f>EDATE(Loans[[#This Row],[LoanStartDate]],Loans[[#This Row],[LoanTenureMonths]])</f>
        <v>47257</v>
      </c>
      <c r="N1729" s="33">
        <f>IF(Loans[[#This Row],[LoanAmount]]=0,0,Loans[[#This Row],[CollateralValue]]/Loans[[#This Row],[LoanAmount]])</f>
        <v>1.01</v>
      </c>
      <c r="O1729" t="str">
        <f>IF(Loans[[#This Row],[CollateralCoverageRatio]]&lt;1,"Undersecured","Secured")</f>
        <v>Secured</v>
      </c>
      <c r="P1729" t="str">
        <f>_xlfn.XLOOKUP(Loans[[#This Row],[BranchCode]],BranchesTbl[BranchCode],BranchesTbl[BranchName])</f>
        <v>Nakuru</v>
      </c>
      <c r="Q1729">
        <f>_xlfn.XLOOKUP(Loans[[#This Row],[CustomerID]],CustomerTbl[CustomerID],CustomerTbl[RiskScore])</f>
        <v>587</v>
      </c>
      <c r="R1729" t="str">
        <f>IFERROR(INDEX(RiskTbl[Risk_Category],MATCH(Loans[[#This Row],[RiskScore]],RiskTbl[Score_Min],1)),"Unknown")</f>
        <v>Medium Risk</v>
      </c>
      <c r="S1729" t="str">
        <f>IF(OR(Loans[[#This Row],[LoanStatus]]="Default",Loans[[#This Row],[LoanStatus]]="Watchlist",Loans[[#This Row],[CollateralRisk]]="Undersecured",Loans[[#This Row],[RiskCategory]]="High Risk"),"High Risk Exposure","Normal")</f>
        <v>Normal</v>
      </c>
      <c r="T1729" t="str" cm="1">
        <f t="array" ref="T1729">_xlfn.IFS(
Loans[[#This Row],[LoanStatus]]="Default","Critical",
OR(Loans[[#This Row],[LoanStatus]]="Watchlist",Loans[[#This Row],[CollateralRisk]]="Undersecured",Loans[[#This Row],[RiskCategory]]="High Risk"),"High",
TRUE,"Normal"
)</f>
        <v>Normal</v>
      </c>
    </row>
    <row r="1730" spans="1:20" x14ac:dyDescent="0.35">
      <c r="A1730" t="s">
        <v>2553</v>
      </c>
      <c r="B1730" t="s">
        <v>1988</v>
      </c>
      <c r="C1730" t="s">
        <v>170</v>
      </c>
      <c r="D1730" t="s">
        <v>158</v>
      </c>
      <c r="E1730" s="34">
        <v>6000000</v>
      </c>
      <c r="F1730" s="29">
        <v>0.1978</v>
      </c>
      <c r="G1730" s="30">
        <v>45166</v>
      </c>
      <c r="H1730">
        <v>72</v>
      </c>
      <c r="I1730">
        <v>10</v>
      </c>
      <c r="J1730" s="34">
        <v>4680000</v>
      </c>
      <c r="K1730" t="s">
        <v>171</v>
      </c>
      <c r="L1730" s="34">
        <f>PMT(Loans[[#This Row],[InterestRate]]/12,Loans[[#This Row],[LoanTenureMonths]],-Loans[[#This Row],[LoanAmount]])</f>
        <v>142952.84000170318</v>
      </c>
      <c r="M1730" s="30">
        <f>EDATE(Loans[[#This Row],[LoanStartDate]],Loans[[#This Row],[LoanTenureMonths]])</f>
        <v>47358</v>
      </c>
      <c r="N1730" s="33">
        <f>IF(Loans[[#This Row],[LoanAmount]]=0,0,Loans[[#This Row],[CollateralValue]]/Loans[[#This Row],[LoanAmount]])</f>
        <v>0.78</v>
      </c>
      <c r="O1730" t="str">
        <f>IF(Loans[[#This Row],[CollateralCoverageRatio]]&lt;1,"Undersecured","Secured")</f>
        <v>Undersecured</v>
      </c>
      <c r="P1730" t="str">
        <f>_xlfn.XLOOKUP(Loans[[#This Row],[BranchCode]],BranchesTbl[BranchCode],BranchesTbl[BranchName])</f>
        <v>Thika</v>
      </c>
      <c r="Q1730">
        <f>_xlfn.XLOOKUP(Loans[[#This Row],[CustomerID]],CustomerTbl[CustomerID],CustomerTbl[RiskScore])</f>
        <v>833</v>
      </c>
      <c r="R1730" t="str">
        <f>IFERROR(INDEX(RiskTbl[Risk_Category],MATCH(Loans[[#This Row],[RiskScore]],RiskTbl[Score_Min],1)),"Unknown")</f>
        <v>Prime</v>
      </c>
      <c r="S1730" t="str">
        <f>IF(OR(Loans[[#This Row],[LoanStatus]]="Default",Loans[[#This Row],[LoanStatus]]="Watchlist",Loans[[#This Row],[CollateralRisk]]="Undersecured",Loans[[#This Row],[RiskCategory]]="High Risk"),"High Risk Exposure","Normal")</f>
        <v>High Risk Exposure</v>
      </c>
      <c r="T1730" t="str" cm="1">
        <f t="array" ref="T1730">_xlfn.IFS(
Loans[[#This Row],[LoanStatus]]="Default","Critical",
OR(Loans[[#This Row],[LoanStatus]]="Watchlist",Loans[[#This Row],[CollateralRisk]]="Undersecured",Loans[[#This Row],[RiskCategory]]="High Risk"),"High",
TRUE,"Normal"
)</f>
        <v>High</v>
      </c>
    </row>
    <row r="1731" spans="1:20" x14ac:dyDescent="0.35">
      <c r="A1731" t="s">
        <v>2554</v>
      </c>
      <c r="B1731" t="s">
        <v>735</v>
      </c>
      <c r="C1731" t="s">
        <v>193</v>
      </c>
      <c r="D1731" t="s">
        <v>156</v>
      </c>
      <c r="E1731" s="34">
        <v>1000000</v>
      </c>
      <c r="F1731" s="29">
        <v>0.19370000000000001</v>
      </c>
      <c r="G1731" s="30">
        <v>45996</v>
      </c>
      <c r="H1731">
        <v>24</v>
      </c>
      <c r="I1731">
        <v>0</v>
      </c>
      <c r="J1731" s="34">
        <v>1250000</v>
      </c>
      <c r="K1731" t="s">
        <v>171</v>
      </c>
      <c r="L1731" s="34">
        <f>PMT(Loans[[#This Row],[InterestRate]]/12,Loans[[#This Row],[LoanTenureMonths]],-Loans[[#This Row],[LoanAmount]])</f>
        <v>50588.564990638442</v>
      </c>
      <c r="M1731" s="30">
        <f>EDATE(Loans[[#This Row],[LoanStartDate]],Loans[[#This Row],[LoanTenureMonths]])</f>
        <v>46726</v>
      </c>
      <c r="N1731" s="33">
        <f>IF(Loans[[#This Row],[LoanAmount]]=0,0,Loans[[#This Row],[CollateralValue]]/Loans[[#This Row],[LoanAmount]])</f>
        <v>1.25</v>
      </c>
      <c r="O1731" t="str">
        <f>IF(Loans[[#This Row],[CollateralCoverageRatio]]&lt;1,"Undersecured","Secured")</f>
        <v>Secured</v>
      </c>
      <c r="P1731" t="str">
        <f>_xlfn.XLOOKUP(Loans[[#This Row],[BranchCode]],BranchesTbl[BranchCode],BranchesTbl[BranchName])</f>
        <v>Mombasa</v>
      </c>
      <c r="Q1731">
        <f>_xlfn.XLOOKUP(Loans[[#This Row],[CustomerID]],CustomerTbl[CustomerID],CustomerTbl[RiskScore])</f>
        <v>318</v>
      </c>
      <c r="R1731" t="str">
        <f>IFERROR(INDEX(RiskTbl[Risk_Category],MATCH(Loans[[#This Row],[RiskScore]],RiskTbl[Score_Min],1)),"Unknown")</f>
        <v>High Risk</v>
      </c>
      <c r="S1731" t="str">
        <f>IF(OR(Loans[[#This Row],[LoanStatus]]="Default",Loans[[#This Row],[LoanStatus]]="Watchlist",Loans[[#This Row],[CollateralRisk]]="Undersecured",Loans[[#This Row],[RiskCategory]]="High Risk"),"High Risk Exposure","Normal")</f>
        <v>High Risk Exposure</v>
      </c>
      <c r="T1731" t="str" cm="1">
        <f t="array" ref="T1731">_xlfn.IFS(
Loans[[#This Row],[LoanStatus]]="Default","Critical",
OR(Loans[[#This Row],[LoanStatus]]="Watchlist",Loans[[#This Row],[CollateralRisk]]="Undersecured",Loans[[#This Row],[RiskCategory]]="High Risk"),"High",
TRUE,"Normal"
)</f>
        <v>High</v>
      </c>
    </row>
    <row r="1732" spans="1:20" x14ac:dyDescent="0.35">
      <c r="A1732" t="s">
        <v>2555</v>
      </c>
      <c r="B1732" t="s">
        <v>2091</v>
      </c>
      <c r="C1732" t="s">
        <v>187</v>
      </c>
      <c r="D1732" t="s">
        <v>157</v>
      </c>
      <c r="E1732" s="34">
        <v>80000000</v>
      </c>
      <c r="F1732" s="29">
        <v>0.1114</v>
      </c>
      <c r="G1732" s="30">
        <v>45914</v>
      </c>
      <c r="H1732">
        <v>48</v>
      </c>
      <c r="I1732">
        <v>0</v>
      </c>
      <c r="J1732" s="34">
        <v>86400000</v>
      </c>
      <c r="K1732" t="s">
        <v>171</v>
      </c>
      <c r="L1732" s="34">
        <f>PMT(Loans[[#This Row],[InterestRate]]/12,Loans[[#This Row],[LoanTenureMonths]],-Loans[[#This Row],[LoanAmount]])</f>
        <v>2073085.0793323508</v>
      </c>
      <c r="M1732" s="30">
        <f>EDATE(Loans[[#This Row],[LoanStartDate]],Loans[[#This Row],[LoanTenureMonths]])</f>
        <v>47375</v>
      </c>
      <c r="N1732" s="33">
        <f>IF(Loans[[#This Row],[LoanAmount]]=0,0,Loans[[#This Row],[CollateralValue]]/Loans[[#This Row],[LoanAmount]])</f>
        <v>1.08</v>
      </c>
      <c r="O1732" t="str">
        <f>IF(Loans[[#This Row],[CollateralCoverageRatio]]&lt;1,"Undersecured","Secured")</f>
        <v>Secured</v>
      </c>
      <c r="P1732" t="str">
        <f>_xlfn.XLOOKUP(Loans[[#This Row],[BranchCode]],BranchesTbl[BranchCode],BranchesTbl[BranchName])</f>
        <v>Eldoret</v>
      </c>
      <c r="Q1732">
        <f>_xlfn.XLOOKUP(Loans[[#This Row],[CustomerID]],CustomerTbl[CustomerID],CustomerTbl[RiskScore])</f>
        <v>554</v>
      </c>
      <c r="R1732" t="str">
        <f>IFERROR(INDEX(RiskTbl[Risk_Category],MATCH(Loans[[#This Row],[RiskScore]],RiskTbl[Score_Min],1)),"Unknown")</f>
        <v>High Risk</v>
      </c>
      <c r="S1732" t="str">
        <f>IF(OR(Loans[[#This Row],[LoanStatus]]="Default",Loans[[#This Row],[LoanStatus]]="Watchlist",Loans[[#This Row],[CollateralRisk]]="Undersecured",Loans[[#This Row],[RiskCategory]]="High Risk"),"High Risk Exposure","Normal")</f>
        <v>High Risk Exposure</v>
      </c>
      <c r="T1732" t="str" cm="1">
        <f t="array" ref="T1732">_xlfn.IFS(
Loans[[#This Row],[LoanStatus]]="Default","Critical",
OR(Loans[[#This Row],[LoanStatus]]="Watchlist",Loans[[#This Row],[CollateralRisk]]="Undersecured",Loans[[#This Row],[RiskCategory]]="High Risk"),"High",
TRUE,"Normal"
)</f>
        <v>High</v>
      </c>
    </row>
    <row r="1733" spans="1:20" x14ac:dyDescent="0.35">
      <c r="A1733" t="s">
        <v>2556</v>
      </c>
      <c r="B1733" t="s">
        <v>292</v>
      </c>
      <c r="C1733" t="s">
        <v>174</v>
      </c>
      <c r="D1733" t="s">
        <v>156</v>
      </c>
      <c r="E1733" s="34">
        <v>1000000</v>
      </c>
      <c r="F1733" s="29">
        <v>0.15659999999999999</v>
      </c>
      <c r="G1733" s="30">
        <v>44602</v>
      </c>
      <c r="H1733">
        <v>24</v>
      </c>
      <c r="I1733">
        <v>0</v>
      </c>
      <c r="J1733" s="34">
        <v>570000</v>
      </c>
      <c r="K1733" t="s">
        <v>171</v>
      </c>
      <c r="L1733" s="34">
        <f>PMT(Loans[[#This Row],[InterestRate]]/12,Loans[[#This Row],[LoanTenureMonths]],-Loans[[#This Row],[LoanAmount]])</f>
        <v>48800.811002074639</v>
      </c>
      <c r="M1733" s="30">
        <f>EDATE(Loans[[#This Row],[LoanStartDate]],Loans[[#This Row],[LoanTenureMonths]])</f>
        <v>45332</v>
      </c>
      <c r="N1733" s="33">
        <f>IF(Loans[[#This Row],[LoanAmount]]=0,0,Loans[[#This Row],[CollateralValue]]/Loans[[#This Row],[LoanAmount]])</f>
        <v>0.56999999999999995</v>
      </c>
      <c r="O1733" t="str">
        <f>IF(Loans[[#This Row],[CollateralCoverageRatio]]&lt;1,"Undersecured","Secured")</f>
        <v>Undersecured</v>
      </c>
      <c r="P1733" t="str">
        <f>_xlfn.XLOOKUP(Loans[[#This Row],[BranchCode]],BranchesTbl[BranchCode],BranchesTbl[BranchName])</f>
        <v>Westlands</v>
      </c>
      <c r="Q1733">
        <f>_xlfn.XLOOKUP(Loans[[#This Row],[CustomerID]],CustomerTbl[CustomerID],CustomerTbl[RiskScore])</f>
        <v>831</v>
      </c>
      <c r="R1733" t="str">
        <f>IFERROR(INDEX(RiskTbl[Risk_Category],MATCH(Loans[[#This Row],[RiskScore]],RiskTbl[Score_Min],1)),"Unknown")</f>
        <v>Prime</v>
      </c>
      <c r="S1733" t="str">
        <f>IF(OR(Loans[[#This Row],[LoanStatus]]="Default",Loans[[#This Row],[LoanStatus]]="Watchlist",Loans[[#This Row],[CollateralRisk]]="Undersecured",Loans[[#This Row],[RiskCategory]]="High Risk"),"High Risk Exposure","Normal")</f>
        <v>High Risk Exposure</v>
      </c>
      <c r="T1733" t="str" cm="1">
        <f t="array" ref="T1733">_xlfn.IFS(
Loans[[#This Row],[LoanStatus]]="Default","Critical",
OR(Loans[[#This Row],[LoanStatus]]="Watchlist",Loans[[#This Row],[CollateralRisk]]="Undersecured",Loans[[#This Row],[RiskCategory]]="High Risk"),"High",
TRUE,"Normal"
)</f>
        <v>High</v>
      </c>
    </row>
    <row r="1734" spans="1:20" x14ac:dyDescent="0.35">
      <c r="A1734" t="s">
        <v>2557</v>
      </c>
      <c r="B1734" t="s">
        <v>1865</v>
      </c>
      <c r="C1734" t="s">
        <v>270</v>
      </c>
      <c r="D1734" t="s">
        <v>157</v>
      </c>
      <c r="E1734" s="34">
        <v>25000000</v>
      </c>
      <c r="F1734" s="29">
        <v>0.1182</v>
      </c>
      <c r="G1734" s="30">
        <v>44263</v>
      </c>
      <c r="H1734">
        <v>48</v>
      </c>
      <c r="I1734">
        <v>0</v>
      </c>
      <c r="J1734" s="34">
        <v>18250000</v>
      </c>
      <c r="K1734" t="s">
        <v>171</v>
      </c>
      <c r="L1734" s="34">
        <f>PMT(Loans[[#This Row],[InterestRate]]/12,Loans[[#This Row],[LoanTenureMonths]],-Loans[[#This Row],[LoanAmount]])</f>
        <v>656138.5923381442</v>
      </c>
      <c r="M1734" s="30">
        <f>EDATE(Loans[[#This Row],[LoanStartDate]],Loans[[#This Row],[LoanTenureMonths]])</f>
        <v>45724</v>
      </c>
      <c r="N1734" s="33">
        <f>IF(Loans[[#This Row],[LoanAmount]]=0,0,Loans[[#This Row],[CollateralValue]]/Loans[[#This Row],[LoanAmount]])</f>
        <v>0.73</v>
      </c>
      <c r="O1734" t="str">
        <f>IF(Loans[[#This Row],[CollateralCoverageRatio]]&lt;1,"Undersecured","Secured")</f>
        <v>Undersecured</v>
      </c>
      <c r="P1734" t="str">
        <f>_xlfn.XLOOKUP(Loans[[#This Row],[BranchCode]],BranchesTbl[BranchCode],BranchesTbl[BranchName])</f>
        <v>Nakuru</v>
      </c>
      <c r="Q1734">
        <f>_xlfn.XLOOKUP(Loans[[#This Row],[CustomerID]],CustomerTbl[CustomerID],CustomerTbl[RiskScore])</f>
        <v>635</v>
      </c>
      <c r="R1734" t="str">
        <f>IFERROR(INDEX(RiskTbl[Risk_Category],MATCH(Loans[[#This Row],[RiskScore]],RiskTbl[Score_Min],1)),"Unknown")</f>
        <v>Medium Risk</v>
      </c>
      <c r="S1734" t="str">
        <f>IF(OR(Loans[[#This Row],[LoanStatus]]="Default",Loans[[#This Row],[LoanStatus]]="Watchlist",Loans[[#This Row],[CollateralRisk]]="Undersecured",Loans[[#This Row],[RiskCategory]]="High Risk"),"High Risk Exposure","Normal")</f>
        <v>High Risk Exposure</v>
      </c>
      <c r="T1734" t="str" cm="1">
        <f t="array" ref="T1734">_xlfn.IFS(
Loans[[#This Row],[LoanStatus]]="Default","Critical",
OR(Loans[[#This Row],[LoanStatus]]="Watchlist",Loans[[#This Row],[CollateralRisk]]="Undersecured",Loans[[#This Row],[RiskCategory]]="High Risk"),"High",
TRUE,"Normal"
)</f>
        <v>High</v>
      </c>
    </row>
    <row r="1735" spans="1:20" x14ac:dyDescent="0.35">
      <c r="A1735" t="s">
        <v>2558</v>
      </c>
      <c r="B1735" t="s">
        <v>1003</v>
      </c>
      <c r="C1735" t="s">
        <v>184</v>
      </c>
      <c r="D1735" t="s">
        <v>157</v>
      </c>
      <c r="E1735" s="34">
        <v>6000000</v>
      </c>
      <c r="F1735" s="29">
        <v>0.1018</v>
      </c>
      <c r="G1735" s="30">
        <v>44170</v>
      </c>
      <c r="H1735">
        <v>24</v>
      </c>
      <c r="I1735">
        <v>45</v>
      </c>
      <c r="J1735" s="34">
        <v>3840000</v>
      </c>
      <c r="K1735" t="s">
        <v>199</v>
      </c>
      <c r="L1735" s="34">
        <f>PMT(Loans[[#This Row],[InterestRate]]/12,Loans[[#This Row],[LoanTenureMonths]],-Loans[[#This Row],[LoanAmount]])</f>
        <v>277368.2959281251</v>
      </c>
      <c r="M1735" s="30">
        <f>EDATE(Loans[[#This Row],[LoanStartDate]],Loans[[#This Row],[LoanTenureMonths]])</f>
        <v>44900</v>
      </c>
      <c r="N1735" s="33">
        <f>IF(Loans[[#This Row],[LoanAmount]]=0,0,Loans[[#This Row],[CollateralValue]]/Loans[[#This Row],[LoanAmount]])</f>
        <v>0.64</v>
      </c>
      <c r="O1735" t="str">
        <f>IF(Loans[[#This Row],[CollateralCoverageRatio]]&lt;1,"Undersecured","Secured")</f>
        <v>Undersecured</v>
      </c>
      <c r="P1735" t="str">
        <f>_xlfn.XLOOKUP(Loans[[#This Row],[BranchCode]],BranchesTbl[BranchCode],BranchesTbl[BranchName])</f>
        <v>Kisumu</v>
      </c>
      <c r="Q1735">
        <f>_xlfn.XLOOKUP(Loans[[#This Row],[CustomerID]],CustomerTbl[CustomerID],CustomerTbl[RiskScore])</f>
        <v>844</v>
      </c>
      <c r="R1735" t="str">
        <f>IFERROR(INDEX(RiskTbl[Risk_Category],MATCH(Loans[[#This Row],[RiskScore]],RiskTbl[Score_Min],1)),"Unknown")</f>
        <v>Prime</v>
      </c>
      <c r="S1735" t="str">
        <f>IF(OR(Loans[[#This Row],[LoanStatus]]="Default",Loans[[#This Row],[LoanStatus]]="Watchlist",Loans[[#This Row],[CollateralRisk]]="Undersecured",Loans[[#This Row],[RiskCategory]]="High Risk"),"High Risk Exposure","Normal")</f>
        <v>High Risk Exposure</v>
      </c>
      <c r="T1735" t="str" cm="1">
        <f t="array" ref="T1735">_xlfn.IFS(
Loans[[#This Row],[LoanStatus]]="Default","Critical",
OR(Loans[[#This Row],[LoanStatus]]="Watchlist",Loans[[#This Row],[CollateralRisk]]="Undersecured",Loans[[#This Row],[RiskCategory]]="High Risk"),"High",
TRUE,"Normal"
)</f>
        <v>High</v>
      </c>
    </row>
    <row r="1736" spans="1:20" x14ac:dyDescent="0.35">
      <c r="A1736" t="s">
        <v>2559</v>
      </c>
      <c r="B1736" t="s">
        <v>524</v>
      </c>
      <c r="C1736" t="s">
        <v>206</v>
      </c>
      <c r="D1736" t="s">
        <v>157</v>
      </c>
      <c r="E1736" s="34">
        <v>80000000</v>
      </c>
      <c r="F1736" s="29">
        <v>0.12859999999999999</v>
      </c>
      <c r="G1736" s="30">
        <v>43876</v>
      </c>
      <c r="H1736">
        <v>48</v>
      </c>
      <c r="I1736">
        <v>0</v>
      </c>
      <c r="J1736" s="34">
        <v>116000000</v>
      </c>
      <c r="K1736" t="s">
        <v>171</v>
      </c>
      <c r="L1736" s="34">
        <f>PMT(Loans[[#This Row],[InterestRate]]/12,Loans[[#This Row],[LoanTenureMonths]],-Loans[[#This Row],[LoanAmount]])</f>
        <v>2140645.0009456878</v>
      </c>
      <c r="M1736" s="30">
        <f>EDATE(Loans[[#This Row],[LoanStartDate]],Loans[[#This Row],[LoanTenureMonths]])</f>
        <v>45337</v>
      </c>
      <c r="N1736" s="33">
        <f>IF(Loans[[#This Row],[LoanAmount]]=0,0,Loans[[#This Row],[CollateralValue]]/Loans[[#This Row],[LoanAmount]])</f>
        <v>1.45</v>
      </c>
      <c r="O1736" t="str">
        <f>IF(Loans[[#This Row],[CollateralCoverageRatio]]&lt;1,"Undersecured","Secured")</f>
        <v>Secured</v>
      </c>
      <c r="P1736" t="str">
        <f>_xlfn.XLOOKUP(Loans[[#This Row],[BranchCode]],BranchesTbl[BranchCode],BranchesTbl[BranchName])</f>
        <v>Nyahururu</v>
      </c>
      <c r="Q1736">
        <f>_xlfn.XLOOKUP(Loans[[#This Row],[CustomerID]],CustomerTbl[CustomerID],CustomerTbl[RiskScore])</f>
        <v>842</v>
      </c>
      <c r="R1736" t="str">
        <f>IFERROR(INDEX(RiskTbl[Risk_Category],MATCH(Loans[[#This Row],[RiskScore]],RiskTbl[Score_Min],1)),"Unknown")</f>
        <v>Prime</v>
      </c>
      <c r="S1736" t="str">
        <f>IF(OR(Loans[[#This Row],[LoanStatus]]="Default",Loans[[#This Row],[LoanStatus]]="Watchlist",Loans[[#This Row],[CollateralRisk]]="Undersecured",Loans[[#This Row],[RiskCategory]]="High Risk"),"High Risk Exposure","Normal")</f>
        <v>Normal</v>
      </c>
      <c r="T1736" t="str" cm="1">
        <f t="array" ref="T1736">_xlfn.IFS(
Loans[[#This Row],[LoanStatus]]="Default","Critical",
OR(Loans[[#This Row],[LoanStatus]]="Watchlist",Loans[[#This Row],[CollateralRisk]]="Undersecured",Loans[[#This Row],[RiskCategory]]="High Risk"),"High",
TRUE,"Normal"
)</f>
        <v>Normal</v>
      </c>
    </row>
    <row r="1737" spans="1:20" x14ac:dyDescent="0.35">
      <c r="A1737" t="s">
        <v>2560</v>
      </c>
      <c r="B1737" t="s">
        <v>389</v>
      </c>
      <c r="C1737" t="s">
        <v>270</v>
      </c>
      <c r="D1737" t="s">
        <v>155</v>
      </c>
      <c r="E1737" s="34">
        <v>100000</v>
      </c>
      <c r="F1737" s="29">
        <v>0.22289999999999999</v>
      </c>
      <c r="G1737" s="30">
        <v>43936</v>
      </c>
      <c r="H1737">
        <v>36</v>
      </c>
      <c r="I1737">
        <v>20</v>
      </c>
      <c r="J1737" s="34">
        <v>0</v>
      </c>
      <c r="K1737" t="s">
        <v>171</v>
      </c>
      <c r="L1737" s="34">
        <f>PMT(Loans[[#This Row],[InterestRate]]/12,Loans[[#This Row],[LoanTenureMonths]],-Loans[[#This Row],[LoanAmount]])</f>
        <v>3834.064217016276</v>
      </c>
      <c r="M1737" s="30">
        <f>EDATE(Loans[[#This Row],[LoanStartDate]],Loans[[#This Row],[LoanTenureMonths]])</f>
        <v>45031</v>
      </c>
      <c r="N1737" s="33">
        <f>IF(Loans[[#This Row],[LoanAmount]]=0,0,Loans[[#This Row],[CollateralValue]]/Loans[[#This Row],[LoanAmount]])</f>
        <v>0</v>
      </c>
      <c r="O1737" t="str">
        <f>IF(Loans[[#This Row],[CollateralCoverageRatio]]&lt;1,"Undersecured","Secured")</f>
        <v>Undersecured</v>
      </c>
      <c r="P1737" t="str">
        <f>_xlfn.XLOOKUP(Loans[[#This Row],[BranchCode]],BranchesTbl[BranchCode],BranchesTbl[BranchName])</f>
        <v>Nakuru</v>
      </c>
      <c r="Q1737">
        <f>_xlfn.XLOOKUP(Loans[[#This Row],[CustomerID]],CustomerTbl[CustomerID],CustomerTbl[RiskScore])</f>
        <v>488</v>
      </c>
      <c r="R1737" t="str">
        <f>IFERROR(INDEX(RiskTbl[Risk_Category],MATCH(Loans[[#This Row],[RiskScore]],RiskTbl[Score_Min],1)),"Unknown")</f>
        <v>High Risk</v>
      </c>
      <c r="S1737" t="str">
        <f>IF(OR(Loans[[#This Row],[LoanStatus]]="Default",Loans[[#This Row],[LoanStatus]]="Watchlist",Loans[[#This Row],[CollateralRisk]]="Undersecured",Loans[[#This Row],[RiskCategory]]="High Risk"),"High Risk Exposure","Normal")</f>
        <v>High Risk Exposure</v>
      </c>
      <c r="T1737" t="str" cm="1">
        <f t="array" ref="T1737">_xlfn.IFS(
Loans[[#This Row],[LoanStatus]]="Default","Critical",
OR(Loans[[#This Row],[LoanStatus]]="Watchlist",Loans[[#This Row],[CollateralRisk]]="Undersecured",Loans[[#This Row],[RiskCategory]]="High Risk"),"High",
TRUE,"Normal"
)</f>
        <v>High</v>
      </c>
    </row>
    <row r="1738" spans="1:20" x14ac:dyDescent="0.35">
      <c r="A1738" t="s">
        <v>2561</v>
      </c>
      <c r="B1738" t="s">
        <v>1615</v>
      </c>
      <c r="C1738" t="s">
        <v>181</v>
      </c>
      <c r="D1738" t="s">
        <v>158</v>
      </c>
      <c r="E1738" s="34">
        <v>6000000</v>
      </c>
      <c r="F1738" s="29">
        <v>0.1421</v>
      </c>
      <c r="G1738" s="30">
        <v>44232</v>
      </c>
      <c r="H1738">
        <v>48</v>
      </c>
      <c r="I1738">
        <v>5</v>
      </c>
      <c r="J1738" s="34">
        <v>5640000</v>
      </c>
      <c r="K1738" t="s">
        <v>171</v>
      </c>
      <c r="L1738" s="34">
        <f>PMT(Loans[[#This Row],[InterestRate]]/12,Loans[[#This Row],[LoanTenureMonths]],-Loans[[#This Row],[LoanAmount]])</f>
        <v>164591.61396255967</v>
      </c>
      <c r="M1738" s="30">
        <f>EDATE(Loans[[#This Row],[LoanStartDate]],Loans[[#This Row],[LoanTenureMonths]])</f>
        <v>45693</v>
      </c>
      <c r="N1738" s="33">
        <f>IF(Loans[[#This Row],[LoanAmount]]=0,0,Loans[[#This Row],[CollateralValue]]/Loans[[#This Row],[LoanAmount]])</f>
        <v>0.94</v>
      </c>
      <c r="O1738" t="str">
        <f>IF(Loans[[#This Row],[CollateralCoverageRatio]]&lt;1,"Undersecured","Secured")</f>
        <v>Undersecured</v>
      </c>
      <c r="P1738" t="str">
        <f>_xlfn.XLOOKUP(Loans[[#This Row],[BranchCode]],BranchesTbl[BranchCode],BranchesTbl[BranchName])</f>
        <v>Kitale</v>
      </c>
      <c r="Q1738">
        <f>_xlfn.XLOOKUP(Loans[[#This Row],[CustomerID]],CustomerTbl[CustomerID],CustomerTbl[RiskScore])</f>
        <v>834</v>
      </c>
      <c r="R1738" t="str">
        <f>IFERROR(INDEX(RiskTbl[Risk_Category],MATCH(Loans[[#This Row],[RiskScore]],RiskTbl[Score_Min],1)),"Unknown")</f>
        <v>Prime</v>
      </c>
      <c r="S1738" t="str">
        <f>IF(OR(Loans[[#This Row],[LoanStatus]]="Default",Loans[[#This Row],[LoanStatus]]="Watchlist",Loans[[#This Row],[CollateralRisk]]="Undersecured",Loans[[#This Row],[RiskCategory]]="High Risk"),"High Risk Exposure","Normal")</f>
        <v>High Risk Exposure</v>
      </c>
      <c r="T1738" t="str" cm="1">
        <f t="array" ref="T1738">_xlfn.IFS(
Loans[[#This Row],[LoanStatus]]="Default","Critical",
OR(Loans[[#This Row],[LoanStatus]]="Watchlist",Loans[[#This Row],[CollateralRisk]]="Undersecured",Loans[[#This Row],[RiskCategory]]="High Risk"),"High",
TRUE,"Normal"
)</f>
        <v>High</v>
      </c>
    </row>
    <row r="1739" spans="1:20" x14ac:dyDescent="0.35">
      <c r="A1739" t="s">
        <v>2562</v>
      </c>
      <c r="B1739" t="s">
        <v>718</v>
      </c>
      <c r="C1739" t="s">
        <v>193</v>
      </c>
      <c r="D1739" t="s">
        <v>156</v>
      </c>
      <c r="E1739" s="34">
        <v>6000000</v>
      </c>
      <c r="F1739" s="29">
        <v>0.1406</v>
      </c>
      <c r="G1739" s="30">
        <v>45573</v>
      </c>
      <c r="H1739">
        <v>12</v>
      </c>
      <c r="I1739">
        <v>10</v>
      </c>
      <c r="J1739" s="34">
        <v>4440000</v>
      </c>
      <c r="K1739" t="s">
        <v>171</v>
      </c>
      <c r="L1739" s="34">
        <f>PMT(Loans[[#This Row],[InterestRate]]/12,Loans[[#This Row],[LoanTenureMonths]],-Loans[[#This Row],[LoanAmount]])</f>
        <v>538892.10699526116</v>
      </c>
      <c r="M1739" s="30">
        <f>EDATE(Loans[[#This Row],[LoanStartDate]],Loans[[#This Row],[LoanTenureMonths]])</f>
        <v>45938</v>
      </c>
      <c r="N1739" s="33">
        <f>IF(Loans[[#This Row],[LoanAmount]]=0,0,Loans[[#This Row],[CollateralValue]]/Loans[[#This Row],[LoanAmount]])</f>
        <v>0.74</v>
      </c>
      <c r="O1739" t="str">
        <f>IF(Loans[[#This Row],[CollateralCoverageRatio]]&lt;1,"Undersecured","Secured")</f>
        <v>Undersecured</v>
      </c>
      <c r="P1739" t="str">
        <f>_xlfn.XLOOKUP(Loans[[#This Row],[BranchCode]],BranchesTbl[BranchCode],BranchesTbl[BranchName])</f>
        <v>Mombasa</v>
      </c>
      <c r="Q1739">
        <f>_xlfn.XLOOKUP(Loans[[#This Row],[CustomerID]],CustomerTbl[CustomerID],CustomerTbl[RiskScore])</f>
        <v>751</v>
      </c>
      <c r="R1739" t="str">
        <f>IFERROR(INDEX(RiskTbl[Risk_Category],MATCH(Loans[[#This Row],[RiskScore]],RiskTbl[Score_Min],1)),"Unknown")</f>
        <v>Very Low Risk</v>
      </c>
      <c r="S1739" t="str">
        <f>IF(OR(Loans[[#This Row],[LoanStatus]]="Default",Loans[[#This Row],[LoanStatus]]="Watchlist",Loans[[#This Row],[CollateralRisk]]="Undersecured",Loans[[#This Row],[RiskCategory]]="High Risk"),"High Risk Exposure","Normal")</f>
        <v>High Risk Exposure</v>
      </c>
      <c r="T1739" t="str" cm="1">
        <f t="array" ref="T1739">_xlfn.IFS(
Loans[[#This Row],[LoanStatus]]="Default","Critical",
OR(Loans[[#This Row],[LoanStatus]]="Watchlist",Loans[[#This Row],[CollateralRisk]]="Undersecured",Loans[[#This Row],[RiskCategory]]="High Risk"),"High",
TRUE,"Normal"
)</f>
        <v>High</v>
      </c>
    </row>
    <row r="1740" spans="1:20" x14ac:dyDescent="0.35">
      <c r="A1740" t="s">
        <v>2563</v>
      </c>
      <c r="B1740" t="s">
        <v>258</v>
      </c>
      <c r="C1740" t="s">
        <v>190</v>
      </c>
      <c r="D1740" t="s">
        <v>158</v>
      </c>
      <c r="E1740" s="34">
        <v>500000</v>
      </c>
      <c r="F1740" s="29">
        <v>0.14130000000000001</v>
      </c>
      <c r="G1740" s="30">
        <v>44352</v>
      </c>
      <c r="H1740">
        <v>60</v>
      </c>
      <c r="I1740">
        <v>5</v>
      </c>
      <c r="J1740" s="34">
        <v>390000</v>
      </c>
      <c r="K1740" t="s">
        <v>171</v>
      </c>
      <c r="L1740" s="34">
        <f>PMT(Loans[[#This Row],[InterestRate]]/12,Loans[[#This Row],[LoanTenureMonths]],-Loans[[#This Row],[LoanAmount]])</f>
        <v>11667.851305500893</v>
      </c>
      <c r="M1740" s="30">
        <f>EDATE(Loans[[#This Row],[LoanStartDate]],Loans[[#This Row],[LoanTenureMonths]])</f>
        <v>46178</v>
      </c>
      <c r="N1740" s="33">
        <f>IF(Loans[[#This Row],[LoanAmount]]=0,0,Loans[[#This Row],[CollateralValue]]/Loans[[#This Row],[LoanAmount]])</f>
        <v>0.78</v>
      </c>
      <c r="O1740" t="str">
        <f>IF(Loans[[#This Row],[CollateralCoverageRatio]]&lt;1,"Undersecured","Secured")</f>
        <v>Undersecured</v>
      </c>
      <c r="P1740" t="str">
        <f>_xlfn.XLOOKUP(Loans[[#This Row],[BranchCode]],BranchesTbl[BranchCode],BranchesTbl[BranchName])</f>
        <v>Nyeri</v>
      </c>
      <c r="Q1740">
        <f>_xlfn.XLOOKUP(Loans[[#This Row],[CustomerID]],CustomerTbl[CustomerID],CustomerTbl[RiskScore])</f>
        <v>333</v>
      </c>
      <c r="R1740" t="str">
        <f>IFERROR(INDEX(RiskTbl[Risk_Category],MATCH(Loans[[#This Row],[RiskScore]],RiskTbl[Score_Min],1)),"Unknown")</f>
        <v>High Risk</v>
      </c>
      <c r="S1740" t="str">
        <f>IF(OR(Loans[[#This Row],[LoanStatus]]="Default",Loans[[#This Row],[LoanStatus]]="Watchlist",Loans[[#This Row],[CollateralRisk]]="Undersecured",Loans[[#This Row],[RiskCategory]]="High Risk"),"High Risk Exposure","Normal")</f>
        <v>High Risk Exposure</v>
      </c>
      <c r="T1740" t="str" cm="1">
        <f t="array" ref="T1740">_xlfn.IFS(
Loans[[#This Row],[LoanStatus]]="Default","Critical",
OR(Loans[[#This Row],[LoanStatus]]="Watchlist",Loans[[#This Row],[CollateralRisk]]="Undersecured",Loans[[#This Row],[RiskCategory]]="High Risk"),"High",
TRUE,"Normal"
)</f>
        <v>High</v>
      </c>
    </row>
    <row r="1741" spans="1:20" x14ac:dyDescent="0.35">
      <c r="A1741" t="s">
        <v>2564</v>
      </c>
      <c r="B1741" t="s">
        <v>455</v>
      </c>
      <c r="C1741" t="s">
        <v>232</v>
      </c>
      <c r="D1741" t="s">
        <v>156</v>
      </c>
      <c r="E1741" s="34">
        <v>6000000</v>
      </c>
      <c r="F1741" s="29">
        <v>0.17510000000000001</v>
      </c>
      <c r="G1741" s="30">
        <v>44077</v>
      </c>
      <c r="H1741">
        <v>36</v>
      </c>
      <c r="I1741">
        <v>0</v>
      </c>
      <c r="J1741" s="34">
        <v>5220000</v>
      </c>
      <c r="K1741" t="s">
        <v>171</v>
      </c>
      <c r="L1741" s="34">
        <f>PMT(Loans[[#This Row],[InterestRate]]/12,Loans[[#This Row],[LoanTenureMonths]],-Loans[[#This Row],[LoanAmount]])</f>
        <v>215442.37666796992</v>
      </c>
      <c r="M1741" s="30">
        <f>EDATE(Loans[[#This Row],[LoanStartDate]],Loans[[#This Row],[LoanTenureMonths]])</f>
        <v>45172</v>
      </c>
      <c r="N1741" s="33">
        <f>IF(Loans[[#This Row],[LoanAmount]]=0,0,Loans[[#This Row],[CollateralValue]]/Loans[[#This Row],[LoanAmount]])</f>
        <v>0.87</v>
      </c>
      <c r="O1741" t="str">
        <f>IF(Loans[[#This Row],[CollateralCoverageRatio]]&lt;1,"Undersecured","Secured")</f>
        <v>Undersecured</v>
      </c>
      <c r="P1741" t="str">
        <f>_xlfn.XLOOKUP(Loans[[#This Row],[BranchCode]],BranchesTbl[BranchCode],BranchesTbl[BranchName])</f>
        <v>Upper Hill</v>
      </c>
      <c r="Q1741">
        <f>_xlfn.XLOOKUP(Loans[[#This Row],[CustomerID]],CustomerTbl[CustomerID],CustomerTbl[RiskScore])</f>
        <v>597</v>
      </c>
      <c r="R1741" t="str">
        <f>IFERROR(INDEX(RiskTbl[Risk_Category],MATCH(Loans[[#This Row],[RiskScore]],RiskTbl[Score_Min],1)),"Unknown")</f>
        <v>Medium Risk</v>
      </c>
      <c r="S1741" t="str">
        <f>IF(OR(Loans[[#This Row],[LoanStatus]]="Default",Loans[[#This Row],[LoanStatus]]="Watchlist",Loans[[#This Row],[CollateralRisk]]="Undersecured",Loans[[#This Row],[RiskCategory]]="High Risk"),"High Risk Exposure","Normal")</f>
        <v>High Risk Exposure</v>
      </c>
      <c r="T1741" t="str" cm="1">
        <f t="array" ref="T1741">_xlfn.IFS(
Loans[[#This Row],[LoanStatus]]="Default","Critical",
OR(Loans[[#This Row],[LoanStatus]]="Watchlist",Loans[[#This Row],[CollateralRisk]]="Undersecured",Loans[[#This Row],[RiskCategory]]="High Risk"),"High",
TRUE,"Normal"
)</f>
        <v>High</v>
      </c>
    </row>
    <row r="1742" spans="1:20" x14ac:dyDescent="0.35">
      <c r="A1742" t="s">
        <v>2565</v>
      </c>
      <c r="B1742" t="s">
        <v>490</v>
      </c>
      <c r="C1742" t="s">
        <v>232</v>
      </c>
      <c r="D1742" t="s">
        <v>155</v>
      </c>
      <c r="E1742" s="34">
        <v>100000</v>
      </c>
      <c r="F1742" s="29">
        <v>0.27539999999999998</v>
      </c>
      <c r="G1742" s="30">
        <v>45059</v>
      </c>
      <c r="H1742">
        <v>36</v>
      </c>
      <c r="I1742">
        <v>120</v>
      </c>
      <c r="J1742" s="34">
        <v>0</v>
      </c>
      <c r="K1742" t="s">
        <v>178</v>
      </c>
      <c r="L1742" s="34">
        <f>PMT(Loans[[#This Row],[InterestRate]]/12,Loans[[#This Row],[LoanTenureMonths]],-Loans[[#This Row],[LoanAmount]])</f>
        <v>4111.5468481100743</v>
      </c>
      <c r="M1742" s="30">
        <f>EDATE(Loans[[#This Row],[LoanStartDate]],Loans[[#This Row],[LoanTenureMonths]])</f>
        <v>46155</v>
      </c>
      <c r="N1742" s="33">
        <f>IF(Loans[[#This Row],[LoanAmount]]=0,0,Loans[[#This Row],[CollateralValue]]/Loans[[#This Row],[LoanAmount]])</f>
        <v>0</v>
      </c>
      <c r="O1742" t="str">
        <f>IF(Loans[[#This Row],[CollateralCoverageRatio]]&lt;1,"Undersecured","Secured")</f>
        <v>Undersecured</v>
      </c>
      <c r="P1742" t="str">
        <f>_xlfn.XLOOKUP(Loans[[#This Row],[BranchCode]],BranchesTbl[BranchCode],BranchesTbl[BranchName])</f>
        <v>Upper Hill</v>
      </c>
      <c r="Q1742">
        <f>_xlfn.XLOOKUP(Loans[[#This Row],[CustomerID]],CustomerTbl[CustomerID],CustomerTbl[RiskScore])</f>
        <v>510</v>
      </c>
      <c r="R1742" t="str">
        <f>IFERROR(INDEX(RiskTbl[Risk_Category],MATCH(Loans[[#This Row],[RiskScore]],RiskTbl[Score_Min],1)),"Unknown")</f>
        <v>High Risk</v>
      </c>
      <c r="S1742" t="str">
        <f>IF(OR(Loans[[#This Row],[LoanStatus]]="Default",Loans[[#This Row],[LoanStatus]]="Watchlist",Loans[[#This Row],[CollateralRisk]]="Undersecured",Loans[[#This Row],[RiskCategory]]="High Risk"),"High Risk Exposure","Normal")</f>
        <v>High Risk Exposure</v>
      </c>
      <c r="T1742" t="str" cm="1">
        <f t="array" ref="T1742">_xlfn.IFS(
Loans[[#This Row],[LoanStatus]]="Default","Critical",
OR(Loans[[#This Row],[LoanStatus]]="Watchlist",Loans[[#This Row],[CollateralRisk]]="Undersecured",Loans[[#This Row],[RiskCategory]]="High Risk"),"High",
TRUE,"Normal"
)</f>
        <v>Critical</v>
      </c>
    </row>
    <row r="1743" spans="1:20" x14ac:dyDescent="0.35">
      <c r="A1743" t="s">
        <v>2566</v>
      </c>
      <c r="B1743" t="s">
        <v>689</v>
      </c>
      <c r="C1743" t="s">
        <v>219</v>
      </c>
      <c r="D1743" t="s">
        <v>156</v>
      </c>
      <c r="E1743" s="34">
        <v>6000000</v>
      </c>
      <c r="F1743" s="29">
        <v>0.18959999999999999</v>
      </c>
      <c r="G1743" s="30">
        <v>44794</v>
      </c>
      <c r="H1743">
        <v>60</v>
      </c>
      <c r="I1743">
        <v>0</v>
      </c>
      <c r="J1743" s="34">
        <v>6480000</v>
      </c>
      <c r="K1743" t="s">
        <v>171</v>
      </c>
      <c r="L1743" s="34">
        <f>PMT(Loans[[#This Row],[InterestRate]]/12,Loans[[#This Row],[LoanTenureMonths]],-Loans[[#This Row],[LoanAmount]])</f>
        <v>155511.27933468329</v>
      </c>
      <c r="M1743" s="30">
        <f>EDATE(Loans[[#This Row],[LoanStartDate]],Loans[[#This Row],[LoanTenureMonths]])</f>
        <v>46620</v>
      </c>
      <c r="N1743" s="33">
        <f>IF(Loans[[#This Row],[LoanAmount]]=0,0,Loans[[#This Row],[CollateralValue]]/Loans[[#This Row],[LoanAmount]])</f>
        <v>1.08</v>
      </c>
      <c r="O1743" t="str">
        <f>IF(Loans[[#This Row],[CollateralCoverageRatio]]&lt;1,"Undersecured","Secured")</f>
        <v>Secured</v>
      </c>
      <c r="P1743" t="str">
        <f>_xlfn.XLOOKUP(Loans[[#This Row],[BranchCode]],BranchesTbl[BranchCode],BranchesTbl[BranchName])</f>
        <v>Meru</v>
      </c>
      <c r="Q1743">
        <f>_xlfn.XLOOKUP(Loans[[#This Row],[CustomerID]],CustomerTbl[CustomerID],CustomerTbl[RiskScore])</f>
        <v>416</v>
      </c>
      <c r="R1743" t="str">
        <f>IFERROR(INDEX(RiskTbl[Risk_Category],MATCH(Loans[[#This Row],[RiskScore]],RiskTbl[Score_Min],1)),"Unknown")</f>
        <v>High Risk</v>
      </c>
      <c r="S1743" t="str">
        <f>IF(OR(Loans[[#This Row],[LoanStatus]]="Default",Loans[[#This Row],[LoanStatus]]="Watchlist",Loans[[#This Row],[CollateralRisk]]="Undersecured",Loans[[#This Row],[RiskCategory]]="High Risk"),"High Risk Exposure","Normal")</f>
        <v>High Risk Exposure</v>
      </c>
      <c r="T1743" t="str" cm="1">
        <f t="array" ref="T1743">_xlfn.IFS(
Loans[[#This Row],[LoanStatus]]="Default","Critical",
OR(Loans[[#This Row],[LoanStatus]]="Watchlist",Loans[[#This Row],[CollateralRisk]]="Undersecured",Loans[[#This Row],[RiskCategory]]="High Risk"),"High",
TRUE,"Normal"
)</f>
        <v>High</v>
      </c>
    </row>
    <row r="1744" spans="1:20" x14ac:dyDescent="0.35">
      <c r="A1744" t="s">
        <v>2567</v>
      </c>
      <c r="B1744" t="s">
        <v>503</v>
      </c>
      <c r="C1744" t="s">
        <v>239</v>
      </c>
      <c r="D1744" t="s">
        <v>157</v>
      </c>
      <c r="E1744" s="34">
        <v>25000000</v>
      </c>
      <c r="F1744" s="29">
        <v>0.11260000000000001</v>
      </c>
      <c r="G1744" s="30">
        <v>45470</v>
      </c>
      <c r="H1744">
        <v>72</v>
      </c>
      <c r="I1744">
        <v>0</v>
      </c>
      <c r="J1744" s="34">
        <v>32500000</v>
      </c>
      <c r="K1744" t="s">
        <v>171</v>
      </c>
      <c r="L1744" s="34">
        <f>PMT(Loans[[#This Row],[InterestRate]]/12,Loans[[#This Row],[LoanTenureMonths]],-Loans[[#This Row],[LoanAmount]])</f>
        <v>479187.85172225011</v>
      </c>
      <c r="M1744" s="30">
        <f>EDATE(Loans[[#This Row],[LoanStartDate]],Loans[[#This Row],[LoanTenureMonths]])</f>
        <v>47661</v>
      </c>
      <c r="N1744" s="33">
        <f>IF(Loans[[#This Row],[LoanAmount]]=0,0,Loans[[#This Row],[CollateralValue]]/Loans[[#This Row],[LoanAmount]])</f>
        <v>1.3</v>
      </c>
      <c r="O1744" t="str">
        <f>IF(Loans[[#This Row],[CollateralCoverageRatio]]&lt;1,"Undersecured","Secured")</f>
        <v>Secured</v>
      </c>
      <c r="P1744" t="str">
        <f>_xlfn.XLOOKUP(Loans[[#This Row],[BranchCode]],BranchesTbl[BranchCode],BranchesTbl[BranchName])</f>
        <v>Machakos</v>
      </c>
      <c r="Q1744">
        <f>_xlfn.XLOOKUP(Loans[[#This Row],[CustomerID]],CustomerTbl[CustomerID],CustomerTbl[RiskScore])</f>
        <v>565</v>
      </c>
      <c r="R1744" t="str">
        <f>IFERROR(INDEX(RiskTbl[Risk_Category],MATCH(Loans[[#This Row],[RiskScore]],RiskTbl[Score_Min],1)),"Unknown")</f>
        <v>High Risk</v>
      </c>
      <c r="S1744" t="str">
        <f>IF(OR(Loans[[#This Row],[LoanStatus]]="Default",Loans[[#This Row],[LoanStatus]]="Watchlist",Loans[[#This Row],[CollateralRisk]]="Undersecured",Loans[[#This Row],[RiskCategory]]="High Risk"),"High Risk Exposure","Normal")</f>
        <v>High Risk Exposure</v>
      </c>
      <c r="T1744" t="str" cm="1">
        <f t="array" ref="T1744">_xlfn.IFS(
Loans[[#This Row],[LoanStatus]]="Default","Critical",
OR(Loans[[#This Row],[LoanStatus]]="Watchlist",Loans[[#This Row],[CollateralRisk]]="Undersecured",Loans[[#This Row],[RiskCategory]]="High Risk"),"High",
TRUE,"Normal"
)</f>
        <v>High</v>
      </c>
    </row>
    <row r="1745" spans="1:20" x14ac:dyDescent="0.35">
      <c r="A1745" t="s">
        <v>2568</v>
      </c>
      <c r="B1745" t="s">
        <v>1494</v>
      </c>
      <c r="C1745" t="s">
        <v>170</v>
      </c>
      <c r="D1745" t="s">
        <v>155</v>
      </c>
      <c r="E1745" s="34">
        <v>500000</v>
      </c>
      <c r="F1745" s="29">
        <v>0.27950000000000003</v>
      </c>
      <c r="G1745" s="30">
        <v>44821</v>
      </c>
      <c r="H1745">
        <v>48</v>
      </c>
      <c r="I1745">
        <v>120</v>
      </c>
      <c r="J1745" s="34">
        <v>0</v>
      </c>
      <c r="K1745" t="s">
        <v>178</v>
      </c>
      <c r="L1745" s="34">
        <f>PMT(Loans[[#This Row],[InterestRate]]/12,Loans[[#This Row],[LoanTenureMonths]],-Loans[[#This Row],[LoanAmount]])</f>
        <v>17411.771168883202</v>
      </c>
      <c r="M1745" s="30">
        <f>EDATE(Loans[[#This Row],[LoanStartDate]],Loans[[#This Row],[LoanTenureMonths]])</f>
        <v>46282</v>
      </c>
      <c r="N1745" s="33">
        <f>IF(Loans[[#This Row],[LoanAmount]]=0,0,Loans[[#This Row],[CollateralValue]]/Loans[[#This Row],[LoanAmount]])</f>
        <v>0</v>
      </c>
      <c r="O1745" t="str">
        <f>IF(Loans[[#This Row],[CollateralCoverageRatio]]&lt;1,"Undersecured","Secured")</f>
        <v>Undersecured</v>
      </c>
      <c r="P1745" t="str">
        <f>_xlfn.XLOOKUP(Loans[[#This Row],[BranchCode]],BranchesTbl[BranchCode],BranchesTbl[BranchName])</f>
        <v>Thika</v>
      </c>
      <c r="Q1745">
        <f>_xlfn.XLOOKUP(Loans[[#This Row],[CustomerID]],CustomerTbl[CustomerID],CustomerTbl[RiskScore])</f>
        <v>333</v>
      </c>
      <c r="R1745" t="str">
        <f>IFERROR(INDEX(RiskTbl[Risk_Category],MATCH(Loans[[#This Row],[RiskScore]],RiskTbl[Score_Min],1)),"Unknown")</f>
        <v>High Risk</v>
      </c>
      <c r="S1745" t="str">
        <f>IF(OR(Loans[[#This Row],[LoanStatus]]="Default",Loans[[#This Row],[LoanStatus]]="Watchlist",Loans[[#This Row],[CollateralRisk]]="Undersecured",Loans[[#This Row],[RiskCategory]]="High Risk"),"High Risk Exposure","Normal")</f>
        <v>High Risk Exposure</v>
      </c>
      <c r="T1745" t="str" cm="1">
        <f t="array" ref="T1745">_xlfn.IFS(
Loans[[#This Row],[LoanStatus]]="Default","Critical",
OR(Loans[[#This Row],[LoanStatus]]="Watchlist",Loans[[#This Row],[CollateralRisk]]="Undersecured",Loans[[#This Row],[RiskCategory]]="High Risk"),"High",
TRUE,"Normal"
)</f>
        <v>Critical</v>
      </c>
    </row>
    <row r="1746" spans="1:20" x14ac:dyDescent="0.35">
      <c r="A1746" t="s">
        <v>2569</v>
      </c>
      <c r="B1746" t="s">
        <v>1090</v>
      </c>
      <c r="C1746" t="s">
        <v>193</v>
      </c>
      <c r="D1746" t="s">
        <v>157</v>
      </c>
      <c r="E1746" s="34">
        <v>25000000</v>
      </c>
      <c r="F1746" s="29">
        <v>0.1148</v>
      </c>
      <c r="G1746" s="30">
        <v>44617</v>
      </c>
      <c r="H1746">
        <v>36</v>
      </c>
      <c r="I1746">
        <v>45</v>
      </c>
      <c r="J1746" s="34">
        <v>15750000</v>
      </c>
      <c r="K1746" t="s">
        <v>199</v>
      </c>
      <c r="L1746" s="34">
        <f>PMT(Loans[[#This Row],[InterestRate]]/12,Loans[[#This Row],[LoanTenureMonths]],-Loans[[#This Row],[LoanAmount]])</f>
        <v>824162.38447784865</v>
      </c>
      <c r="M1746" s="30">
        <f>EDATE(Loans[[#This Row],[LoanStartDate]],Loans[[#This Row],[LoanTenureMonths]])</f>
        <v>45713</v>
      </c>
      <c r="N1746" s="33">
        <f>IF(Loans[[#This Row],[LoanAmount]]=0,0,Loans[[#This Row],[CollateralValue]]/Loans[[#This Row],[LoanAmount]])</f>
        <v>0.63</v>
      </c>
      <c r="O1746" t="str">
        <f>IF(Loans[[#This Row],[CollateralCoverageRatio]]&lt;1,"Undersecured","Secured")</f>
        <v>Undersecured</v>
      </c>
      <c r="P1746" t="str">
        <f>_xlfn.XLOOKUP(Loans[[#This Row],[BranchCode]],BranchesTbl[BranchCode],BranchesTbl[BranchName])</f>
        <v>Mombasa</v>
      </c>
      <c r="Q1746">
        <f>_xlfn.XLOOKUP(Loans[[#This Row],[CustomerID]],CustomerTbl[CustomerID],CustomerTbl[RiskScore])</f>
        <v>639</v>
      </c>
      <c r="R1746" t="str">
        <f>IFERROR(INDEX(RiskTbl[Risk_Category],MATCH(Loans[[#This Row],[RiskScore]],RiskTbl[Score_Min],1)),"Unknown")</f>
        <v>Medium Risk</v>
      </c>
      <c r="S1746" t="str">
        <f>IF(OR(Loans[[#This Row],[LoanStatus]]="Default",Loans[[#This Row],[LoanStatus]]="Watchlist",Loans[[#This Row],[CollateralRisk]]="Undersecured",Loans[[#This Row],[RiskCategory]]="High Risk"),"High Risk Exposure","Normal")</f>
        <v>High Risk Exposure</v>
      </c>
      <c r="T1746" t="str" cm="1">
        <f t="array" ref="T1746">_xlfn.IFS(
Loans[[#This Row],[LoanStatus]]="Default","Critical",
OR(Loans[[#This Row],[LoanStatus]]="Watchlist",Loans[[#This Row],[CollateralRisk]]="Undersecured",Loans[[#This Row],[RiskCategory]]="High Risk"),"High",
TRUE,"Normal"
)</f>
        <v>High</v>
      </c>
    </row>
    <row r="1747" spans="1:20" x14ac:dyDescent="0.35">
      <c r="A1747" t="s">
        <v>2570</v>
      </c>
      <c r="B1747" t="s">
        <v>608</v>
      </c>
      <c r="C1747" t="s">
        <v>267</v>
      </c>
      <c r="D1747" t="s">
        <v>158</v>
      </c>
      <c r="E1747" s="34">
        <v>500000</v>
      </c>
      <c r="F1747" s="29">
        <v>0.1885</v>
      </c>
      <c r="G1747" s="30">
        <v>45080</v>
      </c>
      <c r="H1747">
        <v>36</v>
      </c>
      <c r="I1747">
        <v>120</v>
      </c>
      <c r="J1747" s="34">
        <v>480000</v>
      </c>
      <c r="K1747" t="s">
        <v>178</v>
      </c>
      <c r="L1747" s="34">
        <f>PMT(Loans[[#This Row],[InterestRate]]/12,Loans[[#This Row],[LoanTenureMonths]],-Loans[[#This Row],[LoanAmount]])</f>
        <v>18290.112405703654</v>
      </c>
      <c r="M1747" s="30">
        <f>EDATE(Loans[[#This Row],[LoanStartDate]],Loans[[#This Row],[LoanTenureMonths]])</f>
        <v>46176</v>
      </c>
      <c r="N1747" s="33">
        <f>IF(Loans[[#This Row],[LoanAmount]]=0,0,Loans[[#This Row],[CollateralValue]]/Loans[[#This Row],[LoanAmount]])</f>
        <v>0.96</v>
      </c>
      <c r="O1747" t="str">
        <f>IF(Loans[[#This Row],[CollateralCoverageRatio]]&lt;1,"Undersecured","Secured")</f>
        <v>Undersecured</v>
      </c>
      <c r="P1747" t="str">
        <f>_xlfn.XLOOKUP(Loans[[#This Row],[BranchCode]],BranchesTbl[BranchCode],BranchesTbl[BranchName])</f>
        <v>Malindi</v>
      </c>
      <c r="Q1747">
        <f>_xlfn.XLOOKUP(Loans[[#This Row],[CustomerID]],CustomerTbl[CustomerID],CustomerTbl[RiskScore])</f>
        <v>557</v>
      </c>
      <c r="R1747" t="str">
        <f>IFERROR(INDEX(RiskTbl[Risk_Category],MATCH(Loans[[#This Row],[RiskScore]],RiskTbl[Score_Min],1)),"Unknown")</f>
        <v>High Risk</v>
      </c>
      <c r="S1747" t="str">
        <f>IF(OR(Loans[[#This Row],[LoanStatus]]="Default",Loans[[#This Row],[LoanStatus]]="Watchlist",Loans[[#This Row],[CollateralRisk]]="Undersecured",Loans[[#This Row],[RiskCategory]]="High Risk"),"High Risk Exposure","Normal")</f>
        <v>High Risk Exposure</v>
      </c>
      <c r="T1747" t="str" cm="1">
        <f t="array" ref="T1747">_xlfn.IFS(
Loans[[#This Row],[LoanStatus]]="Default","Critical",
OR(Loans[[#This Row],[LoanStatus]]="Watchlist",Loans[[#This Row],[CollateralRisk]]="Undersecured",Loans[[#This Row],[RiskCategory]]="High Risk"),"High",
TRUE,"Normal"
)</f>
        <v>Critical</v>
      </c>
    </row>
    <row r="1748" spans="1:20" x14ac:dyDescent="0.35">
      <c r="A1748" t="s">
        <v>2571</v>
      </c>
      <c r="B1748" t="s">
        <v>262</v>
      </c>
      <c r="C1748" t="s">
        <v>206</v>
      </c>
      <c r="D1748" t="s">
        <v>155</v>
      </c>
      <c r="E1748" s="34">
        <v>250000</v>
      </c>
      <c r="F1748" s="29">
        <v>0.18179999999999999</v>
      </c>
      <c r="G1748" s="30">
        <v>44667</v>
      </c>
      <c r="H1748">
        <v>60</v>
      </c>
      <c r="I1748">
        <v>10</v>
      </c>
      <c r="J1748" s="34">
        <v>0</v>
      </c>
      <c r="K1748" t="s">
        <v>171</v>
      </c>
      <c r="L1748" s="34">
        <f>PMT(Loans[[#This Row],[InterestRate]]/12,Loans[[#This Row],[LoanTenureMonths]],-Loans[[#This Row],[LoanAmount]])</f>
        <v>6372.8621559008216</v>
      </c>
      <c r="M1748" s="30">
        <f>EDATE(Loans[[#This Row],[LoanStartDate]],Loans[[#This Row],[LoanTenureMonths]])</f>
        <v>46493</v>
      </c>
      <c r="N1748" s="33">
        <f>IF(Loans[[#This Row],[LoanAmount]]=0,0,Loans[[#This Row],[CollateralValue]]/Loans[[#This Row],[LoanAmount]])</f>
        <v>0</v>
      </c>
      <c r="O1748" t="str">
        <f>IF(Loans[[#This Row],[CollateralCoverageRatio]]&lt;1,"Undersecured","Secured")</f>
        <v>Undersecured</v>
      </c>
      <c r="P1748" t="str">
        <f>_xlfn.XLOOKUP(Loans[[#This Row],[BranchCode]],BranchesTbl[BranchCode],BranchesTbl[BranchName])</f>
        <v>Nyahururu</v>
      </c>
      <c r="Q1748">
        <f>_xlfn.XLOOKUP(Loans[[#This Row],[CustomerID]],CustomerTbl[CustomerID],CustomerTbl[RiskScore])</f>
        <v>714</v>
      </c>
      <c r="R1748" t="str">
        <f>IFERROR(INDEX(RiskTbl[Risk_Category],MATCH(Loans[[#This Row],[RiskScore]],RiskTbl[Score_Min],1)),"Unknown")</f>
        <v>Low Risk</v>
      </c>
      <c r="S1748" t="str">
        <f>IF(OR(Loans[[#This Row],[LoanStatus]]="Default",Loans[[#This Row],[LoanStatus]]="Watchlist",Loans[[#This Row],[CollateralRisk]]="Undersecured",Loans[[#This Row],[RiskCategory]]="High Risk"),"High Risk Exposure","Normal")</f>
        <v>High Risk Exposure</v>
      </c>
      <c r="T1748" t="str" cm="1">
        <f t="array" ref="T1748">_xlfn.IFS(
Loans[[#This Row],[LoanStatus]]="Default","Critical",
OR(Loans[[#This Row],[LoanStatus]]="Watchlist",Loans[[#This Row],[CollateralRisk]]="Undersecured",Loans[[#This Row],[RiskCategory]]="High Risk"),"High",
TRUE,"Normal"
)</f>
        <v>High</v>
      </c>
    </row>
    <row r="1749" spans="1:20" x14ac:dyDescent="0.35">
      <c r="A1749" t="s">
        <v>2572</v>
      </c>
      <c r="B1749" t="s">
        <v>1985</v>
      </c>
      <c r="C1749" t="s">
        <v>219</v>
      </c>
      <c r="D1749" t="s">
        <v>156</v>
      </c>
      <c r="E1749" s="34">
        <v>6000000</v>
      </c>
      <c r="F1749" s="29">
        <v>0.19689999999999999</v>
      </c>
      <c r="G1749" s="30">
        <v>44662</v>
      </c>
      <c r="H1749">
        <v>24</v>
      </c>
      <c r="I1749">
        <v>120</v>
      </c>
      <c r="J1749" s="34">
        <v>5160000</v>
      </c>
      <c r="K1749" t="s">
        <v>178</v>
      </c>
      <c r="L1749" s="34">
        <f>PMT(Loans[[#This Row],[InterestRate]]/12,Loans[[#This Row],[LoanTenureMonths]],-Loans[[#This Row],[LoanAmount]])</f>
        <v>304466.94010093116</v>
      </c>
      <c r="M1749" s="30">
        <f>EDATE(Loans[[#This Row],[LoanStartDate]],Loans[[#This Row],[LoanTenureMonths]])</f>
        <v>45393</v>
      </c>
      <c r="N1749" s="33">
        <f>IF(Loans[[#This Row],[LoanAmount]]=0,0,Loans[[#This Row],[CollateralValue]]/Loans[[#This Row],[LoanAmount]])</f>
        <v>0.86</v>
      </c>
      <c r="O1749" t="str">
        <f>IF(Loans[[#This Row],[CollateralCoverageRatio]]&lt;1,"Undersecured","Secured")</f>
        <v>Undersecured</v>
      </c>
      <c r="P1749" t="str">
        <f>_xlfn.XLOOKUP(Loans[[#This Row],[BranchCode]],BranchesTbl[BranchCode],BranchesTbl[BranchName])</f>
        <v>Meru</v>
      </c>
      <c r="Q1749">
        <f>_xlfn.XLOOKUP(Loans[[#This Row],[CustomerID]],CustomerTbl[CustomerID],CustomerTbl[RiskScore])</f>
        <v>769</v>
      </c>
      <c r="R1749" t="str">
        <f>IFERROR(INDEX(RiskTbl[Risk_Category],MATCH(Loans[[#This Row],[RiskScore]],RiskTbl[Score_Min],1)),"Unknown")</f>
        <v>Very Low Risk</v>
      </c>
      <c r="S1749" t="str">
        <f>IF(OR(Loans[[#This Row],[LoanStatus]]="Default",Loans[[#This Row],[LoanStatus]]="Watchlist",Loans[[#This Row],[CollateralRisk]]="Undersecured",Loans[[#This Row],[RiskCategory]]="High Risk"),"High Risk Exposure","Normal")</f>
        <v>High Risk Exposure</v>
      </c>
      <c r="T1749" t="str" cm="1">
        <f t="array" ref="T1749">_xlfn.IFS(
Loans[[#This Row],[LoanStatus]]="Default","Critical",
OR(Loans[[#This Row],[LoanStatus]]="Watchlist",Loans[[#This Row],[CollateralRisk]]="Undersecured",Loans[[#This Row],[RiskCategory]]="High Risk"),"High",
TRUE,"Normal"
)</f>
        <v>Critical</v>
      </c>
    </row>
    <row r="1750" spans="1:20" x14ac:dyDescent="0.35">
      <c r="A1750" t="s">
        <v>2573</v>
      </c>
      <c r="B1750" t="s">
        <v>536</v>
      </c>
      <c r="C1750" t="s">
        <v>196</v>
      </c>
      <c r="D1750" t="s">
        <v>156</v>
      </c>
      <c r="E1750" s="34">
        <v>6000000</v>
      </c>
      <c r="F1750" s="29">
        <v>0.16689999999999999</v>
      </c>
      <c r="G1750" s="30">
        <v>45956</v>
      </c>
      <c r="H1750">
        <v>24</v>
      </c>
      <c r="I1750">
        <v>20</v>
      </c>
      <c r="J1750" s="34">
        <v>5160000</v>
      </c>
      <c r="K1750" t="s">
        <v>171</v>
      </c>
      <c r="L1750" s="34">
        <f>PMT(Loans[[#This Row],[InterestRate]]/12,Loans[[#This Row],[LoanTenureMonths]],-Loans[[#This Row],[LoanAmount]])</f>
        <v>295760.63442901487</v>
      </c>
      <c r="M1750" s="30">
        <f>EDATE(Loans[[#This Row],[LoanStartDate]],Loans[[#This Row],[LoanTenureMonths]])</f>
        <v>46686</v>
      </c>
      <c r="N1750" s="33">
        <f>IF(Loans[[#This Row],[LoanAmount]]=0,0,Loans[[#This Row],[CollateralValue]]/Loans[[#This Row],[LoanAmount]])</f>
        <v>0.86</v>
      </c>
      <c r="O1750" t="str">
        <f>IF(Loans[[#This Row],[CollateralCoverageRatio]]&lt;1,"Undersecured","Secured")</f>
        <v>Undersecured</v>
      </c>
      <c r="P1750" t="str">
        <f>_xlfn.XLOOKUP(Loans[[#This Row],[BranchCode]],BranchesTbl[BranchCode],BranchesTbl[BranchName])</f>
        <v>Karen</v>
      </c>
      <c r="Q1750">
        <f>_xlfn.XLOOKUP(Loans[[#This Row],[CustomerID]],CustomerTbl[CustomerID],CustomerTbl[RiskScore])</f>
        <v>369</v>
      </c>
      <c r="R1750" t="str">
        <f>IFERROR(INDEX(RiskTbl[Risk_Category],MATCH(Loans[[#This Row],[RiskScore]],RiskTbl[Score_Min],1)),"Unknown")</f>
        <v>High Risk</v>
      </c>
      <c r="S1750" t="str">
        <f>IF(OR(Loans[[#This Row],[LoanStatus]]="Default",Loans[[#This Row],[LoanStatus]]="Watchlist",Loans[[#This Row],[CollateralRisk]]="Undersecured",Loans[[#This Row],[RiskCategory]]="High Risk"),"High Risk Exposure","Normal")</f>
        <v>High Risk Exposure</v>
      </c>
      <c r="T1750" t="str" cm="1">
        <f t="array" ref="T1750">_xlfn.IFS(
Loans[[#This Row],[LoanStatus]]="Default","Critical",
OR(Loans[[#This Row],[LoanStatus]]="Watchlist",Loans[[#This Row],[CollateralRisk]]="Undersecured",Loans[[#This Row],[RiskCategory]]="High Risk"),"High",
TRUE,"Normal"
)</f>
        <v>High</v>
      </c>
    </row>
    <row r="1751" spans="1:20" x14ac:dyDescent="0.35">
      <c r="A1751" t="s">
        <v>2574</v>
      </c>
      <c r="B1751" t="s">
        <v>1292</v>
      </c>
      <c r="C1751" t="s">
        <v>206</v>
      </c>
      <c r="D1751" t="s">
        <v>155</v>
      </c>
      <c r="E1751" s="34">
        <v>250000</v>
      </c>
      <c r="F1751" s="29">
        <v>0.17630000000000001</v>
      </c>
      <c r="G1751" s="30">
        <v>44160</v>
      </c>
      <c r="H1751">
        <v>60</v>
      </c>
      <c r="I1751">
        <v>0</v>
      </c>
      <c r="J1751" s="34">
        <v>0</v>
      </c>
      <c r="K1751" t="s">
        <v>171</v>
      </c>
      <c r="L1751" s="34">
        <f>PMT(Loans[[#This Row],[InterestRate]]/12,Loans[[#This Row],[LoanTenureMonths]],-Loans[[#This Row],[LoanAmount]])</f>
        <v>6298.1445027389473</v>
      </c>
      <c r="M1751" s="30">
        <f>EDATE(Loans[[#This Row],[LoanStartDate]],Loans[[#This Row],[LoanTenureMonths]])</f>
        <v>45986</v>
      </c>
      <c r="N1751" s="33">
        <f>IF(Loans[[#This Row],[LoanAmount]]=0,0,Loans[[#This Row],[CollateralValue]]/Loans[[#This Row],[LoanAmount]])</f>
        <v>0</v>
      </c>
      <c r="O1751" t="str">
        <f>IF(Loans[[#This Row],[CollateralCoverageRatio]]&lt;1,"Undersecured","Secured")</f>
        <v>Undersecured</v>
      </c>
      <c r="P1751" t="str">
        <f>_xlfn.XLOOKUP(Loans[[#This Row],[BranchCode]],BranchesTbl[BranchCode],BranchesTbl[BranchName])</f>
        <v>Nyahururu</v>
      </c>
      <c r="Q1751">
        <f>_xlfn.XLOOKUP(Loans[[#This Row],[CustomerID]],CustomerTbl[CustomerID],CustomerTbl[RiskScore])</f>
        <v>813</v>
      </c>
      <c r="R1751" t="str">
        <f>IFERROR(INDEX(RiskTbl[Risk_Category],MATCH(Loans[[#This Row],[RiskScore]],RiskTbl[Score_Min],1)),"Unknown")</f>
        <v>Prime</v>
      </c>
      <c r="S1751" t="str">
        <f>IF(OR(Loans[[#This Row],[LoanStatus]]="Default",Loans[[#This Row],[LoanStatus]]="Watchlist",Loans[[#This Row],[CollateralRisk]]="Undersecured",Loans[[#This Row],[RiskCategory]]="High Risk"),"High Risk Exposure","Normal")</f>
        <v>High Risk Exposure</v>
      </c>
      <c r="T1751" t="str" cm="1">
        <f t="array" ref="T1751">_xlfn.IFS(
Loans[[#This Row],[LoanStatus]]="Default","Critical",
OR(Loans[[#This Row],[LoanStatus]]="Watchlist",Loans[[#This Row],[CollateralRisk]]="Undersecured",Loans[[#This Row],[RiskCategory]]="High Risk"),"High",
TRUE,"Normal"
)</f>
        <v>High</v>
      </c>
    </row>
    <row r="1752" spans="1:20" x14ac:dyDescent="0.35">
      <c r="A1752" t="s">
        <v>2575</v>
      </c>
      <c r="B1752" t="s">
        <v>284</v>
      </c>
      <c r="C1752" t="s">
        <v>187</v>
      </c>
      <c r="D1752" t="s">
        <v>155</v>
      </c>
      <c r="E1752" s="34">
        <v>100000</v>
      </c>
      <c r="F1752" s="29">
        <v>0.27639999999999998</v>
      </c>
      <c r="G1752" s="30">
        <v>44003</v>
      </c>
      <c r="H1752">
        <v>60</v>
      </c>
      <c r="I1752">
        <v>0</v>
      </c>
      <c r="J1752" s="34">
        <v>0</v>
      </c>
      <c r="K1752" t="s">
        <v>171</v>
      </c>
      <c r="L1752" s="34">
        <f>PMT(Loans[[#This Row],[InterestRate]]/12,Loans[[#This Row],[LoanTenureMonths]],-Loans[[#This Row],[LoanAmount]])</f>
        <v>3091.8998894627739</v>
      </c>
      <c r="M1752" s="30">
        <f>EDATE(Loans[[#This Row],[LoanStartDate]],Loans[[#This Row],[LoanTenureMonths]])</f>
        <v>45829</v>
      </c>
      <c r="N1752" s="33">
        <f>IF(Loans[[#This Row],[LoanAmount]]=0,0,Loans[[#This Row],[CollateralValue]]/Loans[[#This Row],[LoanAmount]])</f>
        <v>0</v>
      </c>
      <c r="O1752" t="str">
        <f>IF(Loans[[#This Row],[CollateralCoverageRatio]]&lt;1,"Undersecured","Secured")</f>
        <v>Undersecured</v>
      </c>
      <c r="P1752" t="str">
        <f>_xlfn.XLOOKUP(Loans[[#This Row],[BranchCode]],BranchesTbl[BranchCode],BranchesTbl[BranchName])</f>
        <v>Eldoret</v>
      </c>
      <c r="Q1752">
        <f>_xlfn.XLOOKUP(Loans[[#This Row],[CustomerID]],CustomerTbl[CustomerID],CustomerTbl[RiskScore])</f>
        <v>822</v>
      </c>
      <c r="R1752" t="str">
        <f>IFERROR(INDEX(RiskTbl[Risk_Category],MATCH(Loans[[#This Row],[RiskScore]],RiskTbl[Score_Min],1)),"Unknown")</f>
        <v>Prime</v>
      </c>
      <c r="S1752" t="str">
        <f>IF(OR(Loans[[#This Row],[LoanStatus]]="Default",Loans[[#This Row],[LoanStatus]]="Watchlist",Loans[[#This Row],[CollateralRisk]]="Undersecured",Loans[[#This Row],[RiskCategory]]="High Risk"),"High Risk Exposure","Normal")</f>
        <v>High Risk Exposure</v>
      </c>
      <c r="T1752" t="str" cm="1">
        <f t="array" ref="T1752">_xlfn.IFS(
Loans[[#This Row],[LoanStatus]]="Default","Critical",
OR(Loans[[#This Row],[LoanStatus]]="Watchlist",Loans[[#This Row],[CollateralRisk]]="Undersecured",Loans[[#This Row],[RiskCategory]]="High Risk"),"High",
TRUE,"Normal"
)</f>
        <v>High</v>
      </c>
    </row>
    <row r="1753" spans="1:20" x14ac:dyDescent="0.35">
      <c r="A1753" t="s">
        <v>2576</v>
      </c>
      <c r="B1753" t="s">
        <v>413</v>
      </c>
      <c r="C1753" t="s">
        <v>184</v>
      </c>
      <c r="D1753" t="s">
        <v>155</v>
      </c>
      <c r="E1753" s="34">
        <v>1000000</v>
      </c>
      <c r="F1753" s="29">
        <v>0.16120000000000001</v>
      </c>
      <c r="G1753" s="30">
        <v>45125</v>
      </c>
      <c r="H1753">
        <v>48</v>
      </c>
      <c r="I1753">
        <v>0</v>
      </c>
      <c r="J1753" s="34">
        <v>0</v>
      </c>
      <c r="K1753" t="s">
        <v>171</v>
      </c>
      <c r="L1753" s="34">
        <f>PMT(Loans[[#This Row],[InterestRate]]/12,Loans[[#This Row],[LoanTenureMonths]],-Loans[[#This Row],[LoanAmount]])</f>
        <v>28401.776737071355</v>
      </c>
      <c r="M1753" s="30">
        <f>EDATE(Loans[[#This Row],[LoanStartDate]],Loans[[#This Row],[LoanTenureMonths]])</f>
        <v>46586</v>
      </c>
      <c r="N1753" s="33">
        <f>IF(Loans[[#This Row],[LoanAmount]]=0,0,Loans[[#This Row],[CollateralValue]]/Loans[[#This Row],[LoanAmount]])</f>
        <v>0</v>
      </c>
      <c r="O1753" t="str">
        <f>IF(Loans[[#This Row],[CollateralCoverageRatio]]&lt;1,"Undersecured","Secured")</f>
        <v>Undersecured</v>
      </c>
      <c r="P1753" t="str">
        <f>_xlfn.XLOOKUP(Loans[[#This Row],[BranchCode]],BranchesTbl[BranchCode],BranchesTbl[BranchName])</f>
        <v>Kisumu</v>
      </c>
      <c r="Q1753">
        <f>_xlfn.XLOOKUP(Loans[[#This Row],[CustomerID]],CustomerTbl[CustomerID],CustomerTbl[RiskScore])</f>
        <v>382</v>
      </c>
      <c r="R1753" t="str">
        <f>IFERROR(INDEX(RiskTbl[Risk_Category],MATCH(Loans[[#This Row],[RiskScore]],RiskTbl[Score_Min],1)),"Unknown")</f>
        <v>High Risk</v>
      </c>
      <c r="S1753" t="str">
        <f>IF(OR(Loans[[#This Row],[LoanStatus]]="Default",Loans[[#This Row],[LoanStatus]]="Watchlist",Loans[[#This Row],[CollateralRisk]]="Undersecured",Loans[[#This Row],[RiskCategory]]="High Risk"),"High Risk Exposure","Normal")</f>
        <v>High Risk Exposure</v>
      </c>
      <c r="T1753" t="str" cm="1">
        <f t="array" ref="T1753">_xlfn.IFS(
Loans[[#This Row],[LoanStatus]]="Default","Critical",
OR(Loans[[#This Row],[LoanStatus]]="Watchlist",Loans[[#This Row],[CollateralRisk]]="Undersecured",Loans[[#This Row],[RiskCategory]]="High Risk"),"High",
TRUE,"Normal"
)</f>
        <v>High</v>
      </c>
    </row>
    <row r="1754" spans="1:20" x14ac:dyDescent="0.35">
      <c r="A1754" t="s">
        <v>2577</v>
      </c>
      <c r="B1754" t="s">
        <v>1085</v>
      </c>
      <c r="C1754" t="s">
        <v>270</v>
      </c>
      <c r="D1754" t="s">
        <v>157</v>
      </c>
      <c r="E1754" s="34">
        <v>25000000</v>
      </c>
      <c r="F1754" s="29">
        <v>0.1245</v>
      </c>
      <c r="G1754" s="30">
        <v>45673</v>
      </c>
      <c r="H1754">
        <v>12</v>
      </c>
      <c r="I1754">
        <v>20</v>
      </c>
      <c r="J1754" s="34">
        <v>26000000</v>
      </c>
      <c r="K1754" t="s">
        <v>171</v>
      </c>
      <c r="L1754" s="34">
        <f>PMT(Loans[[#This Row],[InterestRate]]/12,Loans[[#This Row],[LoanTenureMonths]],-Loans[[#This Row],[LoanAmount]])</f>
        <v>2226486.0012407098</v>
      </c>
      <c r="M1754" s="30">
        <f>EDATE(Loans[[#This Row],[LoanStartDate]],Loans[[#This Row],[LoanTenureMonths]])</f>
        <v>46038</v>
      </c>
      <c r="N1754" s="33">
        <f>IF(Loans[[#This Row],[LoanAmount]]=0,0,Loans[[#This Row],[CollateralValue]]/Loans[[#This Row],[LoanAmount]])</f>
        <v>1.04</v>
      </c>
      <c r="O1754" t="str">
        <f>IF(Loans[[#This Row],[CollateralCoverageRatio]]&lt;1,"Undersecured","Secured")</f>
        <v>Secured</v>
      </c>
      <c r="P1754" t="str">
        <f>_xlfn.XLOOKUP(Loans[[#This Row],[BranchCode]],BranchesTbl[BranchCode],BranchesTbl[BranchName])</f>
        <v>Nakuru</v>
      </c>
      <c r="Q1754">
        <f>_xlfn.XLOOKUP(Loans[[#This Row],[CustomerID]],CustomerTbl[CustomerID],CustomerTbl[RiskScore])</f>
        <v>654</v>
      </c>
      <c r="R1754" t="str">
        <f>IFERROR(INDEX(RiskTbl[Risk_Category],MATCH(Loans[[#This Row],[RiskScore]],RiskTbl[Score_Min],1)),"Unknown")</f>
        <v>Medium Risk</v>
      </c>
      <c r="S1754" t="str">
        <f>IF(OR(Loans[[#This Row],[LoanStatus]]="Default",Loans[[#This Row],[LoanStatus]]="Watchlist",Loans[[#This Row],[CollateralRisk]]="Undersecured",Loans[[#This Row],[RiskCategory]]="High Risk"),"High Risk Exposure","Normal")</f>
        <v>Normal</v>
      </c>
      <c r="T1754" t="str" cm="1">
        <f t="array" ref="T1754">_xlfn.IFS(
Loans[[#This Row],[LoanStatus]]="Default","Critical",
OR(Loans[[#This Row],[LoanStatus]]="Watchlist",Loans[[#This Row],[CollateralRisk]]="Undersecured",Loans[[#This Row],[RiskCategory]]="High Risk"),"High",
TRUE,"Normal"
)</f>
        <v>Normal</v>
      </c>
    </row>
    <row r="1755" spans="1:20" x14ac:dyDescent="0.35">
      <c r="A1755" t="s">
        <v>2578</v>
      </c>
      <c r="B1755" t="s">
        <v>1161</v>
      </c>
      <c r="C1755" t="s">
        <v>206</v>
      </c>
      <c r="D1755" t="s">
        <v>156</v>
      </c>
      <c r="E1755" s="34">
        <v>25000000</v>
      </c>
      <c r="F1755" s="29">
        <v>0.2359</v>
      </c>
      <c r="G1755" s="30">
        <v>45726</v>
      </c>
      <c r="H1755">
        <v>72</v>
      </c>
      <c r="I1755">
        <v>5</v>
      </c>
      <c r="J1755" s="34">
        <v>35250000</v>
      </c>
      <c r="K1755" t="s">
        <v>171</v>
      </c>
      <c r="L1755" s="34">
        <f>PMT(Loans[[#This Row],[InterestRate]]/12,Loans[[#This Row],[LoanTenureMonths]],-Loans[[#This Row],[LoanAmount]])</f>
        <v>651962.4284813751</v>
      </c>
      <c r="M1755" s="30">
        <f>EDATE(Loans[[#This Row],[LoanStartDate]],Loans[[#This Row],[LoanTenureMonths]])</f>
        <v>47917</v>
      </c>
      <c r="N1755" s="33">
        <f>IF(Loans[[#This Row],[LoanAmount]]=0,0,Loans[[#This Row],[CollateralValue]]/Loans[[#This Row],[LoanAmount]])</f>
        <v>1.41</v>
      </c>
      <c r="O1755" t="str">
        <f>IF(Loans[[#This Row],[CollateralCoverageRatio]]&lt;1,"Undersecured","Secured")</f>
        <v>Secured</v>
      </c>
      <c r="P1755" t="str">
        <f>_xlfn.XLOOKUP(Loans[[#This Row],[BranchCode]],BranchesTbl[BranchCode],BranchesTbl[BranchName])</f>
        <v>Nyahururu</v>
      </c>
      <c r="Q1755">
        <f>_xlfn.XLOOKUP(Loans[[#This Row],[CustomerID]],CustomerTbl[CustomerID],CustomerTbl[RiskScore])</f>
        <v>389</v>
      </c>
      <c r="R1755" t="str">
        <f>IFERROR(INDEX(RiskTbl[Risk_Category],MATCH(Loans[[#This Row],[RiskScore]],RiskTbl[Score_Min],1)),"Unknown")</f>
        <v>High Risk</v>
      </c>
      <c r="S1755" t="str">
        <f>IF(OR(Loans[[#This Row],[LoanStatus]]="Default",Loans[[#This Row],[LoanStatus]]="Watchlist",Loans[[#This Row],[CollateralRisk]]="Undersecured",Loans[[#This Row],[RiskCategory]]="High Risk"),"High Risk Exposure","Normal")</f>
        <v>High Risk Exposure</v>
      </c>
      <c r="T1755" t="str" cm="1">
        <f t="array" ref="T1755">_xlfn.IFS(
Loans[[#This Row],[LoanStatus]]="Default","Critical",
OR(Loans[[#This Row],[LoanStatus]]="Watchlist",Loans[[#This Row],[CollateralRisk]]="Undersecured",Loans[[#This Row],[RiskCategory]]="High Risk"),"High",
TRUE,"Normal"
)</f>
        <v>High</v>
      </c>
    </row>
    <row r="1756" spans="1:20" x14ac:dyDescent="0.35">
      <c r="A1756" t="s">
        <v>2579</v>
      </c>
      <c r="B1756" t="s">
        <v>2146</v>
      </c>
      <c r="C1756" t="s">
        <v>181</v>
      </c>
      <c r="D1756" t="s">
        <v>155</v>
      </c>
      <c r="E1756" s="34">
        <v>1000000</v>
      </c>
      <c r="F1756" s="29">
        <v>0.25440000000000002</v>
      </c>
      <c r="G1756" s="30">
        <v>45933</v>
      </c>
      <c r="H1756">
        <v>72</v>
      </c>
      <c r="I1756">
        <v>120</v>
      </c>
      <c r="J1756" s="34">
        <v>0</v>
      </c>
      <c r="K1756" t="s">
        <v>178</v>
      </c>
      <c r="L1756" s="34">
        <f>PMT(Loans[[#This Row],[InterestRate]]/12,Loans[[#This Row],[LoanTenureMonths]],-Loans[[#This Row],[LoanAmount]])</f>
        <v>27207.798552040244</v>
      </c>
      <c r="M1756" s="30">
        <f>EDATE(Loans[[#This Row],[LoanStartDate]],Loans[[#This Row],[LoanTenureMonths]])</f>
        <v>48124</v>
      </c>
      <c r="N1756" s="33">
        <f>IF(Loans[[#This Row],[LoanAmount]]=0,0,Loans[[#This Row],[CollateralValue]]/Loans[[#This Row],[LoanAmount]])</f>
        <v>0</v>
      </c>
      <c r="O1756" t="str">
        <f>IF(Loans[[#This Row],[CollateralCoverageRatio]]&lt;1,"Undersecured","Secured")</f>
        <v>Undersecured</v>
      </c>
      <c r="P1756" t="str">
        <f>_xlfn.XLOOKUP(Loans[[#This Row],[BranchCode]],BranchesTbl[BranchCode],BranchesTbl[BranchName])</f>
        <v>Kitale</v>
      </c>
      <c r="Q1756">
        <f>_xlfn.XLOOKUP(Loans[[#This Row],[CustomerID]],CustomerTbl[CustomerID],CustomerTbl[RiskScore])</f>
        <v>361</v>
      </c>
      <c r="R1756" t="str">
        <f>IFERROR(INDEX(RiskTbl[Risk_Category],MATCH(Loans[[#This Row],[RiskScore]],RiskTbl[Score_Min],1)),"Unknown")</f>
        <v>High Risk</v>
      </c>
      <c r="S1756" t="str">
        <f>IF(OR(Loans[[#This Row],[LoanStatus]]="Default",Loans[[#This Row],[LoanStatus]]="Watchlist",Loans[[#This Row],[CollateralRisk]]="Undersecured",Loans[[#This Row],[RiskCategory]]="High Risk"),"High Risk Exposure","Normal")</f>
        <v>High Risk Exposure</v>
      </c>
      <c r="T1756" t="str" cm="1">
        <f t="array" ref="T1756">_xlfn.IFS(
Loans[[#This Row],[LoanStatus]]="Default","Critical",
OR(Loans[[#This Row],[LoanStatus]]="Watchlist",Loans[[#This Row],[CollateralRisk]]="Undersecured",Loans[[#This Row],[RiskCategory]]="High Risk"),"High",
TRUE,"Normal"
)</f>
        <v>Critical</v>
      </c>
    </row>
    <row r="1757" spans="1:20" x14ac:dyDescent="0.35">
      <c r="A1757" t="s">
        <v>2580</v>
      </c>
      <c r="B1757" t="s">
        <v>1988</v>
      </c>
      <c r="C1757" t="s">
        <v>187</v>
      </c>
      <c r="D1757" t="s">
        <v>155</v>
      </c>
      <c r="E1757" s="34">
        <v>100000</v>
      </c>
      <c r="F1757" s="29">
        <v>0.21329999999999999</v>
      </c>
      <c r="G1757" s="30">
        <v>44490</v>
      </c>
      <c r="H1757">
        <v>60</v>
      </c>
      <c r="I1757">
        <v>0</v>
      </c>
      <c r="J1757" s="34">
        <v>0</v>
      </c>
      <c r="K1757" t="s">
        <v>171</v>
      </c>
      <c r="L1757" s="34">
        <f>PMT(Loans[[#This Row],[InterestRate]]/12,Loans[[#This Row],[LoanTenureMonths]],-Loans[[#This Row],[LoanAmount]])</f>
        <v>2723.9323682862928</v>
      </c>
      <c r="M1757" s="30">
        <f>EDATE(Loans[[#This Row],[LoanStartDate]],Loans[[#This Row],[LoanTenureMonths]])</f>
        <v>46316</v>
      </c>
      <c r="N1757" s="33">
        <f>IF(Loans[[#This Row],[LoanAmount]]=0,0,Loans[[#This Row],[CollateralValue]]/Loans[[#This Row],[LoanAmount]])</f>
        <v>0</v>
      </c>
      <c r="O1757" t="str">
        <f>IF(Loans[[#This Row],[CollateralCoverageRatio]]&lt;1,"Undersecured","Secured")</f>
        <v>Undersecured</v>
      </c>
      <c r="P1757" t="str">
        <f>_xlfn.XLOOKUP(Loans[[#This Row],[BranchCode]],BranchesTbl[BranchCode],BranchesTbl[BranchName])</f>
        <v>Eldoret</v>
      </c>
      <c r="Q1757">
        <f>_xlfn.XLOOKUP(Loans[[#This Row],[CustomerID]],CustomerTbl[CustomerID],CustomerTbl[RiskScore])</f>
        <v>833</v>
      </c>
      <c r="R1757" t="str">
        <f>IFERROR(INDEX(RiskTbl[Risk_Category],MATCH(Loans[[#This Row],[RiskScore]],RiskTbl[Score_Min],1)),"Unknown")</f>
        <v>Prime</v>
      </c>
      <c r="S1757" t="str">
        <f>IF(OR(Loans[[#This Row],[LoanStatus]]="Default",Loans[[#This Row],[LoanStatus]]="Watchlist",Loans[[#This Row],[CollateralRisk]]="Undersecured",Loans[[#This Row],[RiskCategory]]="High Risk"),"High Risk Exposure","Normal")</f>
        <v>High Risk Exposure</v>
      </c>
      <c r="T1757" t="str" cm="1">
        <f t="array" ref="T1757">_xlfn.IFS(
Loans[[#This Row],[LoanStatus]]="Default","Critical",
OR(Loans[[#This Row],[LoanStatus]]="Watchlist",Loans[[#This Row],[CollateralRisk]]="Undersecured",Loans[[#This Row],[RiskCategory]]="High Risk"),"High",
TRUE,"Normal"
)</f>
        <v>High</v>
      </c>
    </row>
    <row r="1758" spans="1:20" x14ac:dyDescent="0.35">
      <c r="A1758" t="s">
        <v>2581</v>
      </c>
      <c r="B1758" t="s">
        <v>2358</v>
      </c>
      <c r="C1758" t="s">
        <v>187</v>
      </c>
      <c r="D1758" t="s">
        <v>155</v>
      </c>
      <c r="E1758" s="34">
        <v>500000</v>
      </c>
      <c r="F1758" s="29">
        <v>0.20050000000000001</v>
      </c>
      <c r="G1758" s="30">
        <v>45224</v>
      </c>
      <c r="H1758">
        <v>12</v>
      </c>
      <c r="I1758">
        <v>20</v>
      </c>
      <c r="J1758" s="34">
        <v>0</v>
      </c>
      <c r="K1758" t="s">
        <v>171</v>
      </c>
      <c r="L1758" s="34">
        <f>PMT(Loans[[#This Row],[InterestRate]]/12,Loans[[#This Row],[LoanTenureMonths]],-Loans[[#This Row],[LoanAmount]])</f>
        <v>46329.218739395154</v>
      </c>
      <c r="M1758" s="30">
        <f>EDATE(Loans[[#This Row],[LoanStartDate]],Loans[[#This Row],[LoanTenureMonths]])</f>
        <v>45590</v>
      </c>
      <c r="N1758" s="33">
        <f>IF(Loans[[#This Row],[LoanAmount]]=0,0,Loans[[#This Row],[CollateralValue]]/Loans[[#This Row],[LoanAmount]])</f>
        <v>0</v>
      </c>
      <c r="O1758" t="str">
        <f>IF(Loans[[#This Row],[CollateralCoverageRatio]]&lt;1,"Undersecured","Secured")</f>
        <v>Undersecured</v>
      </c>
      <c r="P1758" t="str">
        <f>_xlfn.XLOOKUP(Loans[[#This Row],[BranchCode]],BranchesTbl[BranchCode],BranchesTbl[BranchName])</f>
        <v>Eldoret</v>
      </c>
      <c r="Q1758">
        <f>_xlfn.XLOOKUP(Loans[[#This Row],[CustomerID]],CustomerTbl[CustomerID],CustomerTbl[RiskScore])</f>
        <v>767</v>
      </c>
      <c r="R1758" t="str">
        <f>IFERROR(INDEX(RiskTbl[Risk_Category],MATCH(Loans[[#This Row],[RiskScore]],RiskTbl[Score_Min],1)),"Unknown")</f>
        <v>Very Low Risk</v>
      </c>
      <c r="S1758" t="str">
        <f>IF(OR(Loans[[#This Row],[LoanStatus]]="Default",Loans[[#This Row],[LoanStatus]]="Watchlist",Loans[[#This Row],[CollateralRisk]]="Undersecured",Loans[[#This Row],[RiskCategory]]="High Risk"),"High Risk Exposure","Normal")</f>
        <v>High Risk Exposure</v>
      </c>
      <c r="T1758" t="str" cm="1">
        <f t="array" ref="T1758">_xlfn.IFS(
Loans[[#This Row],[LoanStatus]]="Default","Critical",
OR(Loans[[#This Row],[LoanStatus]]="Watchlist",Loans[[#This Row],[CollateralRisk]]="Undersecured",Loans[[#This Row],[RiskCategory]]="High Risk"),"High",
TRUE,"Normal"
)</f>
        <v>High</v>
      </c>
    </row>
    <row r="1759" spans="1:20" x14ac:dyDescent="0.35">
      <c r="A1759" t="s">
        <v>2582</v>
      </c>
      <c r="B1759" t="s">
        <v>1180</v>
      </c>
      <c r="C1759" t="s">
        <v>206</v>
      </c>
      <c r="D1759" t="s">
        <v>155</v>
      </c>
      <c r="E1759" s="34">
        <v>1000000</v>
      </c>
      <c r="F1759" s="29">
        <v>0.184</v>
      </c>
      <c r="G1759" s="30">
        <v>45500</v>
      </c>
      <c r="H1759">
        <v>36</v>
      </c>
      <c r="I1759">
        <v>0</v>
      </c>
      <c r="J1759" s="34">
        <v>0</v>
      </c>
      <c r="K1759" t="s">
        <v>171</v>
      </c>
      <c r="L1759" s="34">
        <f>PMT(Loans[[#This Row],[InterestRate]]/12,Loans[[#This Row],[LoanTenureMonths]],-Loans[[#This Row],[LoanAmount]])</f>
        <v>36353.371527752286</v>
      </c>
      <c r="M1759" s="30">
        <f>EDATE(Loans[[#This Row],[LoanStartDate]],Loans[[#This Row],[LoanTenureMonths]])</f>
        <v>46595</v>
      </c>
      <c r="N1759" s="33">
        <f>IF(Loans[[#This Row],[LoanAmount]]=0,0,Loans[[#This Row],[CollateralValue]]/Loans[[#This Row],[LoanAmount]])</f>
        <v>0</v>
      </c>
      <c r="O1759" t="str">
        <f>IF(Loans[[#This Row],[CollateralCoverageRatio]]&lt;1,"Undersecured","Secured")</f>
        <v>Undersecured</v>
      </c>
      <c r="P1759" t="str">
        <f>_xlfn.XLOOKUP(Loans[[#This Row],[BranchCode]],BranchesTbl[BranchCode],BranchesTbl[BranchName])</f>
        <v>Nyahururu</v>
      </c>
      <c r="Q1759">
        <f>_xlfn.XLOOKUP(Loans[[#This Row],[CustomerID]],CustomerTbl[CustomerID],CustomerTbl[RiskScore])</f>
        <v>633</v>
      </c>
      <c r="R1759" t="str">
        <f>IFERROR(INDEX(RiskTbl[Risk_Category],MATCH(Loans[[#This Row],[RiskScore]],RiskTbl[Score_Min],1)),"Unknown")</f>
        <v>Medium Risk</v>
      </c>
      <c r="S1759" t="str">
        <f>IF(OR(Loans[[#This Row],[LoanStatus]]="Default",Loans[[#This Row],[LoanStatus]]="Watchlist",Loans[[#This Row],[CollateralRisk]]="Undersecured",Loans[[#This Row],[RiskCategory]]="High Risk"),"High Risk Exposure","Normal")</f>
        <v>High Risk Exposure</v>
      </c>
      <c r="T1759" t="str" cm="1">
        <f t="array" ref="T1759">_xlfn.IFS(
Loans[[#This Row],[LoanStatus]]="Default","Critical",
OR(Loans[[#This Row],[LoanStatus]]="Watchlist",Loans[[#This Row],[CollateralRisk]]="Undersecured",Loans[[#This Row],[RiskCategory]]="High Risk"),"High",
TRUE,"Normal"
)</f>
        <v>High</v>
      </c>
    </row>
    <row r="1760" spans="1:20" x14ac:dyDescent="0.35">
      <c r="A1760" t="s">
        <v>2583</v>
      </c>
      <c r="B1760" t="s">
        <v>2429</v>
      </c>
      <c r="C1760" t="s">
        <v>170</v>
      </c>
      <c r="D1760" t="s">
        <v>158</v>
      </c>
      <c r="E1760" s="34">
        <v>3000000</v>
      </c>
      <c r="F1760" s="29">
        <v>0.18609999999999999</v>
      </c>
      <c r="G1760" s="30">
        <v>45513</v>
      </c>
      <c r="H1760">
        <v>12</v>
      </c>
      <c r="I1760">
        <v>120</v>
      </c>
      <c r="J1760" s="34">
        <v>3180000</v>
      </c>
      <c r="K1760" t="s">
        <v>178</v>
      </c>
      <c r="L1760" s="34">
        <f>PMT(Loans[[#This Row],[InterestRate]]/12,Loans[[#This Row],[LoanTenureMonths]],-Loans[[#This Row],[LoanAmount]])</f>
        <v>275911.65047897812</v>
      </c>
      <c r="M1760" s="30">
        <f>EDATE(Loans[[#This Row],[LoanStartDate]],Loans[[#This Row],[LoanTenureMonths]])</f>
        <v>45878</v>
      </c>
      <c r="N1760" s="33">
        <f>IF(Loans[[#This Row],[LoanAmount]]=0,0,Loans[[#This Row],[CollateralValue]]/Loans[[#This Row],[LoanAmount]])</f>
        <v>1.06</v>
      </c>
      <c r="O1760" t="str">
        <f>IF(Loans[[#This Row],[CollateralCoverageRatio]]&lt;1,"Undersecured","Secured")</f>
        <v>Secured</v>
      </c>
      <c r="P1760" t="str">
        <f>_xlfn.XLOOKUP(Loans[[#This Row],[BranchCode]],BranchesTbl[BranchCode],BranchesTbl[BranchName])</f>
        <v>Thika</v>
      </c>
      <c r="Q1760">
        <f>_xlfn.XLOOKUP(Loans[[#This Row],[CustomerID]],CustomerTbl[CustomerID],CustomerTbl[RiskScore])</f>
        <v>377</v>
      </c>
      <c r="R1760" t="str">
        <f>IFERROR(INDEX(RiskTbl[Risk_Category],MATCH(Loans[[#This Row],[RiskScore]],RiskTbl[Score_Min],1)),"Unknown")</f>
        <v>High Risk</v>
      </c>
      <c r="S1760" t="str">
        <f>IF(OR(Loans[[#This Row],[LoanStatus]]="Default",Loans[[#This Row],[LoanStatus]]="Watchlist",Loans[[#This Row],[CollateralRisk]]="Undersecured",Loans[[#This Row],[RiskCategory]]="High Risk"),"High Risk Exposure","Normal")</f>
        <v>High Risk Exposure</v>
      </c>
      <c r="T1760" t="str" cm="1">
        <f t="array" ref="T1760">_xlfn.IFS(
Loans[[#This Row],[LoanStatus]]="Default","Critical",
OR(Loans[[#This Row],[LoanStatus]]="Watchlist",Loans[[#This Row],[CollateralRisk]]="Undersecured",Loans[[#This Row],[RiskCategory]]="High Risk"),"High",
TRUE,"Normal"
)</f>
        <v>Critical</v>
      </c>
    </row>
    <row r="1761" spans="1:20" x14ac:dyDescent="0.35">
      <c r="A1761" t="s">
        <v>2584</v>
      </c>
      <c r="B1761" t="s">
        <v>1248</v>
      </c>
      <c r="C1761" t="s">
        <v>267</v>
      </c>
      <c r="D1761" t="s">
        <v>157</v>
      </c>
      <c r="E1761" s="34">
        <v>25000000</v>
      </c>
      <c r="F1761" s="29">
        <v>0.125</v>
      </c>
      <c r="G1761" s="30">
        <v>44428</v>
      </c>
      <c r="H1761">
        <v>48</v>
      </c>
      <c r="I1761">
        <v>0</v>
      </c>
      <c r="J1761" s="34">
        <v>14000000</v>
      </c>
      <c r="K1761" t="s">
        <v>171</v>
      </c>
      <c r="L1761" s="34">
        <f>PMT(Loans[[#This Row],[InterestRate]]/12,Loans[[#This Row],[LoanTenureMonths]],-Loans[[#This Row],[LoanAmount]])</f>
        <v>664499.97229427961</v>
      </c>
      <c r="M1761" s="30">
        <f>EDATE(Loans[[#This Row],[LoanStartDate]],Loans[[#This Row],[LoanTenureMonths]])</f>
        <v>45889</v>
      </c>
      <c r="N1761" s="33">
        <f>IF(Loans[[#This Row],[LoanAmount]]=0,0,Loans[[#This Row],[CollateralValue]]/Loans[[#This Row],[LoanAmount]])</f>
        <v>0.56000000000000005</v>
      </c>
      <c r="O1761" t="str">
        <f>IF(Loans[[#This Row],[CollateralCoverageRatio]]&lt;1,"Undersecured","Secured")</f>
        <v>Undersecured</v>
      </c>
      <c r="P1761" t="str">
        <f>_xlfn.XLOOKUP(Loans[[#This Row],[BranchCode]],BranchesTbl[BranchCode],BranchesTbl[BranchName])</f>
        <v>Malindi</v>
      </c>
      <c r="Q1761">
        <f>_xlfn.XLOOKUP(Loans[[#This Row],[CustomerID]],CustomerTbl[CustomerID],CustomerTbl[RiskScore])</f>
        <v>778</v>
      </c>
      <c r="R1761" t="str">
        <f>IFERROR(INDEX(RiskTbl[Risk_Category],MATCH(Loans[[#This Row],[RiskScore]],RiskTbl[Score_Min],1)),"Unknown")</f>
        <v>Very Low Risk</v>
      </c>
      <c r="S1761" t="str">
        <f>IF(OR(Loans[[#This Row],[LoanStatus]]="Default",Loans[[#This Row],[LoanStatus]]="Watchlist",Loans[[#This Row],[CollateralRisk]]="Undersecured",Loans[[#This Row],[RiskCategory]]="High Risk"),"High Risk Exposure","Normal")</f>
        <v>High Risk Exposure</v>
      </c>
      <c r="T1761" t="str" cm="1">
        <f t="array" ref="T1761">_xlfn.IFS(
Loans[[#This Row],[LoanStatus]]="Default","Critical",
OR(Loans[[#This Row],[LoanStatus]]="Watchlist",Loans[[#This Row],[CollateralRisk]]="Undersecured",Loans[[#This Row],[RiskCategory]]="High Risk"),"High",
TRUE,"Normal"
)</f>
        <v>High</v>
      </c>
    </row>
    <row r="1762" spans="1:20" x14ac:dyDescent="0.35">
      <c r="A1762" t="s">
        <v>2585</v>
      </c>
      <c r="B1762" t="s">
        <v>1473</v>
      </c>
      <c r="C1762" t="s">
        <v>239</v>
      </c>
      <c r="D1762" t="s">
        <v>156</v>
      </c>
      <c r="E1762" s="34">
        <v>1000000</v>
      </c>
      <c r="F1762" s="29">
        <v>0.15329999999999999</v>
      </c>
      <c r="G1762" s="30">
        <v>44101</v>
      </c>
      <c r="H1762">
        <v>72</v>
      </c>
      <c r="I1762">
        <v>0</v>
      </c>
      <c r="J1762" s="34">
        <v>930000</v>
      </c>
      <c r="K1762" t="s">
        <v>171</v>
      </c>
      <c r="L1762" s="34">
        <f>PMT(Loans[[#This Row],[InterestRate]]/12,Loans[[#This Row],[LoanTenureMonths]],-Loans[[#This Row],[LoanAmount]])</f>
        <v>21324.635641525485</v>
      </c>
      <c r="M1762" s="30">
        <f>EDATE(Loans[[#This Row],[LoanStartDate]],Loans[[#This Row],[LoanTenureMonths]])</f>
        <v>46292</v>
      </c>
      <c r="N1762" s="33">
        <f>IF(Loans[[#This Row],[LoanAmount]]=0,0,Loans[[#This Row],[CollateralValue]]/Loans[[#This Row],[LoanAmount]])</f>
        <v>0.93</v>
      </c>
      <c r="O1762" t="str">
        <f>IF(Loans[[#This Row],[CollateralCoverageRatio]]&lt;1,"Undersecured","Secured")</f>
        <v>Undersecured</v>
      </c>
      <c r="P1762" t="str">
        <f>_xlfn.XLOOKUP(Loans[[#This Row],[BranchCode]],BranchesTbl[BranchCode],BranchesTbl[BranchName])</f>
        <v>Machakos</v>
      </c>
      <c r="Q1762">
        <f>_xlfn.XLOOKUP(Loans[[#This Row],[CustomerID]],CustomerTbl[CustomerID],CustomerTbl[RiskScore])</f>
        <v>428</v>
      </c>
      <c r="R1762" t="str">
        <f>IFERROR(INDEX(RiskTbl[Risk_Category],MATCH(Loans[[#This Row],[RiskScore]],RiskTbl[Score_Min],1)),"Unknown")</f>
        <v>High Risk</v>
      </c>
      <c r="S1762" t="str">
        <f>IF(OR(Loans[[#This Row],[LoanStatus]]="Default",Loans[[#This Row],[LoanStatus]]="Watchlist",Loans[[#This Row],[CollateralRisk]]="Undersecured",Loans[[#This Row],[RiskCategory]]="High Risk"),"High Risk Exposure","Normal")</f>
        <v>High Risk Exposure</v>
      </c>
      <c r="T1762" t="str" cm="1">
        <f t="array" ref="T1762">_xlfn.IFS(
Loans[[#This Row],[LoanStatus]]="Default","Critical",
OR(Loans[[#This Row],[LoanStatus]]="Watchlist",Loans[[#This Row],[CollateralRisk]]="Undersecured",Loans[[#This Row],[RiskCategory]]="High Risk"),"High",
TRUE,"Normal"
)</f>
        <v>High</v>
      </c>
    </row>
    <row r="1763" spans="1:20" x14ac:dyDescent="0.35">
      <c r="A1763" t="s">
        <v>2586</v>
      </c>
      <c r="B1763" t="s">
        <v>883</v>
      </c>
      <c r="C1763" t="s">
        <v>196</v>
      </c>
      <c r="D1763" t="s">
        <v>156</v>
      </c>
      <c r="E1763" s="34">
        <v>25000000</v>
      </c>
      <c r="F1763" s="29">
        <v>0.20580000000000001</v>
      </c>
      <c r="G1763" s="30">
        <v>44075</v>
      </c>
      <c r="H1763">
        <v>60</v>
      </c>
      <c r="I1763">
        <v>0</v>
      </c>
      <c r="J1763" s="34">
        <v>22500000</v>
      </c>
      <c r="K1763" t="s">
        <v>171</v>
      </c>
      <c r="L1763" s="34">
        <f>PMT(Loans[[#This Row],[InterestRate]]/12,Loans[[#This Row],[LoanTenureMonths]],-Loans[[#This Row],[LoanAmount]])</f>
        <v>670440.8961032636</v>
      </c>
      <c r="M1763" s="30">
        <f>EDATE(Loans[[#This Row],[LoanStartDate]],Loans[[#This Row],[LoanTenureMonths]])</f>
        <v>45901</v>
      </c>
      <c r="N1763" s="33">
        <f>IF(Loans[[#This Row],[LoanAmount]]=0,0,Loans[[#This Row],[CollateralValue]]/Loans[[#This Row],[LoanAmount]])</f>
        <v>0.9</v>
      </c>
      <c r="O1763" t="str">
        <f>IF(Loans[[#This Row],[CollateralCoverageRatio]]&lt;1,"Undersecured","Secured")</f>
        <v>Undersecured</v>
      </c>
      <c r="P1763" t="str">
        <f>_xlfn.XLOOKUP(Loans[[#This Row],[BranchCode]],BranchesTbl[BranchCode],BranchesTbl[BranchName])</f>
        <v>Karen</v>
      </c>
      <c r="Q1763">
        <f>_xlfn.XLOOKUP(Loans[[#This Row],[CustomerID]],CustomerTbl[CustomerID],CustomerTbl[RiskScore])</f>
        <v>493</v>
      </c>
      <c r="R1763" t="str">
        <f>IFERROR(INDEX(RiskTbl[Risk_Category],MATCH(Loans[[#This Row],[RiskScore]],RiskTbl[Score_Min],1)),"Unknown")</f>
        <v>High Risk</v>
      </c>
      <c r="S1763" t="str">
        <f>IF(OR(Loans[[#This Row],[LoanStatus]]="Default",Loans[[#This Row],[LoanStatus]]="Watchlist",Loans[[#This Row],[CollateralRisk]]="Undersecured",Loans[[#This Row],[RiskCategory]]="High Risk"),"High Risk Exposure","Normal")</f>
        <v>High Risk Exposure</v>
      </c>
      <c r="T1763" t="str" cm="1">
        <f t="array" ref="T1763">_xlfn.IFS(
Loans[[#This Row],[LoanStatus]]="Default","Critical",
OR(Loans[[#This Row],[LoanStatus]]="Watchlist",Loans[[#This Row],[CollateralRisk]]="Undersecured",Loans[[#This Row],[RiskCategory]]="High Risk"),"High",
TRUE,"Normal"
)</f>
        <v>High</v>
      </c>
    </row>
    <row r="1764" spans="1:20" x14ac:dyDescent="0.35">
      <c r="A1764" t="s">
        <v>2587</v>
      </c>
      <c r="B1764" t="s">
        <v>1110</v>
      </c>
      <c r="C1764" t="s">
        <v>174</v>
      </c>
      <c r="D1764" t="s">
        <v>158</v>
      </c>
      <c r="E1764" s="34">
        <v>500000</v>
      </c>
      <c r="F1764" s="29">
        <v>0.13869999999999999</v>
      </c>
      <c r="G1764" s="30">
        <v>43838</v>
      </c>
      <c r="H1764">
        <v>36</v>
      </c>
      <c r="I1764">
        <v>5</v>
      </c>
      <c r="J1764" s="34">
        <v>450000</v>
      </c>
      <c r="K1764" t="s">
        <v>171</v>
      </c>
      <c r="L1764" s="34">
        <f>PMT(Loans[[#This Row],[InterestRate]]/12,Loans[[#This Row],[LoanTenureMonths]],-Loans[[#This Row],[LoanAmount]])</f>
        <v>17057.261973046578</v>
      </c>
      <c r="M1764" s="30">
        <f>EDATE(Loans[[#This Row],[LoanStartDate]],Loans[[#This Row],[LoanTenureMonths]])</f>
        <v>44934</v>
      </c>
      <c r="N1764" s="33">
        <f>IF(Loans[[#This Row],[LoanAmount]]=0,0,Loans[[#This Row],[CollateralValue]]/Loans[[#This Row],[LoanAmount]])</f>
        <v>0.9</v>
      </c>
      <c r="O1764" t="str">
        <f>IF(Loans[[#This Row],[CollateralCoverageRatio]]&lt;1,"Undersecured","Secured")</f>
        <v>Undersecured</v>
      </c>
      <c r="P1764" t="str">
        <f>_xlfn.XLOOKUP(Loans[[#This Row],[BranchCode]],BranchesTbl[BranchCode],BranchesTbl[BranchName])</f>
        <v>Westlands</v>
      </c>
      <c r="Q1764">
        <f>_xlfn.XLOOKUP(Loans[[#This Row],[CustomerID]],CustomerTbl[CustomerID],CustomerTbl[RiskScore])</f>
        <v>604</v>
      </c>
      <c r="R1764" t="str">
        <f>IFERROR(INDEX(RiskTbl[Risk_Category],MATCH(Loans[[#This Row],[RiskScore]],RiskTbl[Score_Min],1)),"Unknown")</f>
        <v>Medium Risk</v>
      </c>
      <c r="S1764" t="str">
        <f>IF(OR(Loans[[#This Row],[LoanStatus]]="Default",Loans[[#This Row],[LoanStatus]]="Watchlist",Loans[[#This Row],[CollateralRisk]]="Undersecured",Loans[[#This Row],[RiskCategory]]="High Risk"),"High Risk Exposure","Normal")</f>
        <v>High Risk Exposure</v>
      </c>
      <c r="T1764" t="str" cm="1">
        <f t="array" ref="T1764">_xlfn.IFS(
Loans[[#This Row],[LoanStatus]]="Default","Critical",
OR(Loans[[#This Row],[LoanStatus]]="Watchlist",Loans[[#This Row],[CollateralRisk]]="Undersecured",Loans[[#This Row],[RiskCategory]]="High Risk"),"High",
TRUE,"Normal"
)</f>
        <v>High</v>
      </c>
    </row>
    <row r="1765" spans="1:20" x14ac:dyDescent="0.35">
      <c r="A1765" t="s">
        <v>2588</v>
      </c>
      <c r="B1765" t="s">
        <v>1621</v>
      </c>
      <c r="C1765" t="s">
        <v>267</v>
      </c>
      <c r="D1765" t="s">
        <v>155</v>
      </c>
      <c r="E1765" s="34">
        <v>1000000</v>
      </c>
      <c r="F1765" s="29">
        <v>0.25040000000000001</v>
      </c>
      <c r="G1765" s="30">
        <v>45366</v>
      </c>
      <c r="H1765">
        <v>60</v>
      </c>
      <c r="I1765">
        <v>10</v>
      </c>
      <c r="J1765" s="34">
        <v>0</v>
      </c>
      <c r="K1765" t="s">
        <v>171</v>
      </c>
      <c r="L1765" s="34">
        <f>PMT(Loans[[#This Row],[InterestRate]]/12,Loans[[#This Row],[LoanTenureMonths]],-Loans[[#This Row],[LoanAmount]])</f>
        <v>29374.778576841607</v>
      </c>
      <c r="M1765" s="30">
        <f>EDATE(Loans[[#This Row],[LoanStartDate]],Loans[[#This Row],[LoanTenureMonths]])</f>
        <v>47192</v>
      </c>
      <c r="N1765" s="33">
        <f>IF(Loans[[#This Row],[LoanAmount]]=0,0,Loans[[#This Row],[CollateralValue]]/Loans[[#This Row],[LoanAmount]])</f>
        <v>0</v>
      </c>
      <c r="O1765" t="str">
        <f>IF(Loans[[#This Row],[CollateralCoverageRatio]]&lt;1,"Undersecured","Secured")</f>
        <v>Undersecured</v>
      </c>
      <c r="P1765" t="str">
        <f>_xlfn.XLOOKUP(Loans[[#This Row],[BranchCode]],BranchesTbl[BranchCode],BranchesTbl[BranchName])</f>
        <v>Malindi</v>
      </c>
      <c r="Q1765">
        <f>_xlfn.XLOOKUP(Loans[[#This Row],[CustomerID]],CustomerTbl[CustomerID],CustomerTbl[RiskScore])</f>
        <v>825</v>
      </c>
      <c r="R1765" t="str">
        <f>IFERROR(INDEX(RiskTbl[Risk_Category],MATCH(Loans[[#This Row],[RiskScore]],RiskTbl[Score_Min],1)),"Unknown")</f>
        <v>Prime</v>
      </c>
      <c r="S1765" t="str">
        <f>IF(OR(Loans[[#This Row],[LoanStatus]]="Default",Loans[[#This Row],[LoanStatus]]="Watchlist",Loans[[#This Row],[CollateralRisk]]="Undersecured",Loans[[#This Row],[RiskCategory]]="High Risk"),"High Risk Exposure","Normal")</f>
        <v>High Risk Exposure</v>
      </c>
      <c r="T1765" t="str" cm="1">
        <f t="array" ref="T1765">_xlfn.IFS(
Loans[[#This Row],[LoanStatus]]="Default","Critical",
OR(Loans[[#This Row],[LoanStatus]]="Watchlist",Loans[[#This Row],[CollateralRisk]]="Undersecured",Loans[[#This Row],[RiskCategory]]="High Risk"),"High",
TRUE,"Normal"
)</f>
        <v>High</v>
      </c>
    </row>
    <row r="1766" spans="1:20" x14ac:dyDescent="0.35">
      <c r="A1766" t="s">
        <v>2589</v>
      </c>
      <c r="B1766" t="s">
        <v>2108</v>
      </c>
      <c r="C1766" t="s">
        <v>219</v>
      </c>
      <c r="D1766" t="s">
        <v>155</v>
      </c>
      <c r="E1766" s="34">
        <v>250000</v>
      </c>
      <c r="F1766" s="29">
        <v>0.19009999999999999</v>
      </c>
      <c r="G1766" s="30">
        <v>44430</v>
      </c>
      <c r="H1766">
        <v>24</v>
      </c>
      <c r="I1766">
        <v>5</v>
      </c>
      <c r="J1766" s="34">
        <v>0</v>
      </c>
      <c r="K1766" t="s">
        <v>171</v>
      </c>
      <c r="L1766" s="34">
        <f>PMT(Loans[[#This Row],[InterestRate]]/12,Loans[[#This Row],[LoanTenureMonths]],-Loans[[#This Row],[LoanAmount]])</f>
        <v>12603.368963349038</v>
      </c>
      <c r="M1766" s="30">
        <f>EDATE(Loans[[#This Row],[LoanStartDate]],Loans[[#This Row],[LoanTenureMonths]])</f>
        <v>45160</v>
      </c>
      <c r="N1766" s="33">
        <f>IF(Loans[[#This Row],[LoanAmount]]=0,0,Loans[[#This Row],[CollateralValue]]/Loans[[#This Row],[LoanAmount]])</f>
        <v>0</v>
      </c>
      <c r="O1766" t="str">
        <f>IF(Loans[[#This Row],[CollateralCoverageRatio]]&lt;1,"Undersecured","Secured")</f>
        <v>Undersecured</v>
      </c>
      <c r="P1766" t="str">
        <f>_xlfn.XLOOKUP(Loans[[#This Row],[BranchCode]],BranchesTbl[BranchCode],BranchesTbl[BranchName])</f>
        <v>Meru</v>
      </c>
      <c r="Q1766">
        <f>_xlfn.XLOOKUP(Loans[[#This Row],[CustomerID]],CustomerTbl[CustomerID],CustomerTbl[RiskScore])</f>
        <v>760</v>
      </c>
      <c r="R1766" t="str">
        <f>IFERROR(INDEX(RiskTbl[Risk_Category],MATCH(Loans[[#This Row],[RiskScore]],RiskTbl[Score_Min],1)),"Unknown")</f>
        <v>Very Low Risk</v>
      </c>
      <c r="S1766" t="str">
        <f>IF(OR(Loans[[#This Row],[LoanStatus]]="Default",Loans[[#This Row],[LoanStatus]]="Watchlist",Loans[[#This Row],[CollateralRisk]]="Undersecured",Loans[[#This Row],[RiskCategory]]="High Risk"),"High Risk Exposure","Normal")</f>
        <v>High Risk Exposure</v>
      </c>
      <c r="T1766" t="str" cm="1">
        <f t="array" ref="T1766">_xlfn.IFS(
Loans[[#This Row],[LoanStatus]]="Default","Critical",
OR(Loans[[#This Row],[LoanStatus]]="Watchlist",Loans[[#This Row],[CollateralRisk]]="Undersecured",Loans[[#This Row],[RiskCategory]]="High Risk"),"High",
TRUE,"Normal"
)</f>
        <v>High</v>
      </c>
    </row>
    <row r="1767" spans="1:20" x14ac:dyDescent="0.35">
      <c r="A1767" t="s">
        <v>2590</v>
      </c>
      <c r="B1767" t="s">
        <v>1087</v>
      </c>
      <c r="C1767" t="s">
        <v>184</v>
      </c>
      <c r="D1767" t="s">
        <v>157</v>
      </c>
      <c r="E1767" s="34">
        <v>80000000</v>
      </c>
      <c r="F1767" s="29">
        <v>0.106</v>
      </c>
      <c r="G1767" s="30">
        <v>45383</v>
      </c>
      <c r="H1767">
        <v>36</v>
      </c>
      <c r="I1767">
        <v>5</v>
      </c>
      <c r="J1767" s="34">
        <v>115200000</v>
      </c>
      <c r="K1767" t="s">
        <v>171</v>
      </c>
      <c r="L1767" s="34">
        <f>PMT(Loans[[#This Row],[InterestRate]]/12,Loans[[#This Row],[LoanTenureMonths]],-Loans[[#This Row],[LoanAmount]])</f>
        <v>2603969.3514855723</v>
      </c>
      <c r="M1767" s="30">
        <f>EDATE(Loans[[#This Row],[LoanStartDate]],Loans[[#This Row],[LoanTenureMonths]])</f>
        <v>46478</v>
      </c>
      <c r="N1767" s="33">
        <f>IF(Loans[[#This Row],[LoanAmount]]=0,0,Loans[[#This Row],[CollateralValue]]/Loans[[#This Row],[LoanAmount]])</f>
        <v>1.44</v>
      </c>
      <c r="O1767" t="str">
        <f>IF(Loans[[#This Row],[CollateralCoverageRatio]]&lt;1,"Undersecured","Secured")</f>
        <v>Secured</v>
      </c>
      <c r="P1767" t="str">
        <f>_xlfn.XLOOKUP(Loans[[#This Row],[BranchCode]],BranchesTbl[BranchCode],BranchesTbl[BranchName])</f>
        <v>Kisumu</v>
      </c>
      <c r="Q1767">
        <f>_xlfn.XLOOKUP(Loans[[#This Row],[CustomerID]],CustomerTbl[CustomerID],CustomerTbl[RiskScore])</f>
        <v>332</v>
      </c>
      <c r="R1767" t="str">
        <f>IFERROR(INDEX(RiskTbl[Risk_Category],MATCH(Loans[[#This Row],[RiskScore]],RiskTbl[Score_Min],1)),"Unknown")</f>
        <v>High Risk</v>
      </c>
      <c r="S1767" t="str">
        <f>IF(OR(Loans[[#This Row],[LoanStatus]]="Default",Loans[[#This Row],[LoanStatus]]="Watchlist",Loans[[#This Row],[CollateralRisk]]="Undersecured",Loans[[#This Row],[RiskCategory]]="High Risk"),"High Risk Exposure","Normal")</f>
        <v>High Risk Exposure</v>
      </c>
      <c r="T1767" t="str" cm="1">
        <f t="array" ref="T1767">_xlfn.IFS(
Loans[[#This Row],[LoanStatus]]="Default","Critical",
OR(Loans[[#This Row],[LoanStatus]]="Watchlist",Loans[[#This Row],[CollateralRisk]]="Undersecured",Loans[[#This Row],[RiskCategory]]="High Risk"),"High",
TRUE,"Normal"
)</f>
        <v>High</v>
      </c>
    </row>
    <row r="1768" spans="1:20" x14ac:dyDescent="0.35">
      <c r="A1768" t="s">
        <v>2591</v>
      </c>
      <c r="B1768" t="s">
        <v>2293</v>
      </c>
      <c r="C1768" t="s">
        <v>270</v>
      </c>
      <c r="D1768" t="s">
        <v>157</v>
      </c>
      <c r="E1768" s="34">
        <v>6000000</v>
      </c>
      <c r="F1768" s="29">
        <v>0.1321</v>
      </c>
      <c r="G1768" s="30">
        <v>45435</v>
      </c>
      <c r="H1768">
        <v>36</v>
      </c>
      <c r="I1768">
        <v>5</v>
      </c>
      <c r="J1768" s="34">
        <v>8820000</v>
      </c>
      <c r="K1768" t="s">
        <v>171</v>
      </c>
      <c r="L1768" s="34">
        <f>PMT(Loans[[#This Row],[InterestRate]]/12,Loans[[#This Row],[LoanTenureMonths]],-Loans[[#This Row],[LoanAmount]])</f>
        <v>202771.14035837588</v>
      </c>
      <c r="M1768" s="30">
        <f>EDATE(Loans[[#This Row],[LoanStartDate]],Loans[[#This Row],[LoanTenureMonths]])</f>
        <v>46530</v>
      </c>
      <c r="N1768" s="33">
        <f>IF(Loans[[#This Row],[LoanAmount]]=0,0,Loans[[#This Row],[CollateralValue]]/Loans[[#This Row],[LoanAmount]])</f>
        <v>1.47</v>
      </c>
      <c r="O1768" t="str">
        <f>IF(Loans[[#This Row],[CollateralCoverageRatio]]&lt;1,"Undersecured","Secured")</f>
        <v>Secured</v>
      </c>
      <c r="P1768" t="str">
        <f>_xlfn.XLOOKUP(Loans[[#This Row],[BranchCode]],BranchesTbl[BranchCode],BranchesTbl[BranchName])</f>
        <v>Nakuru</v>
      </c>
      <c r="Q1768">
        <f>_xlfn.XLOOKUP(Loans[[#This Row],[CustomerID]],CustomerTbl[CustomerID],CustomerTbl[RiskScore])</f>
        <v>549</v>
      </c>
      <c r="R1768" t="str">
        <f>IFERROR(INDEX(RiskTbl[Risk_Category],MATCH(Loans[[#This Row],[RiskScore]],RiskTbl[Score_Min],1)),"Unknown")</f>
        <v>High Risk</v>
      </c>
      <c r="S1768" t="str">
        <f>IF(OR(Loans[[#This Row],[LoanStatus]]="Default",Loans[[#This Row],[LoanStatus]]="Watchlist",Loans[[#This Row],[CollateralRisk]]="Undersecured",Loans[[#This Row],[RiskCategory]]="High Risk"),"High Risk Exposure","Normal")</f>
        <v>High Risk Exposure</v>
      </c>
      <c r="T1768" t="str" cm="1">
        <f t="array" ref="T1768">_xlfn.IFS(
Loans[[#This Row],[LoanStatus]]="Default","Critical",
OR(Loans[[#This Row],[LoanStatus]]="Watchlist",Loans[[#This Row],[CollateralRisk]]="Undersecured",Loans[[#This Row],[RiskCategory]]="High Risk"),"High",
TRUE,"Normal"
)</f>
        <v>High</v>
      </c>
    </row>
    <row r="1769" spans="1:20" x14ac:dyDescent="0.35">
      <c r="A1769" t="s">
        <v>2592</v>
      </c>
      <c r="B1769" t="s">
        <v>647</v>
      </c>
      <c r="C1769" t="s">
        <v>232</v>
      </c>
      <c r="D1769" t="s">
        <v>156</v>
      </c>
      <c r="E1769" s="34">
        <v>6000000</v>
      </c>
      <c r="F1769" s="29">
        <v>0.21540000000000001</v>
      </c>
      <c r="G1769" s="30">
        <v>44740</v>
      </c>
      <c r="H1769">
        <v>60</v>
      </c>
      <c r="I1769">
        <v>0</v>
      </c>
      <c r="J1769" s="34">
        <v>5280000</v>
      </c>
      <c r="K1769" t="s">
        <v>171</v>
      </c>
      <c r="L1769" s="34">
        <f>PMT(Loans[[#This Row],[InterestRate]]/12,Loans[[#This Row],[LoanTenureMonths]],-Loans[[#This Row],[LoanAmount]])</f>
        <v>164148.04637200531</v>
      </c>
      <c r="M1769" s="30">
        <f>EDATE(Loans[[#This Row],[LoanStartDate]],Loans[[#This Row],[LoanTenureMonths]])</f>
        <v>46566</v>
      </c>
      <c r="N1769" s="33">
        <f>IF(Loans[[#This Row],[LoanAmount]]=0,0,Loans[[#This Row],[CollateralValue]]/Loans[[#This Row],[LoanAmount]])</f>
        <v>0.88</v>
      </c>
      <c r="O1769" t="str">
        <f>IF(Loans[[#This Row],[CollateralCoverageRatio]]&lt;1,"Undersecured","Secured")</f>
        <v>Undersecured</v>
      </c>
      <c r="P1769" t="str">
        <f>_xlfn.XLOOKUP(Loans[[#This Row],[BranchCode]],BranchesTbl[BranchCode],BranchesTbl[BranchName])</f>
        <v>Upper Hill</v>
      </c>
      <c r="Q1769">
        <f>_xlfn.XLOOKUP(Loans[[#This Row],[CustomerID]],CustomerTbl[CustomerID],CustomerTbl[RiskScore])</f>
        <v>599</v>
      </c>
      <c r="R1769" t="str">
        <f>IFERROR(INDEX(RiskTbl[Risk_Category],MATCH(Loans[[#This Row],[RiskScore]],RiskTbl[Score_Min],1)),"Unknown")</f>
        <v>Medium Risk</v>
      </c>
      <c r="S1769" t="str">
        <f>IF(OR(Loans[[#This Row],[LoanStatus]]="Default",Loans[[#This Row],[LoanStatus]]="Watchlist",Loans[[#This Row],[CollateralRisk]]="Undersecured",Loans[[#This Row],[RiskCategory]]="High Risk"),"High Risk Exposure","Normal")</f>
        <v>High Risk Exposure</v>
      </c>
      <c r="T1769" t="str" cm="1">
        <f t="array" ref="T1769">_xlfn.IFS(
Loans[[#This Row],[LoanStatus]]="Default","Critical",
OR(Loans[[#This Row],[LoanStatus]]="Watchlist",Loans[[#This Row],[CollateralRisk]]="Undersecured",Loans[[#This Row],[RiskCategory]]="High Risk"),"High",
TRUE,"Normal"
)</f>
        <v>High</v>
      </c>
    </row>
    <row r="1770" spans="1:20" x14ac:dyDescent="0.35">
      <c r="A1770" t="s">
        <v>2593</v>
      </c>
      <c r="B1770" t="s">
        <v>385</v>
      </c>
      <c r="C1770" t="s">
        <v>170</v>
      </c>
      <c r="D1770" t="s">
        <v>158</v>
      </c>
      <c r="E1770" s="34">
        <v>6000000</v>
      </c>
      <c r="F1770" s="29">
        <v>0.19919999999999999</v>
      </c>
      <c r="G1770" s="30">
        <v>44268</v>
      </c>
      <c r="H1770">
        <v>24</v>
      </c>
      <c r="I1770">
        <v>0</v>
      </c>
      <c r="J1770" s="34">
        <v>5400000</v>
      </c>
      <c r="K1770" t="s">
        <v>171</v>
      </c>
      <c r="L1770" s="34">
        <f>PMT(Loans[[#This Row],[InterestRate]]/12,Loans[[#This Row],[LoanTenureMonths]],-Loans[[#This Row],[LoanAmount]])</f>
        <v>305140.37829636718</v>
      </c>
      <c r="M1770" s="30">
        <f>EDATE(Loans[[#This Row],[LoanStartDate]],Loans[[#This Row],[LoanTenureMonths]])</f>
        <v>44998</v>
      </c>
      <c r="N1770" s="33">
        <f>IF(Loans[[#This Row],[LoanAmount]]=0,0,Loans[[#This Row],[CollateralValue]]/Loans[[#This Row],[LoanAmount]])</f>
        <v>0.9</v>
      </c>
      <c r="O1770" t="str">
        <f>IF(Loans[[#This Row],[CollateralCoverageRatio]]&lt;1,"Undersecured","Secured")</f>
        <v>Undersecured</v>
      </c>
      <c r="P1770" t="str">
        <f>_xlfn.XLOOKUP(Loans[[#This Row],[BranchCode]],BranchesTbl[BranchCode],BranchesTbl[BranchName])</f>
        <v>Thika</v>
      </c>
      <c r="Q1770">
        <f>_xlfn.XLOOKUP(Loans[[#This Row],[CustomerID]],CustomerTbl[CustomerID],CustomerTbl[RiskScore])</f>
        <v>753</v>
      </c>
      <c r="R1770" t="str">
        <f>IFERROR(INDEX(RiskTbl[Risk_Category],MATCH(Loans[[#This Row],[RiskScore]],RiskTbl[Score_Min],1)),"Unknown")</f>
        <v>Very Low Risk</v>
      </c>
      <c r="S1770" t="str">
        <f>IF(OR(Loans[[#This Row],[LoanStatus]]="Default",Loans[[#This Row],[LoanStatus]]="Watchlist",Loans[[#This Row],[CollateralRisk]]="Undersecured",Loans[[#This Row],[RiskCategory]]="High Risk"),"High Risk Exposure","Normal")</f>
        <v>High Risk Exposure</v>
      </c>
      <c r="T1770" t="str" cm="1">
        <f t="array" ref="T1770">_xlfn.IFS(
Loans[[#This Row],[LoanStatus]]="Default","Critical",
OR(Loans[[#This Row],[LoanStatus]]="Watchlist",Loans[[#This Row],[CollateralRisk]]="Undersecured",Loans[[#This Row],[RiskCategory]]="High Risk"),"High",
TRUE,"Normal"
)</f>
        <v>High</v>
      </c>
    </row>
    <row r="1771" spans="1:20" x14ac:dyDescent="0.35">
      <c r="A1771" t="s">
        <v>2594</v>
      </c>
      <c r="B1771" t="s">
        <v>2066</v>
      </c>
      <c r="C1771" t="s">
        <v>196</v>
      </c>
      <c r="D1771" t="s">
        <v>157</v>
      </c>
      <c r="E1771" s="34">
        <v>80000000</v>
      </c>
      <c r="F1771" s="29">
        <v>0.13189999999999999</v>
      </c>
      <c r="G1771" s="30">
        <v>45464</v>
      </c>
      <c r="H1771">
        <v>36</v>
      </c>
      <c r="I1771">
        <v>0</v>
      </c>
      <c r="J1771" s="34">
        <v>92000000</v>
      </c>
      <c r="K1771" t="s">
        <v>171</v>
      </c>
      <c r="L1771" s="34">
        <f>PMT(Loans[[#This Row],[InterestRate]]/12,Loans[[#This Row],[LoanTenureMonths]],-Loans[[#This Row],[LoanAmount]])</f>
        <v>2702843.2540814336</v>
      </c>
      <c r="M1771" s="30">
        <f>EDATE(Loans[[#This Row],[LoanStartDate]],Loans[[#This Row],[LoanTenureMonths]])</f>
        <v>46559</v>
      </c>
      <c r="N1771" s="33">
        <f>IF(Loans[[#This Row],[LoanAmount]]=0,0,Loans[[#This Row],[CollateralValue]]/Loans[[#This Row],[LoanAmount]])</f>
        <v>1.1499999999999999</v>
      </c>
      <c r="O1771" t="str">
        <f>IF(Loans[[#This Row],[CollateralCoverageRatio]]&lt;1,"Undersecured","Secured")</f>
        <v>Secured</v>
      </c>
      <c r="P1771" t="str">
        <f>_xlfn.XLOOKUP(Loans[[#This Row],[BranchCode]],BranchesTbl[BranchCode],BranchesTbl[BranchName])</f>
        <v>Karen</v>
      </c>
      <c r="Q1771">
        <f>_xlfn.XLOOKUP(Loans[[#This Row],[CustomerID]],CustomerTbl[CustomerID],CustomerTbl[RiskScore])</f>
        <v>625</v>
      </c>
      <c r="R1771" t="str">
        <f>IFERROR(INDEX(RiskTbl[Risk_Category],MATCH(Loans[[#This Row],[RiskScore]],RiskTbl[Score_Min],1)),"Unknown")</f>
        <v>Medium Risk</v>
      </c>
      <c r="S1771" t="str">
        <f>IF(OR(Loans[[#This Row],[LoanStatus]]="Default",Loans[[#This Row],[LoanStatus]]="Watchlist",Loans[[#This Row],[CollateralRisk]]="Undersecured",Loans[[#This Row],[RiskCategory]]="High Risk"),"High Risk Exposure","Normal")</f>
        <v>Normal</v>
      </c>
      <c r="T1771" t="str" cm="1">
        <f t="array" ref="T1771">_xlfn.IFS(
Loans[[#This Row],[LoanStatus]]="Default","Critical",
OR(Loans[[#This Row],[LoanStatus]]="Watchlist",Loans[[#This Row],[CollateralRisk]]="Undersecured",Loans[[#This Row],[RiskCategory]]="High Risk"),"High",
TRUE,"Normal"
)</f>
        <v>Normal</v>
      </c>
    </row>
    <row r="1772" spans="1:20" x14ac:dyDescent="0.35">
      <c r="A1772" t="s">
        <v>2595</v>
      </c>
      <c r="B1772" t="s">
        <v>498</v>
      </c>
      <c r="C1772" t="s">
        <v>270</v>
      </c>
      <c r="D1772" t="s">
        <v>155</v>
      </c>
      <c r="E1772" s="34">
        <v>250000</v>
      </c>
      <c r="F1772" s="29">
        <v>0.2351</v>
      </c>
      <c r="G1772" s="30">
        <v>45699</v>
      </c>
      <c r="H1772">
        <v>12</v>
      </c>
      <c r="I1772">
        <v>20</v>
      </c>
      <c r="J1772" s="34">
        <v>0</v>
      </c>
      <c r="K1772" t="s">
        <v>171</v>
      </c>
      <c r="L1772" s="34">
        <f>PMT(Loans[[#This Row],[InterestRate]]/12,Loans[[#This Row],[LoanTenureMonths]],-Loans[[#This Row],[LoanAmount]])</f>
        <v>23580.656310007529</v>
      </c>
      <c r="M1772" s="30">
        <f>EDATE(Loans[[#This Row],[LoanStartDate]],Loans[[#This Row],[LoanTenureMonths]])</f>
        <v>46064</v>
      </c>
      <c r="N1772" s="33">
        <f>IF(Loans[[#This Row],[LoanAmount]]=0,0,Loans[[#This Row],[CollateralValue]]/Loans[[#This Row],[LoanAmount]])</f>
        <v>0</v>
      </c>
      <c r="O1772" t="str">
        <f>IF(Loans[[#This Row],[CollateralCoverageRatio]]&lt;1,"Undersecured","Secured")</f>
        <v>Undersecured</v>
      </c>
      <c r="P1772" t="str">
        <f>_xlfn.XLOOKUP(Loans[[#This Row],[BranchCode]],BranchesTbl[BranchCode],BranchesTbl[BranchName])</f>
        <v>Nakuru</v>
      </c>
      <c r="Q1772">
        <f>_xlfn.XLOOKUP(Loans[[#This Row],[CustomerID]],CustomerTbl[CustomerID],CustomerTbl[RiskScore])</f>
        <v>709</v>
      </c>
      <c r="R1772" t="str">
        <f>IFERROR(INDEX(RiskTbl[Risk_Category],MATCH(Loans[[#This Row],[RiskScore]],RiskTbl[Score_Min],1)),"Unknown")</f>
        <v>Low Risk</v>
      </c>
      <c r="S1772" t="str">
        <f>IF(OR(Loans[[#This Row],[LoanStatus]]="Default",Loans[[#This Row],[LoanStatus]]="Watchlist",Loans[[#This Row],[CollateralRisk]]="Undersecured",Loans[[#This Row],[RiskCategory]]="High Risk"),"High Risk Exposure","Normal")</f>
        <v>High Risk Exposure</v>
      </c>
      <c r="T1772" t="str" cm="1">
        <f t="array" ref="T1772">_xlfn.IFS(
Loans[[#This Row],[LoanStatus]]="Default","Critical",
OR(Loans[[#This Row],[LoanStatus]]="Watchlist",Loans[[#This Row],[CollateralRisk]]="Undersecured",Loans[[#This Row],[RiskCategory]]="High Risk"),"High",
TRUE,"Normal"
)</f>
        <v>High</v>
      </c>
    </row>
    <row r="1773" spans="1:20" x14ac:dyDescent="0.35">
      <c r="A1773" t="s">
        <v>2596</v>
      </c>
      <c r="B1773" t="s">
        <v>1037</v>
      </c>
      <c r="C1773" t="s">
        <v>184</v>
      </c>
      <c r="D1773" t="s">
        <v>158</v>
      </c>
      <c r="E1773" s="34">
        <v>3000000</v>
      </c>
      <c r="F1773" s="29">
        <v>0.1477</v>
      </c>
      <c r="G1773" s="30">
        <v>45445</v>
      </c>
      <c r="H1773">
        <v>12</v>
      </c>
      <c r="I1773">
        <v>0</v>
      </c>
      <c r="J1773" s="34">
        <v>2550000</v>
      </c>
      <c r="K1773" t="s">
        <v>171</v>
      </c>
      <c r="L1773" s="34">
        <f>PMT(Loans[[#This Row],[InterestRate]]/12,Loans[[#This Row],[LoanTenureMonths]],-Loans[[#This Row],[LoanAmount]])</f>
        <v>270449.45360967354</v>
      </c>
      <c r="M1773" s="30">
        <f>EDATE(Loans[[#This Row],[LoanStartDate]],Loans[[#This Row],[LoanTenureMonths]])</f>
        <v>45810</v>
      </c>
      <c r="N1773" s="33">
        <f>IF(Loans[[#This Row],[LoanAmount]]=0,0,Loans[[#This Row],[CollateralValue]]/Loans[[#This Row],[LoanAmount]])</f>
        <v>0.85</v>
      </c>
      <c r="O1773" t="str">
        <f>IF(Loans[[#This Row],[CollateralCoverageRatio]]&lt;1,"Undersecured","Secured")</f>
        <v>Undersecured</v>
      </c>
      <c r="P1773" t="str">
        <f>_xlfn.XLOOKUP(Loans[[#This Row],[BranchCode]],BranchesTbl[BranchCode],BranchesTbl[BranchName])</f>
        <v>Kisumu</v>
      </c>
      <c r="Q1773">
        <f>_xlfn.XLOOKUP(Loans[[#This Row],[CustomerID]],CustomerTbl[CustomerID],CustomerTbl[RiskScore])</f>
        <v>444</v>
      </c>
      <c r="R1773" t="str">
        <f>IFERROR(INDEX(RiskTbl[Risk_Category],MATCH(Loans[[#This Row],[RiskScore]],RiskTbl[Score_Min],1)),"Unknown")</f>
        <v>High Risk</v>
      </c>
      <c r="S1773" t="str">
        <f>IF(OR(Loans[[#This Row],[LoanStatus]]="Default",Loans[[#This Row],[LoanStatus]]="Watchlist",Loans[[#This Row],[CollateralRisk]]="Undersecured",Loans[[#This Row],[RiskCategory]]="High Risk"),"High Risk Exposure","Normal")</f>
        <v>High Risk Exposure</v>
      </c>
      <c r="T1773" t="str" cm="1">
        <f t="array" ref="T1773">_xlfn.IFS(
Loans[[#This Row],[LoanStatus]]="Default","Critical",
OR(Loans[[#This Row],[LoanStatus]]="Watchlist",Loans[[#This Row],[CollateralRisk]]="Undersecured",Loans[[#This Row],[RiskCategory]]="High Risk"),"High",
TRUE,"Normal"
)</f>
        <v>High</v>
      </c>
    </row>
    <row r="1774" spans="1:20" x14ac:dyDescent="0.35">
      <c r="A1774" t="s">
        <v>2597</v>
      </c>
      <c r="B1774" t="s">
        <v>733</v>
      </c>
      <c r="C1774" t="s">
        <v>196</v>
      </c>
      <c r="D1774" t="s">
        <v>156</v>
      </c>
      <c r="E1774" s="34">
        <v>3000000</v>
      </c>
      <c r="F1774" s="29">
        <v>0.18890000000000001</v>
      </c>
      <c r="G1774" s="30">
        <v>45419</v>
      </c>
      <c r="H1774">
        <v>24</v>
      </c>
      <c r="I1774">
        <v>45</v>
      </c>
      <c r="J1774" s="34">
        <v>3120000</v>
      </c>
      <c r="K1774" t="s">
        <v>199</v>
      </c>
      <c r="L1774" s="34">
        <f>PMT(Loans[[#This Row],[InterestRate]]/12,Loans[[#This Row],[LoanTenureMonths]],-Loans[[#This Row],[LoanAmount]])</f>
        <v>151065.56907342913</v>
      </c>
      <c r="M1774" s="30">
        <f>EDATE(Loans[[#This Row],[LoanStartDate]],Loans[[#This Row],[LoanTenureMonths]])</f>
        <v>46149</v>
      </c>
      <c r="N1774" s="33">
        <f>IF(Loans[[#This Row],[LoanAmount]]=0,0,Loans[[#This Row],[CollateralValue]]/Loans[[#This Row],[LoanAmount]])</f>
        <v>1.04</v>
      </c>
      <c r="O1774" t="str">
        <f>IF(Loans[[#This Row],[CollateralCoverageRatio]]&lt;1,"Undersecured","Secured")</f>
        <v>Secured</v>
      </c>
      <c r="P1774" t="str">
        <f>_xlfn.XLOOKUP(Loans[[#This Row],[BranchCode]],BranchesTbl[BranchCode],BranchesTbl[BranchName])</f>
        <v>Karen</v>
      </c>
      <c r="Q1774">
        <f>_xlfn.XLOOKUP(Loans[[#This Row],[CustomerID]],CustomerTbl[CustomerID],CustomerTbl[RiskScore])</f>
        <v>719</v>
      </c>
      <c r="R1774" t="str">
        <f>IFERROR(INDEX(RiskTbl[Risk_Category],MATCH(Loans[[#This Row],[RiskScore]],RiskTbl[Score_Min],1)),"Unknown")</f>
        <v>Low Risk</v>
      </c>
      <c r="S1774" t="str">
        <f>IF(OR(Loans[[#This Row],[LoanStatus]]="Default",Loans[[#This Row],[LoanStatus]]="Watchlist",Loans[[#This Row],[CollateralRisk]]="Undersecured",Loans[[#This Row],[RiskCategory]]="High Risk"),"High Risk Exposure","Normal")</f>
        <v>High Risk Exposure</v>
      </c>
      <c r="T1774" t="str" cm="1">
        <f t="array" ref="T1774">_xlfn.IFS(
Loans[[#This Row],[LoanStatus]]="Default","Critical",
OR(Loans[[#This Row],[LoanStatus]]="Watchlist",Loans[[#This Row],[CollateralRisk]]="Undersecured",Loans[[#This Row],[RiskCategory]]="High Risk"),"High",
TRUE,"Normal"
)</f>
        <v>High</v>
      </c>
    </row>
    <row r="1775" spans="1:20" x14ac:dyDescent="0.35">
      <c r="A1775" t="s">
        <v>2598</v>
      </c>
      <c r="B1775" t="s">
        <v>1239</v>
      </c>
      <c r="C1775" t="s">
        <v>239</v>
      </c>
      <c r="D1775" t="s">
        <v>158</v>
      </c>
      <c r="E1775" s="34">
        <v>6000000</v>
      </c>
      <c r="F1775" s="29">
        <v>0.14449999999999999</v>
      </c>
      <c r="G1775" s="30">
        <v>44824</v>
      </c>
      <c r="H1775">
        <v>60</v>
      </c>
      <c r="I1775">
        <v>5</v>
      </c>
      <c r="J1775" s="34">
        <v>7800000</v>
      </c>
      <c r="K1775" t="s">
        <v>171</v>
      </c>
      <c r="L1775" s="34">
        <f>PMT(Loans[[#This Row],[InterestRate]]/12,Loans[[#This Row],[LoanTenureMonths]],-Loans[[#This Row],[LoanAmount]])</f>
        <v>141013.23061377023</v>
      </c>
      <c r="M1775" s="30">
        <f>EDATE(Loans[[#This Row],[LoanStartDate]],Loans[[#This Row],[LoanTenureMonths]])</f>
        <v>46650</v>
      </c>
      <c r="N1775" s="33">
        <f>IF(Loans[[#This Row],[LoanAmount]]=0,0,Loans[[#This Row],[CollateralValue]]/Loans[[#This Row],[LoanAmount]])</f>
        <v>1.3</v>
      </c>
      <c r="O1775" t="str">
        <f>IF(Loans[[#This Row],[CollateralCoverageRatio]]&lt;1,"Undersecured","Secured")</f>
        <v>Secured</v>
      </c>
      <c r="P1775" t="str">
        <f>_xlfn.XLOOKUP(Loans[[#This Row],[BranchCode]],BranchesTbl[BranchCode],BranchesTbl[BranchName])</f>
        <v>Machakos</v>
      </c>
      <c r="Q1775">
        <f>_xlfn.XLOOKUP(Loans[[#This Row],[CustomerID]],CustomerTbl[CustomerID],CustomerTbl[RiskScore])</f>
        <v>680</v>
      </c>
      <c r="R1775" t="str">
        <f>IFERROR(INDEX(RiskTbl[Risk_Category],MATCH(Loans[[#This Row],[RiskScore]],RiskTbl[Score_Min],1)),"Unknown")</f>
        <v>Low Risk</v>
      </c>
      <c r="S1775" t="str">
        <f>IF(OR(Loans[[#This Row],[LoanStatus]]="Default",Loans[[#This Row],[LoanStatus]]="Watchlist",Loans[[#This Row],[CollateralRisk]]="Undersecured",Loans[[#This Row],[RiskCategory]]="High Risk"),"High Risk Exposure","Normal")</f>
        <v>Normal</v>
      </c>
      <c r="T1775" t="str" cm="1">
        <f t="array" ref="T1775">_xlfn.IFS(
Loans[[#This Row],[LoanStatus]]="Default","Critical",
OR(Loans[[#This Row],[LoanStatus]]="Watchlist",Loans[[#This Row],[CollateralRisk]]="Undersecured",Loans[[#This Row],[RiskCategory]]="High Risk"),"High",
TRUE,"Normal"
)</f>
        <v>Normal</v>
      </c>
    </row>
    <row r="1776" spans="1:20" x14ac:dyDescent="0.35">
      <c r="A1776" t="s">
        <v>2599</v>
      </c>
      <c r="B1776" t="s">
        <v>2600</v>
      </c>
      <c r="C1776" t="s">
        <v>196</v>
      </c>
      <c r="D1776" t="s">
        <v>158</v>
      </c>
      <c r="E1776" s="34">
        <v>1000000</v>
      </c>
      <c r="F1776" s="29">
        <v>0.1988</v>
      </c>
      <c r="G1776" s="30">
        <v>45434</v>
      </c>
      <c r="H1776">
        <v>72</v>
      </c>
      <c r="I1776">
        <v>0</v>
      </c>
      <c r="J1776" s="34">
        <v>1360000</v>
      </c>
      <c r="K1776" t="s">
        <v>171</v>
      </c>
      <c r="L1776" s="34">
        <f>PMT(Loans[[#This Row],[InterestRate]]/12,Loans[[#This Row],[LoanTenureMonths]],-Loans[[#This Row],[LoanAmount]])</f>
        <v>23883.318458412337</v>
      </c>
      <c r="M1776" s="30">
        <f>EDATE(Loans[[#This Row],[LoanStartDate]],Loans[[#This Row],[LoanTenureMonths]])</f>
        <v>47625</v>
      </c>
      <c r="N1776" s="33">
        <f>IF(Loans[[#This Row],[LoanAmount]]=0,0,Loans[[#This Row],[CollateralValue]]/Loans[[#This Row],[LoanAmount]])</f>
        <v>1.36</v>
      </c>
      <c r="O1776" t="str">
        <f>IF(Loans[[#This Row],[CollateralCoverageRatio]]&lt;1,"Undersecured","Secured")</f>
        <v>Secured</v>
      </c>
      <c r="P1776" t="str">
        <f>_xlfn.XLOOKUP(Loans[[#This Row],[BranchCode]],BranchesTbl[BranchCode],BranchesTbl[BranchName])</f>
        <v>Karen</v>
      </c>
      <c r="Q1776">
        <f>_xlfn.XLOOKUP(Loans[[#This Row],[CustomerID]],CustomerTbl[CustomerID],CustomerTbl[RiskScore])</f>
        <v>372</v>
      </c>
      <c r="R1776" t="str">
        <f>IFERROR(INDEX(RiskTbl[Risk_Category],MATCH(Loans[[#This Row],[RiskScore]],RiskTbl[Score_Min],1)),"Unknown")</f>
        <v>High Risk</v>
      </c>
      <c r="S1776" t="str">
        <f>IF(OR(Loans[[#This Row],[LoanStatus]]="Default",Loans[[#This Row],[LoanStatus]]="Watchlist",Loans[[#This Row],[CollateralRisk]]="Undersecured",Loans[[#This Row],[RiskCategory]]="High Risk"),"High Risk Exposure","Normal")</f>
        <v>High Risk Exposure</v>
      </c>
      <c r="T1776" t="str" cm="1">
        <f t="array" ref="T1776">_xlfn.IFS(
Loans[[#This Row],[LoanStatus]]="Default","Critical",
OR(Loans[[#This Row],[LoanStatus]]="Watchlist",Loans[[#This Row],[CollateralRisk]]="Undersecured",Loans[[#This Row],[RiskCategory]]="High Risk"),"High",
TRUE,"Normal"
)</f>
        <v>High</v>
      </c>
    </row>
    <row r="1777" spans="1:20" x14ac:dyDescent="0.35">
      <c r="A1777" t="s">
        <v>2601</v>
      </c>
      <c r="B1777" t="s">
        <v>1521</v>
      </c>
      <c r="C1777" t="s">
        <v>181</v>
      </c>
      <c r="D1777" t="s">
        <v>157</v>
      </c>
      <c r="E1777" s="34">
        <v>80000000</v>
      </c>
      <c r="F1777" s="29">
        <v>0.11</v>
      </c>
      <c r="G1777" s="30">
        <v>45740</v>
      </c>
      <c r="H1777">
        <v>60</v>
      </c>
      <c r="I1777">
        <v>5</v>
      </c>
      <c r="J1777" s="34">
        <v>63200000</v>
      </c>
      <c r="K1777" t="s">
        <v>171</v>
      </c>
      <c r="L1777" s="34">
        <f>PMT(Loans[[#This Row],[InterestRate]]/12,Loans[[#This Row],[LoanTenureMonths]],-Loans[[#This Row],[LoanAmount]])</f>
        <v>1739393.8458114646</v>
      </c>
      <c r="M1777" s="30">
        <f>EDATE(Loans[[#This Row],[LoanStartDate]],Loans[[#This Row],[LoanTenureMonths]])</f>
        <v>47566</v>
      </c>
      <c r="N1777" s="33">
        <f>IF(Loans[[#This Row],[LoanAmount]]=0,0,Loans[[#This Row],[CollateralValue]]/Loans[[#This Row],[LoanAmount]])</f>
        <v>0.79</v>
      </c>
      <c r="O1777" t="str">
        <f>IF(Loans[[#This Row],[CollateralCoverageRatio]]&lt;1,"Undersecured","Secured")</f>
        <v>Undersecured</v>
      </c>
      <c r="P1777" t="str">
        <f>_xlfn.XLOOKUP(Loans[[#This Row],[BranchCode]],BranchesTbl[BranchCode],BranchesTbl[BranchName])</f>
        <v>Kitale</v>
      </c>
      <c r="Q1777">
        <f>_xlfn.XLOOKUP(Loans[[#This Row],[CustomerID]],CustomerTbl[CustomerID],CustomerTbl[RiskScore])</f>
        <v>397</v>
      </c>
      <c r="R1777" t="str">
        <f>IFERROR(INDEX(RiskTbl[Risk_Category],MATCH(Loans[[#This Row],[RiskScore]],RiskTbl[Score_Min],1)),"Unknown")</f>
        <v>High Risk</v>
      </c>
      <c r="S1777" t="str">
        <f>IF(OR(Loans[[#This Row],[LoanStatus]]="Default",Loans[[#This Row],[LoanStatus]]="Watchlist",Loans[[#This Row],[CollateralRisk]]="Undersecured",Loans[[#This Row],[RiskCategory]]="High Risk"),"High Risk Exposure","Normal")</f>
        <v>High Risk Exposure</v>
      </c>
      <c r="T1777" t="str" cm="1">
        <f t="array" ref="T1777">_xlfn.IFS(
Loans[[#This Row],[LoanStatus]]="Default","Critical",
OR(Loans[[#This Row],[LoanStatus]]="Watchlist",Loans[[#This Row],[CollateralRisk]]="Undersecured",Loans[[#This Row],[RiskCategory]]="High Risk"),"High",
TRUE,"Normal"
)</f>
        <v>High</v>
      </c>
    </row>
    <row r="1778" spans="1:20" x14ac:dyDescent="0.35">
      <c r="A1778" t="s">
        <v>2602</v>
      </c>
      <c r="B1778" t="s">
        <v>243</v>
      </c>
      <c r="C1778" t="s">
        <v>267</v>
      </c>
      <c r="D1778" t="s">
        <v>157</v>
      </c>
      <c r="E1778" s="34">
        <v>6000000</v>
      </c>
      <c r="F1778" s="29">
        <v>0.1133</v>
      </c>
      <c r="G1778" s="30">
        <v>45634</v>
      </c>
      <c r="H1778">
        <v>24</v>
      </c>
      <c r="I1778">
        <v>20</v>
      </c>
      <c r="J1778" s="34">
        <v>6300000</v>
      </c>
      <c r="K1778" t="s">
        <v>171</v>
      </c>
      <c r="L1778" s="34">
        <f>PMT(Loans[[#This Row],[InterestRate]]/12,Loans[[#This Row],[LoanTenureMonths]],-Loans[[#This Row],[LoanAmount]])</f>
        <v>280567.18062841933</v>
      </c>
      <c r="M1778" s="30">
        <f>EDATE(Loans[[#This Row],[LoanStartDate]],Loans[[#This Row],[LoanTenureMonths]])</f>
        <v>46364</v>
      </c>
      <c r="N1778" s="33">
        <f>IF(Loans[[#This Row],[LoanAmount]]=0,0,Loans[[#This Row],[CollateralValue]]/Loans[[#This Row],[LoanAmount]])</f>
        <v>1.05</v>
      </c>
      <c r="O1778" t="str">
        <f>IF(Loans[[#This Row],[CollateralCoverageRatio]]&lt;1,"Undersecured","Secured")</f>
        <v>Secured</v>
      </c>
      <c r="P1778" t="str">
        <f>_xlfn.XLOOKUP(Loans[[#This Row],[BranchCode]],BranchesTbl[BranchCode],BranchesTbl[BranchName])</f>
        <v>Malindi</v>
      </c>
      <c r="Q1778">
        <f>_xlfn.XLOOKUP(Loans[[#This Row],[CustomerID]],CustomerTbl[CustomerID],CustomerTbl[RiskScore])</f>
        <v>309</v>
      </c>
      <c r="R1778" t="str">
        <f>IFERROR(INDEX(RiskTbl[Risk_Category],MATCH(Loans[[#This Row],[RiskScore]],RiskTbl[Score_Min],1)),"Unknown")</f>
        <v>High Risk</v>
      </c>
      <c r="S1778" t="str">
        <f>IF(OR(Loans[[#This Row],[LoanStatus]]="Default",Loans[[#This Row],[LoanStatus]]="Watchlist",Loans[[#This Row],[CollateralRisk]]="Undersecured",Loans[[#This Row],[RiskCategory]]="High Risk"),"High Risk Exposure","Normal")</f>
        <v>High Risk Exposure</v>
      </c>
      <c r="T1778" t="str" cm="1">
        <f t="array" ref="T1778">_xlfn.IFS(
Loans[[#This Row],[LoanStatus]]="Default","Critical",
OR(Loans[[#This Row],[LoanStatus]]="Watchlist",Loans[[#This Row],[CollateralRisk]]="Undersecured",Loans[[#This Row],[RiskCategory]]="High Risk"),"High",
TRUE,"Normal"
)</f>
        <v>High</v>
      </c>
    </row>
    <row r="1779" spans="1:20" x14ac:dyDescent="0.35">
      <c r="A1779" t="s">
        <v>2603</v>
      </c>
      <c r="B1779" t="s">
        <v>622</v>
      </c>
      <c r="C1779" t="s">
        <v>190</v>
      </c>
      <c r="D1779" t="s">
        <v>157</v>
      </c>
      <c r="E1779" s="34">
        <v>80000000</v>
      </c>
      <c r="F1779" s="29">
        <v>0.1012</v>
      </c>
      <c r="G1779" s="30">
        <v>45209</v>
      </c>
      <c r="H1779">
        <v>60</v>
      </c>
      <c r="I1779">
        <v>0</v>
      </c>
      <c r="J1779" s="34">
        <v>96800000</v>
      </c>
      <c r="K1779" t="s">
        <v>171</v>
      </c>
      <c r="L1779" s="34">
        <f>PMT(Loans[[#This Row],[InterestRate]]/12,Loans[[#This Row],[LoanTenureMonths]],-Loans[[#This Row],[LoanAmount]])</f>
        <v>1704491.0204086283</v>
      </c>
      <c r="M1779" s="30">
        <f>EDATE(Loans[[#This Row],[LoanStartDate]],Loans[[#This Row],[LoanTenureMonths]])</f>
        <v>47036</v>
      </c>
      <c r="N1779" s="33">
        <f>IF(Loans[[#This Row],[LoanAmount]]=0,0,Loans[[#This Row],[CollateralValue]]/Loans[[#This Row],[LoanAmount]])</f>
        <v>1.21</v>
      </c>
      <c r="O1779" t="str">
        <f>IF(Loans[[#This Row],[CollateralCoverageRatio]]&lt;1,"Undersecured","Secured")</f>
        <v>Secured</v>
      </c>
      <c r="P1779" t="str">
        <f>_xlfn.XLOOKUP(Loans[[#This Row],[BranchCode]],BranchesTbl[BranchCode],BranchesTbl[BranchName])</f>
        <v>Nyeri</v>
      </c>
      <c r="Q1779">
        <f>_xlfn.XLOOKUP(Loans[[#This Row],[CustomerID]],CustomerTbl[CustomerID],CustomerTbl[RiskScore])</f>
        <v>375</v>
      </c>
      <c r="R1779" t="str">
        <f>IFERROR(INDEX(RiskTbl[Risk_Category],MATCH(Loans[[#This Row],[RiskScore]],RiskTbl[Score_Min],1)),"Unknown")</f>
        <v>High Risk</v>
      </c>
      <c r="S1779" t="str">
        <f>IF(OR(Loans[[#This Row],[LoanStatus]]="Default",Loans[[#This Row],[LoanStatus]]="Watchlist",Loans[[#This Row],[CollateralRisk]]="Undersecured",Loans[[#This Row],[RiskCategory]]="High Risk"),"High Risk Exposure","Normal")</f>
        <v>High Risk Exposure</v>
      </c>
      <c r="T1779" t="str" cm="1">
        <f t="array" ref="T1779">_xlfn.IFS(
Loans[[#This Row],[LoanStatus]]="Default","Critical",
OR(Loans[[#This Row],[LoanStatus]]="Watchlist",Loans[[#This Row],[CollateralRisk]]="Undersecured",Loans[[#This Row],[RiskCategory]]="High Risk"),"High",
TRUE,"Normal"
)</f>
        <v>High</v>
      </c>
    </row>
    <row r="1780" spans="1:20" x14ac:dyDescent="0.35">
      <c r="A1780" t="s">
        <v>2604</v>
      </c>
      <c r="B1780" t="s">
        <v>294</v>
      </c>
      <c r="C1780" t="s">
        <v>232</v>
      </c>
      <c r="D1780" t="s">
        <v>155</v>
      </c>
      <c r="E1780" s="34">
        <v>500000</v>
      </c>
      <c r="F1780" s="29">
        <v>0.16520000000000001</v>
      </c>
      <c r="G1780" s="30">
        <v>43983</v>
      </c>
      <c r="H1780">
        <v>36</v>
      </c>
      <c r="I1780">
        <v>90</v>
      </c>
      <c r="J1780" s="34">
        <v>0</v>
      </c>
      <c r="K1780" t="s">
        <v>199</v>
      </c>
      <c r="L1780" s="34">
        <f>PMT(Loans[[#This Row],[InterestRate]]/12,Loans[[#This Row],[LoanTenureMonths]],-Loans[[#This Row],[LoanAmount]])</f>
        <v>17707.148624941241</v>
      </c>
      <c r="M1780" s="30">
        <f>EDATE(Loans[[#This Row],[LoanStartDate]],Loans[[#This Row],[LoanTenureMonths]])</f>
        <v>45078</v>
      </c>
      <c r="N1780" s="33">
        <f>IF(Loans[[#This Row],[LoanAmount]]=0,0,Loans[[#This Row],[CollateralValue]]/Loans[[#This Row],[LoanAmount]])</f>
        <v>0</v>
      </c>
      <c r="O1780" t="str">
        <f>IF(Loans[[#This Row],[CollateralCoverageRatio]]&lt;1,"Undersecured","Secured")</f>
        <v>Undersecured</v>
      </c>
      <c r="P1780" t="str">
        <f>_xlfn.XLOOKUP(Loans[[#This Row],[BranchCode]],BranchesTbl[BranchCode],BranchesTbl[BranchName])</f>
        <v>Upper Hill</v>
      </c>
      <c r="Q1780">
        <f>_xlfn.XLOOKUP(Loans[[#This Row],[CustomerID]],CustomerTbl[CustomerID],CustomerTbl[RiskScore])</f>
        <v>511</v>
      </c>
      <c r="R1780" t="str">
        <f>IFERROR(INDEX(RiskTbl[Risk_Category],MATCH(Loans[[#This Row],[RiskScore]],RiskTbl[Score_Min],1)),"Unknown")</f>
        <v>High Risk</v>
      </c>
      <c r="S1780" t="str">
        <f>IF(OR(Loans[[#This Row],[LoanStatus]]="Default",Loans[[#This Row],[LoanStatus]]="Watchlist",Loans[[#This Row],[CollateralRisk]]="Undersecured",Loans[[#This Row],[RiskCategory]]="High Risk"),"High Risk Exposure","Normal")</f>
        <v>High Risk Exposure</v>
      </c>
      <c r="T1780" t="str" cm="1">
        <f t="array" ref="T1780">_xlfn.IFS(
Loans[[#This Row],[LoanStatus]]="Default","Critical",
OR(Loans[[#This Row],[LoanStatus]]="Watchlist",Loans[[#This Row],[CollateralRisk]]="Undersecured",Loans[[#This Row],[RiskCategory]]="High Risk"),"High",
TRUE,"Normal"
)</f>
        <v>High</v>
      </c>
    </row>
    <row r="1781" spans="1:20" x14ac:dyDescent="0.35">
      <c r="A1781" t="s">
        <v>2605</v>
      </c>
      <c r="B1781" t="s">
        <v>824</v>
      </c>
      <c r="C1781" t="s">
        <v>174</v>
      </c>
      <c r="D1781" t="s">
        <v>157</v>
      </c>
      <c r="E1781" s="34">
        <v>25000000</v>
      </c>
      <c r="F1781" s="29">
        <v>0.1371</v>
      </c>
      <c r="G1781" s="30">
        <v>43886</v>
      </c>
      <c r="H1781">
        <v>12</v>
      </c>
      <c r="I1781">
        <v>45</v>
      </c>
      <c r="J1781" s="34">
        <v>36750000</v>
      </c>
      <c r="K1781" t="s">
        <v>199</v>
      </c>
      <c r="L1781" s="34">
        <f>PMT(Loans[[#This Row],[InterestRate]]/12,Loans[[#This Row],[LoanTenureMonths]],-Loans[[#This Row],[LoanAmount]])</f>
        <v>2241268.1023967685</v>
      </c>
      <c r="M1781" s="30">
        <f>EDATE(Loans[[#This Row],[LoanStartDate]],Loans[[#This Row],[LoanTenureMonths]])</f>
        <v>44252</v>
      </c>
      <c r="N1781" s="33">
        <f>IF(Loans[[#This Row],[LoanAmount]]=0,0,Loans[[#This Row],[CollateralValue]]/Loans[[#This Row],[LoanAmount]])</f>
        <v>1.47</v>
      </c>
      <c r="O1781" t="str">
        <f>IF(Loans[[#This Row],[CollateralCoverageRatio]]&lt;1,"Undersecured","Secured")</f>
        <v>Secured</v>
      </c>
      <c r="P1781" t="str">
        <f>_xlfn.XLOOKUP(Loans[[#This Row],[BranchCode]],BranchesTbl[BranchCode],BranchesTbl[BranchName])</f>
        <v>Westlands</v>
      </c>
      <c r="Q1781">
        <f>_xlfn.XLOOKUP(Loans[[#This Row],[CustomerID]],CustomerTbl[CustomerID],CustomerTbl[RiskScore])</f>
        <v>835</v>
      </c>
      <c r="R1781" t="str">
        <f>IFERROR(INDEX(RiskTbl[Risk_Category],MATCH(Loans[[#This Row],[RiskScore]],RiskTbl[Score_Min],1)),"Unknown")</f>
        <v>Prime</v>
      </c>
      <c r="S1781" t="str">
        <f>IF(OR(Loans[[#This Row],[LoanStatus]]="Default",Loans[[#This Row],[LoanStatus]]="Watchlist",Loans[[#This Row],[CollateralRisk]]="Undersecured",Loans[[#This Row],[RiskCategory]]="High Risk"),"High Risk Exposure","Normal")</f>
        <v>High Risk Exposure</v>
      </c>
      <c r="T1781" t="str" cm="1">
        <f t="array" ref="T1781">_xlfn.IFS(
Loans[[#This Row],[LoanStatus]]="Default","Critical",
OR(Loans[[#This Row],[LoanStatus]]="Watchlist",Loans[[#This Row],[CollateralRisk]]="Undersecured",Loans[[#This Row],[RiskCategory]]="High Risk"),"High",
TRUE,"Normal"
)</f>
        <v>High</v>
      </c>
    </row>
    <row r="1782" spans="1:20" x14ac:dyDescent="0.35">
      <c r="A1782" t="s">
        <v>2606</v>
      </c>
      <c r="B1782" t="s">
        <v>1933</v>
      </c>
      <c r="C1782" t="s">
        <v>270</v>
      </c>
      <c r="D1782" t="s">
        <v>157</v>
      </c>
      <c r="E1782" s="34">
        <v>25000000</v>
      </c>
      <c r="F1782" s="29">
        <v>0.1109</v>
      </c>
      <c r="G1782" s="30">
        <v>44516</v>
      </c>
      <c r="H1782">
        <v>36</v>
      </c>
      <c r="I1782">
        <v>0</v>
      </c>
      <c r="J1782" s="34">
        <v>18750000</v>
      </c>
      <c r="K1782" t="s">
        <v>171</v>
      </c>
      <c r="L1782" s="34">
        <f>PMT(Loans[[#This Row],[InterestRate]]/12,Loans[[#This Row],[LoanTenureMonths]],-Loans[[#This Row],[LoanAmount]])</f>
        <v>819533.85704931465</v>
      </c>
      <c r="M1782" s="30">
        <f>EDATE(Loans[[#This Row],[LoanStartDate]],Loans[[#This Row],[LoanTenureMonths]])</f>
        <v>45612</v>
      </c>
      <c r="N1782" s="33">
        <f>IF(Loans[[#This Row],[LoanAmount]]=0,0,Loans[[#This Row],[CollateralValue]]/Loans[[#This Row],[LoanAmount]])</f>
        <v>0.75</v>
      </c>
      <c r="O1782" t="str">
        <f>IF(Loans[[#This Row],[CollateralCoverageRatio]]&lt;1,"Undersecured","Secured")</f>
        <v>Undersecured</v>
      </c>
      <c r="P1782" t="str">
        <f>_xlfn.XLOOKUP(Loans[[#This Row],[BranchCode]],BranchesTbl[BranchCode],BranchesTbl[BranchName])</f>
        <v>Nakuru</v>
      </c>
      <c r="Q1782">
        <f>_xlfn.XLOOKUP(Loans[[#This Row],[CustomerID]],CustomerTbl[CustomerID],CustomerTbl[RiskScore])</f>
        <v>747</v>
      </c>
      <c r="R1782" t="str">
        <f>IFERROR(INDEX(RiskTbl[Risk_Category],MATCH(Loans[[#This Row],[RiskScore]],RiskTbl[Score_Min],1)),"Unknown")</f>
        <v>Very Low Risk</v>
      </c>
      <c r="S1782" t="str">
        <f>IF(OR(Loans[[#This Row],[LoanStatus]]="Default",Loans[[#This Row],[LoanStatus]]="Watchlist",Loans[[#This Row],[CollateralRisk]]="Undersecured",Loans[[#This Row],[RiskCategory]]="High Risk"),"High Risk Exposure","Normal")</f>
        <v>High Risk Exposure</v>
      </c>
      <c r="T1782" t="str" cm="1">
        <f t="array" ref="T1782">_xlfn.IFS(
Loans[[#This Row],[LoanStatus]]="Default","Critical",
OR(Loans[[#This Row],[LoanStatus]]="Watchlist",Loans[[#This Row],[CollateralRisk]]="Undersecured",Loans[[#This Row],[RiskCategory]]="High Risk"),"High",
TRUE,"Normal"
)</f>
        <v>High</v>
      </c>
    </row>
    <row r="1783" spans="1:20" x14ac:dyDescent="0.35">
      <c r="A1783" t="s">
        <v>2607</v>
      </c>
      <c r="B1783" t="s">
        <v>1846</v>
      </c>
      <c r="C1783" t="s">
        <v>270</v>
      </c>
      <c r="D1783" t="s">
        <v>155</v>
      </c>
      <c r="E1783" s="34">
        <v>1000000</v>
      </c>
      <c r="F1783" s="29">
        <v>0.2404</v>
      </c>
      <c r="G1783" s="30">
        <v>44636</v>
      </c>
      <c r="H1783">
        <v>60</v>
      </c>
      <c r="I1783">
        <v>5</v>
      </c>
      <c r="J1783" s="34">
        <v>0</v>
      </c>
      <c r="K1783" t="s">
        <v>171</v>
      </c>
      <c r="L1783" s="34">
        <f>PMT(Loans[[#This Row],[InterestRate]]/12,Loans[[#This Row],[LoanTenureMonths]],-Loans[[#This Row],[LoanAmount]])</f>
        <v>28791.188052418795</v>
      </c>
      <c r="M1783" s="30">
        <f>EDATE(Loans[[#This Row],[LoanStartDate]],Loans[[#This Row],[LoanTenureMonths]])</f>
        <v>46462</v>
      </c>
      <c r="N1783" s="33">
        <f>IF(Loans[[#This Row],[LoanAmount]]=0,0,Loans[[#This Row],[CollateralValue]]/Loans[[#This Row],[LoanAmount]])</f>
        <v>0</v>
      </c>
      <c r="O1783" t="str">
        <f>IF(Loans[[#This Row],[CollateralCoverageRatio]]&lt;1,"Undersecured","Secured")</f>
        <v>Undersecured</v>
      </c>
      <c r="P1783" t="str">
        <f>_xlfn.XLOOKUP(Loans[[#This Row],[BranchCode]],BranchesTbl[BranchCode],BranchesTbl[BranchName])</f>
        <v>Nakuru</v>
      </c>
      <c r="Q1783">
        <f>_xlfn.XLOOKUP(Loans[[#This Row],[CustomerID]],CustomerTbl[CustomerID],CustomerTbl[RiskScore])</f>
        <v>354</v>
      </c>
      <c r="R1783" t="str">
        <f>IFERROR(INDEX(RiskTbl[Risk_Category],MATCH(Loans[[#This Row],[RiskScore]],RiskTbl[Score_Min],1)),"Unknown")</f>
        <v>High Risk</v>
      </c>
      <c r="S1783" t="str">
        <f>IF(OR(Loans[[#This Row],[LoanStatus]]="Default",Loans[[#This Row],[LoanStatus]]="Watchlist",Loans[[#This Row],[CollateralRisk]]="Undersecured",Loans[[#This Row],[RiskCategory]]="High Risk"),"High Risk Exposure","Normal")</f>
        <v>High Risk Exposure</v>
      </c>
      <c r="T1783" t="str" cm="1">
        <f t="array" ref="T1783">_xlfn.IFS(
Loans[[#This Row],[LoanStatus]]="Default","Critical",
OR(Loans[[#This Row],[LoanStatus]]="Watchlist",Loans[[#This Row],[CollateralRisk]]="Undersecured",Loans[[#This Row],[RiskCategory]]="High Risk"),"High",
TRUE,"Normal"
)</f>
        <v>High</v>
      </c>
    </row>
    <row r="1784" spans="1:20" x14ac:dyDescent="0.35">
      <c r="A1784" t="s">
        <v>2608</v>
      </c>
      <c r="B1784" t="s">
        <v>421</v>
      </c>
      <c r="C1784" t="s">
        <v>181</v>
      </c>
      <c r="D1784" t="s">
        <v>157</v>
      </c>
      <c r="E1784" s="34">
        <v>25000000</v>
      </c>
      <c r="F1784" s="29">
        <v>0.13600000000000001</v>
      </c>
      <c r="G1784" s="30">
        <v>45095</v>
      </c>
      <c r="H1784">
        <v>36</v>
      </c>
      <c r="I1784">
        <v>0</v>
      </c>
      <c r="J1784" s="34">
        <v>26750000</v>
      </c>
      <c r="K1784" t="s">
        <v>171</v>
      </c>
      <c r="L1784" s="34">
        <f>PMT(Loans[[#This Row],[InterestRate]]/12,Loans[[#This Row],[LoanTenureMonths]],-Loans[[#This Row],[LoanAmount]])</f>
        <v>849591.88267002848</v>
      </c>
      <c r="M1784" s="30">
        <f>EDATE(Loans[[#This Row],[LoanStartDate]],Loans[[#This Row],[LoanTenureMonths]])</f>
        <v>46191</v>
      </c>
      <c r="N1784" s="33">
        <f>IF(Loans[[#This Row],[LoanAmount]]=0,0,Loans[[#This Row],[CollateralValue]]/Loans[[#This Row],[LoanAmount]])</f>
        <v>1.07</v>
      </c>
      <c r="O1784" t="str">
        <f>IF(Loans[[#This Row],[CollateralCoverageRatio]]&lt;1,"Undersecured","Secured")</f>
        <v>Secured</v>
      </c>
      <c r="P1784" t="str">
        <f>_xlfn.XLOOKUP(Loans[[#This Row],[BranchCode]],BranchesTbl[BranchCode],BranchesTbl[BranchName])</f>
        <v>Kitale</v>
      </c>
      <c r="Q1784">
        <f>_xlfn.XLOOKUP(Loans[[#This Row],[CustomerID]],CustomerTbl[CustomerID],CustomerTbl[RiskScore])</f>
        <v>803</v>
      </c>
      <c r="R1784" t="str">
        <f>IFERROR(INDEX(RiskTbl[Risk_Category],MATCH(Loans[[#This Row],[RiskScore]],RiskTbl[Score_Min],1)),"Unknown")</f>
        <v>Prime</v>
      </c>
      <c r="S1784" t="str">
        <f>IF(OR(Loans[[#This Row],[LoanStatus]]="Default",Loans[[#This Row],[LoanStatus]]="Watchlist",Loans[[#This Row],[CollateralRisk]]="Undersecured",Loans[[#This Row],[RiskCategory]]="High Risk"),"High Risk Exposure","Normal")</f>
        <v>Normal</v>
      </c>
      <c r="T1784" t="str" cm="1">
        <f t="array" ref="T1784">_xlfn.IFS(
Loans[[#This Row],[LoanStatus]]="Default","Critical",
OR(Loans[[#This Row],[LoanStatus]]="Watchlist",Loans[[#This Row],[CollateralRisk]]="Undersecured",Loans[[#This Row],[RiskCategory]]="High Risk"),"High",
TRUE,"Normal"
)</f>
        <v>Normal</v>
      </c>
    </row>
    <row r="1785" spans="1:20" x14ac:dyDescent="0.35">
      <c r="A1785" t="s">
        <v>2609</v>
      </c>
      <c r="B1785" t="s">
        <v>306</v>
      </c>
      <c r="C1785" t="s">
        <v>170</v>
      </c>
      <c r="D1785" t="s">
        <v>156</v>
      </c>
      <c r="E1785" s="34">
        <v>25000000</v>
      </c>
      <c r="F1785" s="29">
        <v>0.21060000000000001</v>
      </c>
      <c r="G1785" s="30">
        <v>45612</v>
      </c>
      <c r="H1785">
        <v>60</v>
      </c>
      <c r="I1785">
        <v>0</v>
      </c>
      <c r="J1785" s="34">
        <v>24000000</v>
      </c>
      <c r="K1785" t="s">
        <v>171</v>
      </c>
      <c r="L1785" s="34">
        <f>PMT(Loans[[#This Row],[InterestRate]]/12,Loans[[#This Row],[LoanTenureMonths]],-Loans[[#This Row],[LoanAmount]])</f>
        <v>677178.05684695346</v>
      </c>
      <c r="M1785" s="30">
        <f>EDATE(Loans[[#This Row],[LoanStartDate]],Loans[[#This Row],[LoanTenureMonths]])</f>
        <v>47438</v>
      </c>
      <c r="N1785" s="33">
        <f>IF(Loans[[#This Row],[LoanAmount]]=0,0,Loans[[#This Row],[CollateralValue]]/Loans[[#This Row],[LoanAmount]])</f>
        <v>0.96</v>
      </c>
      <c r="O1785" t="str">
        <f>IF(Loans[[#This Row],[CollateralCoverageRatio]]&lt;1,"Undersecured","Secured")</f>
        <v>Undersecured</v>
      </c>
      <c r="P1785" t="str">
        <f>_xlfn.XLOOKUP(Loans[[#This Row],[BranchCode]],BranchesTbl[BranchCode],BranchesTbl[BranchName])</f>
        <v>Thika</v>
      </c>
      <c r="Q1785">
        <f>_xlfn.XLOOKUP(Loans[[#This Row],[CustomerID]],CustomerTbl[CustomerID],CustomerTbl[RiskScore])</f>
        <v>400</v>
      </c>
      <c r="R1785" t="str">
        <f>IFERROR(INDEX(RiskTbl[Risk_Category],MATCH(Loans[[#This Row],[RiskScore]],RiskTbl[Score_Min],1)),"Unknown")</f>
        <v>High Risk</v>
      </c>
      <c r="S1785" t="str">
        <f>IF(OR(Loans[[#This Row],[LoanStatus]]="Default",Loans[[#This Row],[LoanStatus]]="Watchlist",Loans[[#This Row],[CollateralRisk]]="Undersecured",Loans[[#This Row],[RiskCategory]]="High Risk"),"High Risk Exposure","Normal")</f>
        <v>High Risk Exposure</v>
      </c>
      <c r="T1785" t="str" cm="1">
        <f t="array" ref="T1785">_xlfn.IFS(
Loans[[#This Row],[LoanStatus]]="Default","Critical",
OR(Loans[[#This Row],[LoanStatus]]="Watchlist",Loans[[#This Row],[CollateralRisk]]="Undersecured",Loans[[#This Row],[RiskCategory]]="High Risk"),"High",
TRUE,"Normal"
)</f>
        <v>High</v>
      </c>
    </row>
    <row r="1786" spans="1:20" x14ac:dyDescent="0.35">
      <c r="A1786" t="s">
        <v>2610</v>
      </c>
      <c r="B1786" t="s">
        <v>716</v>
      </c>
      <c r="C1786" t="s">
        <v>190</v>
      </c>
      <c r="D1786" t="s">
        <v>157</v>
      </c>
      <c r="E1786" s="34">
        <v>80000000</v>
      </c>
      <c r="F1786" s="29">
        <v>0.13089999999999999</v>
      </c>
      <c r="G1786" s="30">
        <v>44037</v>
      </c>
      <c r="H1786">
        <v>36</v>
      </c>
      <c r="I1786">
        <v>20</v>
      </c>
      <c r="J1786" s="34">
        <v>100000000</v>
      </c>
      <c r="K1786" t="s">
        <v>171</v>
      </c>
      <c r="L1786" s="34">
        <f>PMT(Loans[[#This Row],[InterestRate]]/12,Loans[[#This Row],[LoanTenureMonths]],-Loans[[#This Row],[LoanAmount]])</f>
        <v>2698985.4365717098</v>
      </c>
      <c r="M1786" s="30">
        <f>EDATE(Loans[[#This Row],[LoanStartDate]],Loans[[#This Row],[LoanTenureMonths]])</f>
        <v>45132</v>
      </c>
      <c r="N1786" s="33">
        <f>IF(Loans[[#This Row],[LoanAmount]]=0,0,Loans[[#This Row],[CollateralValue]]/Loans[[#This Row],[LoanAmount]])</f>
        <v>1.25</v>
      </c>
      <c r="O1786" t="str">
        <f>IF(Loans[[#This Row],[CollateralCoverageRatio]]&lt;1,"Undersecured","Secured")</f>
        <v>Secured</v>
      </c>
      <c r="P1786" t="str">
        <f>_xlfn.XLOOKUP(Loans[[#This Row],[BranchCode]],BranchesTbl[BranchCode],BranchesTbl[BranchName])</f>
        <v>Nyeri</v>
      </c>
      <c r="Q1786">
        <f>_xlfn.XLOOKUP(Loans[[#This Row],[CustomerID]],CustomerTbl[CustomerID],CustomerTbl[RiskScore])</f>
        <v>662</v>
      </c>
      <c r="R1786" t="str">
        <f>IFERROR(INDEX(RiskTbl[Risk_Category],MATCH(Loans[[#This Row],[RiskScore]],RiskTbl[Score_Min],1)),"Unknown")</f>
        <v>Medium Risk</v>
      </c>
      <c r="S1786" t="str">
        <f>IF(OR(Loans[[#This Row],[LoanStatus]]="Default",Loans[[#This Row],[LoanStatus]]="Watchlist",Loans[[#This Row],[CollateralRisk]]="Undersecured",Loans[[#This Row],[RiskCategory]]="High Risk"),"High Risk Exposure","Normal")</f>
        <v>Normal</v>
      </c>
      <c r="T1786" t="str" cm="1">
        <f t="array" ref="T1786">_xlfn.IFS(
Loans[[#This Row],[LoanStatus]]="Default","Critical",
OR(Loans[[#This Row],[LoanStatus]]="Watchlist",Loans[[#This Row],[CollateralRisk]]="Undersecured",Loans[[#This Row],[RiskCategory]]="High Risk"),"High",
TRUE,"Normal"
)</f>
        <v>Normal</v>
      </c>
    </row>
    <row r="1787" spans="1:20" x14ac:dyDescent="0.35">
      <c r="A1787" t="s">
        <v>2611</v>
      </c>
      <c r="B1787" t="s">
        <v>1585</v>
      </c>
      <c r="C1787" t="s">
        <v>187</v>
      </c>
      <c r="D1787" t="s">
        <v>155</v>
      </c>
      <c r="E1787" s="34">
        <v>1000000</v>
      </c>
      <c r="F1787" s="29">
        <v>0.26669999999999999</v>
      </c>
      <c r="G1787" s="30">
        <v>45089</v>
      </c>
      <c r="H1787">
        <v>24</v>
      </c>
      <c r="I1787">
        <v>10</v>
      </c>
      <c r="J1787" s="34">
        <v>0</v>
      </c>
      <c r="K1787" t="s">
        <v>171</v>
      </c>
      <c r="L1787" s="34">
        <f>PMT(Loans[[#This Row],[InterestRate]]/12,Loans[[#This Row],[LoanTenureMonths]],-Loans[[#This Row],[LoanAmount]])</f>
        <v>54213.071868407045</v>
      </c>
      <c r="M1787" s="30">
        <f>EDATE(Loans[[#This Row],[LoanStartDate]],Loans[[#This Row],[LoanTenureMonths]])</f>
        <v>45820</v>
      </c>
      <c r="N1787" s="33">
        <f>IF(Loans[[#This Row],[LoanAmount]]=0,0,Loans[[#This Row],[CollateralValue]]/Loans[[#This Row],[LoanAmount]])</f>
        <v>0</v>
      </c>
      <c r="O1787" t="str">
        <f>IF(Loans[[#This Row],[CollateralCoverageRatio]]&lt;1,"Undersecured","Secured")</f>
        <v>Undersecured</v>
      </c>
      <c r="P1787" t="str">
        <f>_xlfn.XLOOKUP(Loans[[#This Row],[BranchCode]],BranchesTbl[BranchCode],BranchesTbl[BranchName])</f>
        <v>Eldoret</v>
      </c>
      <c r="Q1787">
        <f>_xlfn.XLOOKUP(Loans[[#This Row],[CustomerID]],CustomerTbl[CustomerID],CustomerTbl[RiskScore])</f>
        <v>744</v>
      </c>
      <c r="R1787" t="str">
        <f>IFERROR(INDEX(RiskTbl[Risk_Category],MATCH(Loans[[#This Row],[RiskScore]],RiskTbl[Score_Min],1)),"Unknown")</f>
        <v>Very Low Risk</v>
      </c>
      <c r="S1787" t="str">
        <f>IF(OR(Loans[[#This Row],[LoanStatus]]="Default",Loans[[#This Row],[LoanStatus]]="Watchlist",Loans[[#This Row],[CollateralRisk]]="Undersecured",Loans[[#This Row],[RiskCategory]]="High Risk"),"High Risk Exposure","Normal")</f>
        <v>High Risk Exposure</v>
      </c>
      <c r="T1787" t="str" cm="1">
        <f t="array" ref="T1787">_xlfn.IFS(
Loans[[#This Row],[LoanStatus]]="Default","Critical",
OR(Loans[[#This Row],[LoanStatus]]="Watchlist",Loans[[#This Row],[CollateralRisk]]="Undersecured",Loans[[#This Row],[RiskCategory]]="High Risk"),"High",
TRUE,"Normal"
)</f>
        <v>High</v>
      </c>
    </row>
    <row r="1788" spans="1:20" x14ac:dyDescent="0.35">
      <c r="A1788" t="s">
        <v>2612</v>
      </c>
      <c r="B1788" t="s">
        <v>1698</v>
      </c>
      <c r="C1788" t="s">
        <v>181</v>
      </c>
      <c r="D1788" t="s">
        <v>158</v>
      </c>
      <c r="E1788" s="34">
        <v>6000000</v>
      </c>
      <c r="F1788" s="29">
        <v>0.1414</v>
      </c>
      <c r="G1788" s="30">
        <v>45638</v>
      </c>
      <c r="H1788">
        <v>36</v>
      </c>
      <c r="I1788">
        <v>5</v>
      </c>
      <c r="J1788" s="34">
        <v>7020000</v>
      </c>
      <c r="K1788" t="s">
        <v>171</v>
      </c>
      <c r="L1788" s="34">
        <f>PMT(Loans[[#This Row],[InterestRate]]/12,Loans[[#This Row],[LoanTenureMonths]],-Loans[[#This Row],[LoanAmount]])</f>
        <v>205473.99515977051</v>
      </c>
      <c r="M1788" s="30">
        <f>EDATE(Loans[[#This Row],[LoanStartDate]],Loans[[#This Row],[LoanTenureMonths]])</f>
        <v>46733</v>
      </c>
      <c r="N1788" s="33">
        <f>IF(Loans[[#This Row],[LoanAmount]]=0,0,Loans[[#This Row],[CollateralValue]]/Loans[[#This Row],[LoanAmount]])</f>
        <v>1.17</v>
      </c>
      <c r="O1788" t="str">
        <f>IF(Loans[[#This Row],[CollateralCoverageRatio]]&lt;1,"Undersecured","Secured")</f>
        <v>Secured</v>
      </c>
      <c r="P1788" t="str">
        <f>_xlfn.XLOOKUP(Loans[[#This Row],[BranchCode]],BranchesTbl[BranchCode],BranchesTbl[BranchName])</f>
        <v>Kitale</v>
      </c>
      <c r="Q1788">
        <f>_xlfn.XLOOKUP(Loans[[#This Row],[CustomerID]],CustomerTbl[CustomerID],CustomerTbl[RiskScore])</f>
        <v>463</v>
      </c>
      <c r="R1788" t="str">
        <f>IFERROR(INDEX(RiskTbl[Risk_Category],MATCH(Loans[[#This Row],[RiskScore]],RiskTbl[Score_Min],1)),"Unknown")</f>
        <v>High Risk</v>
      </c>
      <c r="S1788" t="str">
        <f>IF(OR(Loans[[#This Row],[LoanStatus]]="Default",Loans[[#This Row],[LoanStatus]]="Watchlist",Loans[[#This Row],[CollateralRisk]]="Undersecured",Loans[[#This Row],[RiskCategory]]="High Risk"),"High Risk Exposure","Normal")</f>
        <v>High Risk Exposure</v>
      </c>
      <c r="T1788" t="str" cm="1">
        <f t="array" ref="T1788">_xlfn.IFS(
Loans[[#This Row],[LoanStatus]]="Default","Critical",
OR(Loans[[#This Row],[LoanStatus]]="Watchlist",Loans[[#This Row],[CollateralRisk]]="Undersecured",Loans[[#This Row],[RiskCategory]]="High Risk"),"High",
TRUE,"Normal"
)</f>
        <v>High</v>
      </c>
    </row>
    <row r="1789" spans="1:20" x14ac:dyDescent="0.35">
      <c r="A1789" t="s">
        <v>2613</v>
      </c>
      <c r="B1789" t="s">
        <v>995</v>
      </c>
      <c r="C1789" t="s">
        <v>267</v>
      </c>
      <c r="D1789" t="s">
        <v>157</v>
      </c>
      <c r="E1789" s="34">
        <v>25000000</v>
      </c>
      <c r="F1789" s="29">
        <v>0.1144</v>
      </c>
      <c r="G1789" s="30">
        <v>44321</v>
      </c>
      <c r="H1789">
        <v>60</v>
      </c>
      <c r="I1789">
        <v>90</v>
      </c>
      <c r="J1789" s="34">
        <v>21000000</v>
      </c>
      <c r="K1789" t="s">
        <v>199</v>
      </c>
      <c r="L1789" s="34">
        <f>PMT(Loans[[#This Row],[InterestRate]]/12,Loans[[#This Row],[LoanTenureMonths]],-Loans[[#This Row],[LoanAmount]])</f>
        <v>549062.44273380539</v>
      </c>
      <c r="M1789" s="30">
        <f>EDATE(Loans[[#This Row],[LoanStartDate]],Loans[[#This Row],[LoanTenureMonths]])</f>
        <v>46147</v>
      </c>
      <c r="N1789" s="33">
        <f>IF(Loans[[#This Row],[LoanAmount]]=0,0,Loans[[#This Row],[CollateralValue]]/Loans[[#This Row],[LoanAmount]])</f>
        <v>0.84</v>
      </c>
      <c r="O1789" t="str">
        <f>IF(Loans[[#This Row],[CollateralCoverageRatio]]&lt;1,"Undersecured","Secured")</f>
        <v>Undersecured</v>
      </c>
      <c r="P1789" t="str">
        <f>_xlfn.XLOOKUP(Loans[[#This Row],[BranchCode]],BranchesTbl[BranchCode],BranchesTbl[BranchName])</f>
        <v>Malindi</v>
      </c>
      <c r="Q1789">
        <f>_xlfn.XLOOKUP(Loans[[#This Row],[CustomerID]],CustomerTbl[CustomerID],CustomerTbl[RiskScore])</f>
        <v>500</v>
      </c>
      <c r="R1789" t="str">
        <f>IFERROR(INDEX(RiskTbl[Risk_Category],MATCH(Loans[[#This Row],[RiskScore]],RiskTbl[Score_Min],1)),"Unknown")</f>
        <v>High Risk</v>
      </c>
      <c r="S1789" t="str">
        <f>IF(OR(Loans[[#This Row],[LoanStatus]]="Default",Loans[[#This Row],[LoanStatus]]="Watchlist",Loans[[#This Row],[CollateralRisk]]="Undersecured",Loans[[#This Row],[RiskCategory]]="High Risk"),"High Risk Exposure","Normal")</f>
        <v>High Risk Exposure</v>
      </c>
      <c r="T1789" t="str" cm="1">
        <f t="array" ref="T1789">_xlfn.IFS(
Loans[[#This Row],[LoanStatus]]="Default","Critical",
OR(Loans[[#This Row],[LoanStatus]]="Watchlist",Loans[[#This Row],[CollateralRisk]]="Undersecured",Loans[[#This Row],[RiskCategory]]="High Risk"),"High",
TRUE,"Normal"
)</f>
        <v>High</v>
      </c>
    </row>
    <row r="1790" spans="1:20" x14ac:dyDescent="0.35">
      <c r="A1790" t="s">
        <v>2614</v>
      </c>
      <c r="B1790" t="s">
        <v>2014</v>
      </c>
      <c r="C1790" t="s">
        <v>193</v>
      </c>
      <c r="D1790" t="s">
        <v>157</v>
      </c>
      <c r="E1790" s="34">
        <v>6000000</v>
      </c>
      <c r="F1790" s="29">
        <v>9.5699999999999993E-2</v>
      </c>
      <c r="G1790" s="30">
        <v>44724</v>
      </c>
      <c r="H1790">
        <v>24</v>
      </c>
      <c r="I1790">
        <v>0</v>
      </c>
      <c r="J1790" s="34">
        <v>8460000</v>
      </c>
      <c r="K1790" t="s">
        <v>171</v>
      </c>
      <c r="L1790" s="34">
        <f>PMT(Loans[[#This Row],[InterestRate]]/12,Loans[[#This Row],[LoanTenureMonths]],-Loans[[#This Row],[LoanAmount]])</f>
        <v>275680.27547052625</v>
      </c>
      <c r="M1790" s="30">
        <f>EDATE(Loans[[#This Row],[LoanStartDate]],Loans[[#This Row],[LoanTenureMonths]])</f>
        <v>45455</v>
      </c>
      <c r="N1790" s="33">
        <f>IF(Loans[[#This Row],[LoanAmount]]=0,0,Loans[[#This Row],[CollateralValue]]/Loans[[#This Row],[LoanAmount]])</f>
        <v>1.41</v>
      </c>
      <c r="O1790" t="str">
        <f>IF(Loans[[#This Row],[CollateralCoverageRatio]]&lt;1,"Undersecured","Secured")</f>
        <v>Secured</v>
      </c>
      <c r="P1790" t="str">
        <f>_xlfn.XLOOKUP(Loans[[#This Row],[BranchCode]],BranchesTbl[BranchCode],BranchesTbl[BranchName])</f>
        <v>Mombasa</v>
      </c>
      <c r="Q1790">
        <f>_xlfn.XLOOKUP(Loans[[#This Row],[CustomerID]],CustomerTbl[CustomerID],CustomerTbl[RiskScore])</f>
        <v>451</v>
      </c>
      <c r="R1790" t="str">
        <f>IFERROR(INDEX(RiskTbl[Risk_Category],MATCH(Loans[[#This Row],[RiskScore]],RiskTbl[Score_Min],1)),"Unknown")</f>
        <v>High Risk</v>
      </c>
      <c r="S1790" t="str">
        <f>IF(OR(Loans[[#This Row],[LoanStatus]]="Default",Loans[[#This Row],[LoanStatus]]="Watchlist",Loans[[#This Row],[CollateralRisk]]="Undersecured",Loans[[#This Row],[RiskCategory]]="High Risk"),"High Risk Exposure","Normal")</f>
        <v>High Risk Exposure</v>
      </c>
      <c r="T1790" t="str" cm="1">
        <f t="array" ref="T1790">_xlfn.IFS(
Loans[[#This Row],[LoanStatus]]="Default","Critical",
OR(Loans[[#This Row],[LoanStatus]]="Watchlist",Loans[[#This Row],[CollateralRisk]]="Undersecured",Loans[[#This Row],[RiskCategory]]="High Risk"),"High",
TRUE,"Normal"
)</f>
        <v>High</v>
      </c>
    </row>
    <row r="1791" spans="1:20" x14ac:dyDescent="0.35">
      <c r="A1791" t="s">
        <v>2615</v>
      </c>
      <c r="B1791" t="s">
        <v>1400</v>
      </c>
      <c r="C1791" t="s">
        <v>232</v>
      </c>
      <c r="D1791" t="s">
        <v>157</v>
      </c>
      <c r="E1791" s="34">
        <v>6000000</v>
      </c>
      <c r="F1791" s="29">
        <v>0.1187</v>
      </c>
      <c r="G1791" s="30">
        <v>44629</v>
      </c>
      <c r="H1791">
        <v>36</v>
      </c>
      <c r="I1791">
        <v>20</v>
      </c>
      <c r="J1791" s="34">
        <v>6360000</v>
      </c>
      <c r="K1791" t="s">
        <v>171</v>
      </c>
      <c r="L1791" s="34">
        <f>PMT(Loans[[#This Row],[InterestRate]]/12,Loans[[#This Row],[LoanTenureMonths]],-Loans[[#This Row],[LoanAmount]])</f>
        <v>198913.52084464094</v>
      </c>
      <c r="M1791" s="30">
        <f>EDATE(Loans[[#This Row],[LoanStartDate]],Loans[[#This Row],[LoanTenureMonths]])</f>
        <v>45725</v>
      </c>
      <c r="N1791" s="33">
        <f>IF(Loans[[#This Row],[LoanAmount]]=0,0,Loans[[#This Row],[CollateralValue]]/Loans[[#This Row],[LoanAmount]])</f>
        <v>1.06</v>
      </c>
      <c r="O1791" t="str">
        <f>IF(Loans[[#This Row],[CollateralCoverageRatio]]&lt;1,"Undersecured","Secured")</f>
        <v>Secured</v>
      </c>
      <c r="P1791" t="str">
        <f>_xlfn.XLOOKUP(Loans[[#This Row],[BranchCode]],BranchesTbl[BranchCode],BranchesTbl[BranchName])</f>
        <v>Upper Hill</v>
      </c>
      <c r="Q1791">
        <f>_xlfn.XLOOKUP(Loans[[#This Row],[CustomerID]],CustomerTbl[CustomerID],CustomerTbl[RiskScore])</f>
        <v>673</v>
      </c>
      <c r="R1791" t="str">
        <f>IFERROR(INDEX(RiskTbl[Risk_Category],MATCH(Loans[[#This Row],[RiskScore]],RiskTbl[Score_Min],1)),"Unknown")</f>
        <v>Low Risk</v>
      </c>
      <c r="S1791" t="str">
        <f>IF(OR(Loans[[#This Row],[LoanStatus]]="Default",Loans[[#This Row],[LoanStatus]]="Watchlist",Loans[[#This Row],[CollateralRisk]]="Undersecured",Loans[[#This Row],[RiskCategory]]="High Risk"),"High Risk Exposure","Normal")</f>
        <v>Normal</v>
      </c>
      <c r="T1791" t="str" cm="1">
        <f t="array" ref="T1791">_xlfn.IFS(
Loans[[#This Row],[LoanStatus]]="Default","Critical",
OR(Loans[[#This Row],[LoanStatus]]="Watchlist",Loans[[#This Row],[CollateralRisk]]="Undersecured",Loans[[#This Row],[RiskCategory]]="High Risk"),"High",
TRUE,"Normal"
)</f>
        <v>Normal</v>
      </c>
    </row>
    <row r="1792" spans="1:20" x14ac:dyDescent="0.35">
      <c r="A1792" t="s">
        <v>2616</v>
      </c>
      <c r="B1792" t="s">
        <v>262</v>
      </c>
      <c r="C1792" t="s">
        <v>267</v>
      </c>
      <c r="D1792" t="s">
        <v>158</v>
      </c>
      <c r="E1792" s="34">
        <v>3000000</v>
      </c>
      <c r="F1792" s="29">
        <v>0.15859999999999999</v>
      </c>
      <c r="G1792" s="30">
        <v>43850</v>
      </c>
      <c r="H1792">
        <v>48</v>
      </c>
      <c r="I1792">
        <v>120</v>
      </c>
      <c r="J1792" s="34">
        <v>4470000</v>
      </c>
      <c r="K1792" t="s">
        <v>178</v>
      </c>
      <c r="L1792" s="34">
        <f>PMT(Loans[[#This Row],[InterestRate]]/12,Loans[[#This Row],[LoanTenureMonths]],-Loans[[#This Row],[LoanAmount]])</f>
        <v>84805.892170773586</v>
      </c>
      <c r="M1792" s="30">
        <f>EDATE(Loans[[#This Row],[LoanStartDate]],Loans[[#This Row],[LoanTenureMonths]])</f>
        <v>45311</v>
      </c>
      <c r="N1792" s="33">
        <f>IF(Loans[[#This Row],[LoanAmount]]=0,0,Loans[[#This Row],[CollateralValue]]/Loans[[#This Row],[LoanAmount]])</f>
        <v>1.49</v>
      </c>
      <c r="O1792" t="str">
        <f>IF(Loans[[#This Row],[CollateralCoverageRatio]]&lt;1,"Undersecured","Secured")</f>
        <v>Secured</v>
      </c>
      <c r="P1792" t="str">
        <f>_xlfn.XLOOKUP(Loans[[#This Row],[BranchCode]],BranchesTbl[BranchCode],BranchesTbl[BranchName])</f>
        <v>Malindi</v>
      </c>
      <c r="Q1792">
        <f>_xlfn.XLOOKUP(Loans[[#This Row],[CustomerID]],CustomerTbl[CustomerID],CustomerTbl[RiskScore])</f>
        <v>714</v>
      </c>
      <c r="R1792" t="str">
        <f>IFERROR(INDEX(RiskTbl[Risk_Category],MATCH(Loans[[#This Row],[RiskScore]],RiskTbl[Score_Min],1)),"Unknown")</f>
        <v>Low Risk</v>
      </c>
      <c r="S1792" t="str">
        <f>IF(OR(Loans[[#This Row],[LoanStatus]]="Default",Loans[[#This Row],[LoanStatus]]="Watchlist",Loans[[#This Row],[CollateralRisk]]="Undersecured",Loans[[#This Row],[RiskCategory]]="High Risk"),"High Risk Exposure","Normal")</f>
        <v>High Risk Exposure</v>
      </c>
      <c r="T1792" t="str" cm="1">
        <f t="array" ref="T1792">_xlfn.IFS(
Loans[[#This Row],[LoanStatus]]="Default","Critical",
OR(Loans[[#This Row],[LoanStatus]]="Watchlist",Loans[[#This Row],[CollateralRisk]]="Undersecured",Loans[[#This Row],[RiskCategory]]="High Risk"),"High",
TRUE,"Normal"
)</f>
        <v>Critical</v>
      </c>
    </row>
    <row r="1793" spans="1:20" x14ac:dyDescent="0.35">
      <c r="A1793" t="s">
        <v>2617</v>
      </c>
      <c r="B1793" t="s">
        <v>679</v>
      </c>
      <c r="C1793" t="s">
        <v>177</v>
      </c>
      <c r="D1793" t="s">
        <v>157</v>
      </c>
      <c r="E1793" s="34">
        <v>6000000</v>
      </c>
      <c r="F1793" s="29">
        <v>0.1017</v>
      </c>
      <c r="G1793" s="30">
        <v>44244</v>
      </c>
      <c r="H1793">
        <v>48</v>
      </c>
      <c r="I1793">
        <v>0</v>
      </c>
      <c r="J1793" s="34">
        <v>4560000</v>
      </c>
      <c r="K1793" t="s">
        <v>171</v>
      </c>
      <c r="L1793" s="34">
        <f>PMT(Loans[[#This Row],[InterestRate]]/12,Loans[[#This Row],[LoanTenureMonths]],-Loans[[#This Row],[LoanAmount]])</f>
        <v>152665.81746943944</v>
      </c>
      <c r="M1793" s="30">
        <f>EDATE(Loans[[#This Row],[LoanStartDate]],Loans[[#This Row],[LoanTenureMonths]])</f>
        <v>45705</v>
      </c>
      <c r="N1793" s="33">
        <f>IF(Loans[[#This Row],[LoanAmount]]=0,0,Loans[[#This Row],[CollateralValue]]/Loans[[#This Row],[LoanAmount]])</f>
        <v>0.76</v>
      </c>
      <c r="O1793" t="str">
        <f>IF(Loans[[#This Row],[CollateralCoverageRatio]]&lt;1,"Undersecured","Secured")</f>
        <v>Undersecured</v>
      </c>
      <c r="P1793" t="str">
        <f>_xlfn.XLOOKUP(Loans[[#This Row],[BranchCode]],BranchesTbl[BranchCode],BranchesTbl[BranchName])</f>
        <v>Naivasha</v>
      </c>
      <c r="Q1793">
        <f>_xlfn.XLOOKUP(Loans[[#This Row],[CustomerID]],CustomerTbl[CustomerID],CustomerTbl[RiskScore])</f>
        <v>411</v>
      </c>
      <c r="R1793" t="str">
        <f>IFERROR(INDEX(RiskTbl[Risk_Category],MATCH(Loans[[#This Row],[RiskScore]],RiskTbl[Score_Min],1)),"Unknown")</f>
        <v>High Risk</v>
      </c>
      <c r="S1793" t="str">
        <f>IF(OR(Loans[[#This Row],[LoanStatus]]="Default",Loans[[#This Row],[LoanStatus]]="Watchlist",Loans[[#This Row],[CollateralRisk]]="Undersecured",Loans[[#This Row],[RiskCategory]]="High Risk"),"High Risk Exposure","Normal")</f>
        <v>High Risk Exposure</v>
      </c>
      <c r="T1793" t="str" cm="1">
        <f t="array" ref="T1793">_xlfn.IFS(
Loans[[#This Row],[LoanStatus]]="Default","Critical",
OR(Loans[[#This Row],[LoanStatus]]="Watchlist",Loans[[#This Row],[CollateralRisk]]="Undersecured",Loans[[#This Row],[RiskCategory]]="High Risk"),"High",
TRUE,"Normal"
)</f>
        <v>High</v>
      </c>
    </row>
    <row r="1794" spans="1:20" x14ac:dyDescent="0.35">
      <c r="A1794" t="s">
        <v>2618</v>
      </c>
      <c r="B1794" t="s">
        <v>505</v>
      </c>
      <c r="C1794" t="s">
        <v>219</v>
      </c>
      <c r="D1794" t="s">
        <v>158</v>
      </c>
      <c r="E1794" s="34">
        <v>3000000</v>
      </c>
      <c r="F1794" s="29">
        <v>0.1255</v>
      </c>
      <c r="G1794" s="30">
        <v>44873</v>
      </c>
      <c r="H1794">
        <v>72</v>
      </c>
      <c r="I1794">
        <v>120</v>
      </c>
      <c r="J1794" s="34">
        <v>3030000</v>
      </c>
      <c r="K1794" t="s">
        <v>178</v>
      </c>
      <c r="L1794" s="34">
        <f>PMT(Loans[[#This Row],[InterestRate]]/12,Loans[[#This Row],[LoanTenureMonths]],-Loans[[#This Row],[LoanAmount]])</f>
        <v>59512.152595864543</v>
      </c>
      <c r="M1794" s="30">
        <f>EDATE(Loans[[#This Row],[LoanStartDate]],Loans[[#This Row],[LoanTenureMonths]])</f>
        <v>47065</v>
      </c>
      <c r="N1794" s="33">
        <f>IF(Loans[[#This Row],[LoanAmount]]=0,0,Loans[[#This Row],[CollateralValue]]/Loans[[#This Row],[LoanAmount]])</f>
        <v>1.01</v>
      </c>
      <c r="O1794" t="str">
        <f>IF(Loans[[#This Row],[CollateralCoverageRatio]]&lt;1,"Undersecured","Secured")</f>
        <v>Secured</v>
      </c>
      <c r="P1794" t="str">
        <f>_xlfn.XLOOKUP(Loans[[#This Row],[BranchCode]],BranchesTbl[BranchCode],BranchesTbl[BranchName])</f>
        <v>Meru</v>
      </c>
      <c r="Q1794">
        <f>_xlfn.XLOOKUP(Loans[[#This Row],[CustomerID]],CustomerTbl[CustomerID],CustomerTbl[RiskScore])</f>
        <v>844</v>
      </c>
      <c r="R1794" t="str">
        <f>IFERROR(INDEX(RiskTbl[Risk_Category],MATCH(Loans[[#This Row],[RiskScore]],RiskTbl[Score_Min],1)),"Unknown")</f>
        <v>Prime</v>
      </c>
      <c r="S1794" t="str">
        <f>IF(OR(Loans[[#This Row],[LoanStatus]]="Default",Loans[[#This Row],[LoanStatus]]="Watchlist",Loans[[#This Row],[CollateralRisk]]="Undersecured",Loans[[#This Row],[RiskCategory]]="High Risk"),"High Risk Exposure","Normal")</f>
        <v>High Risk Exposure</v>
      </c>
      <c r="T1794" t="str" cm="1">
        <f t="array" ref="T1794">_xlfn.IFS(
Loans[[#This Row],[LoanStatus]]="Default","Critical",
OR(Loans[[#This Row],[LoanStatus]]="Watchlist",Loans[[#This Row],[CollateralRisk]]="Undersecured",Loans[[#This Row],[RiskCategory]]="High Risk"),"High",
TRUE,"Normal"
)</f>
        <v>Critical</v>
      </c>
    </row>
    <row r="1795" spans="1:20" x14ac:dyDescent="0.35">
      <c r="A1795" t="s">
        <v>2619</v>
      </c>
      <c r="B1795" t="s">
        <v>1904</v>
      </c>
      <c r="C1795" t="s">
        <v>270</v>
      </c>
      <c r="D1795" t="s">
        <v>158</v>
      </c>
      <c r="E1795" s="34">
        <v>3000000</v>
      </c>
      <c r="F1795" s="29">
        <v>0.12189999999999999</v>
      </c>
      <c r="G1795" s="30">
        <v>44430</v>
      </c>
      <c r="H1795">
        <v>36</v>
      </c>
      <c r="I1795">
        <v>0</v>
      </c>
      <c r="J1795" s="34">
        <v>3900000</v>
      </c>
      <c r="K1795" t="s">
        <v>171</v>
      </c>
      <c r="L1795" s="34">
        <f>PMT(Loans[[#This Row],[InterestRate]]/12,Loans[[#This Row],[LoanTenureMonths]],-Loans[[#This Row],[LoanAmount]])</f>
        <v>99915.391910030303</v>
      </c>
      <c r="M1795" s="30">
        <f>EDATE(Loans[[#This Row],[LoanStartDate]],Loans[[#This Row],[LoanTenureMonths]])</f>
        <v>45526</v>
      </c>
      <c r="N1795" s="33">
        <f>IF(Loans[[#This Row],[LoanAmount]]=0,0,Loans[[#This Row],[CollateralValue]]/Loans[[#This Row],[LoanAmount]])</f>
        <v>1.3</v>
      </c>
      <c r="O1795" t="str">
        <f>IF(Loans[[#This Row],[CollateralCoverageRatio]]&lt;1,"Undersecured","Secured")</f>
        <v>Secured</v>
      </c>
      <c r="P1795" t="str">
        <f>_xlfn.XLOOKUP(Loans[[#This Row],[BranchCode]],BranchesTbl[BranchCode],BranchesTbl[BranchName])</f>
        <v>Nakuru</v>
      </c>
      <c r="Q1795">
        <f>_xlfn.XLOOKUP(Loans[[#This Row],[CustomerID]],CustomerTbl[CustomerID],CustomerTbl[RiskScore])</f>
        <v>543</v>
      </c>
      <c r="R1795" t="str">
        <f>IFERROR(INDEX(RiskTbl[Risk_Category],MATCH(Loans[[#This Row],[RiskScore]],RiskTbl[Score_Min],1)),"Unknown")</f>
        <v>High Risk</v>
      </c>
      <c r="S1795" t="str">
        <f>IF(OR(Loans[[#This Row],[LoanStatus]]="Default",Loans[[#This Row],[LoanStatus]]="Watchlist",Loans[[#This Row],[CollateralRisk]]="Undersecured",Loans[[#This Row],[RiskCategory]]="High Risk"),"High Risk Exposure","Normal")</f>
        <v>High Risk Exposure</v>
      </c>
      <c r="T1795" t="str" cm="1">
        <f t="array" ref="T1795">_xlfn.IFS(
Loans[[#This Row],[LoanStatus]]="Default","Critical",
OR(Loans[[#This Row],[LoanStatus]]="Watchlist",Loans[[#This Row],[CollateralRisk]]="Undersecured",Loans[[#This Row],[RiskCategory]]="High Risk"),"High",
TRUE,"Normal"
)</f>
        <v>High</v>
      </c>
    </row>
    <row r="1796" spans="1:20" x14ac:dyDescent="0.35">
      <c r="A1796" t="s">
        <v>2620</v>
      </c>
      <c r="B1796" t="s">
        <v>1618</v>
      </c>
      <c r="C1796" t="s">
        <v>232</v>
      </c>
      <c r="D1796" t="s">
        <v>156</v>
      </c>
      <c r="E1796" s="34">
        <v>1000000</v>
      </c>
      <c r="F1796" s="29">
        <v>0.21779999999999999</v>
      </c>
      <c r="G1796" s="30">
        <v>44693</v>
      </c>
      <c r="H1796">
        <v>24</v>
      </c>
      <c r="I1796">
        <v>0</v>
      </c>
      <c r="J1796" s="34">
        <v>1400000</v>
      </c>
      <c r="K1796" t="s">
        <v>171</v>
      </c>
      <c r="L1796" s="34">
        <f>PMT(Loans[[#This Row],[InterestRate]]/12,Loans[[#This Row],[LoanTenureMonths]],-Loans[[#This Row],[LoanAmount]])</f>
        <v>51769.576393482843</v>
      </c>
      <c r="M1796" s="30">
        <f>EDATE(Loans[[#This Row],[LoanStartDate]],Loans[[#This Row],[LoanTenureMonths]])</f>
        <v>45424</v>
      </c>
      <c r="N1796" s="33">
        <f>IF(Loans[[#This Row],[LoanAmount]]=0,0,Loans[[#This Row],[CollateralValue]]/Loans[[#This Row],[LoanAmount]])</f>
        <v>1.4</v>
      </c>
      <c r="O1796" t="str">
        <f>IF(Loans[[#This Row],[CollateralCoverageRatio]]&lt;1,"Undersecured","Secured")</f>
        <v>Secured</v>
      </c>
      <c r="P1796" t="str">
        <f>_xlfn.XLOOKUP(Loans[[#This Row],[BranchCode]],BranchesTbl[BranchCode],BranchesTbl[BranchName])</f>
        <v>Upper Hill</v>
      </c>
      <c r="Q1796">
        <f>_xlfn.XLOOKUP(Loans[[#This Row],[CustomerID]],CustomerTbl[CustomerID],CustomerTbl[RiskScore])</f>
        <v>758</v>
      </c>
      <c r="R1796" t="str">
        <f>IFERROR(INDEX(RiskTbl[Risk_Category],MATCH(Loans[[#This Row],[RiskScore]],RiskTbl[Score_Min],1)),"Unknown")</f>
        <v>Very Low Risk</v>
      </c>
      <c r="S1796" t="str">
        <f>IF(OR(Loans[[#This Row],[LoanStatus]]="Default",Loans[[#This Row],[LoanStatus]]="Watchlist",Loans[[#This Row],[CollateralRisk]]="Undersecured",Loans[[#This Row],[RiskCategory]]="High Risk"),"High Risk Exposure","Normal")</f>
        <v>Normal</v>
      </c>
      <c r="T1796" t="str" cm="1">
        <f t="array" ref="T1796">_xlfn.IFS(
Loans[[#This Row],[LoanStatus]]="Default","Critical",
OR(Loans[[#This Row],[LoanStatus]]="Watchlist",Loans[[#This Row],[CollateralRisk]]="Undersecured",Loans[[#This Row],[RiskCategory]]="High Risk"),"High",
TRUE,"Normal"
)</f>
        <v>Normal</v>
      </c>
    </row>
    <row r="1797" spans="1:20" x14ac:dyDescent="0.35">
      <c r="A1797" t="s">
        <v>2621</v>
      </c>
      <c r="B1797" t="s">
        <v>667</v>
      </c>
      <c r="C1797" t="s">
        <v>270</v>
      </c>
      <c r="D1797" t="s">
        <v>158</v>
      </c>
      <c r="E1797" s="34">
        <v>1000000</v>
      </c>
      <c r="F1797" s="29">
        <v>0.16489999999999999</v>
      </c>
      <c r="G1797" s="30">
        <v>45831</v>
      </c>
      <c r="H1797">
        <v>48</v>
      </c>
      <c r="I1797">
        <v>0</v>
      </c>
      <c r="J1797" s="34">
        <v>670000</v>
      </c>
      <c r="K1797" t="s">
        <v>171</v>
      </c>
      <c r="L1797" s="34">
        <f>PMT(Loans[[#This Row],[InterestRate]]/12,Loans[[#This Row],[LoanTenureMonths]],-Loans[[#This Row],[LoanAmount]])</f>
        <v>28591.862608704305</v>
      </c>
      <c r="M1797" s="30">
        <f>EDATE(Loans[[#This Row],[LoanStartDate]],Loans[[#This Row],[LoanTenureMonths]])</f>
        <v>47292</v>
      </c>
      <c r="N1797" s="33">
        <f>IF(Loans[[#This Row],[LoanAmount]]=0,0,Loans[[#This Row],[CollateralValue]]/Loans[[#This Row],[LoanAmount]])</f>
        <v>0.67</v>
      </c>
      <c r="O1797" t="str">
        <f>IF(Loans[[#This Row],[CollateralCoverageRatio]]&lt;1,"Undersecured","Secured")</f>
        <v>Undersecured</v>
      </c>
      <c r="P1797" t="str">
        <f>_xlfn.XLOOKUP(Loans[[#This Row],[BranchCode]],BranchesTbl[BranchCode],BranchesTbl[BranchName])</f>
        <v>Nakuru</v>
      </c>
      <c r="Q1797">
        <f>_xlfn.XLOOKUP(Loans[[#This Row],[CustomerID]],CustomerTbl[CustomerID],CustomerTbl[RiskScore])</f>
        <v>690</v>
      </c>
      <c r="R1797" t="str">
        <f>IFERROR(INDEX(RiskTbl[Risk_Category],MATCH(Loans[[#This Row],[RiskScore]],RiskTbl[Score_Min],1)),"Unknown")</f>
        <v>Low Risk</v>
      </c>
      <c r="S1797" t="str">
        <f>IF(OR(Loans[[#This Row],[LoanStatus]]="Default",Loans[[#This Row],[LoanStatus]]="Watchlist",Loans[[#This Row],[CollateralRisk]]="Undersecured",Loans[[#This Row],[RiskCategory]]="High Risk"),"High Risk Exposure","Normal")</f>
        <v>High Risk Exposure</v>
      </c>
      <c r="T1797" t="str" cm="1">
        <f t="array" ref="T1797">_xlfn.IFS(
Loans[[#This Row],[LoanStatus]]="Default","Critical",
OR(Loans[[#This Row],[LoanStatus]]="Watchlist",Loans[[#This Row],[CollateralRisk]]="Undersecured",Loans[[#This Row],[RiskCategory]]="High Risk"),"High",
TRUE,"Normal"
)</f>
        <v>High</v>
      </c>
    </row>
    <row r="1798" spans="1:20" x14ac:dyDescent="0.35">
      <c r="A1798" t="s">
        <v>2622</v>
      </c>
      <c r="B1798" t="s">
        <v>990</v>
      </c>
      <c r="C1798" t="s">
        <v>184</v>
      </c>
      <c r="D1798" t="s">
        <v>158</v>
      </c>
      <c r="E1798" s="34">
        <v>1000000</v>
      </c>
      <c r="F1798" s="29">
        <v>0.12759999999999999</v>
      </c>
      <c r="G1798" s="30">
        <v>44179</v>
      </c>
      <c r="H1798">
        <v>60</v>
      </c>
      <c r="I1798">
        <v>20</v>
      </c>
      <c r="J1798" s="34">
        <v>1480000</v>
      </c>
      <c r="K1798" t="s">
        <v>171</v>
      </c>
      <c r="L1798" s="34">
        <f>PMT(Loans[[#This Row],[InterestRate]]/12,Loans[[#This Row],[LoanTenureMonths]],-Loans[[#This Row],[LoanAmount]])</f>
        <v>22630.40350852683</v>
      </c>
      <c r="M1798" s="30">
        <f>EDATE(Loans[[#This Row],[LoanStartDate]],Loans[[#This Row],[LoanTenureMonths]])</f>
        <v>46005</v>
      </c>
      <c r="N1798" s="33">
        <f>IF(Loans[[#This Row],[LoanAmount]]=0,0,Loans[[#This Row],[CollateralValue]]/Loans[[#This Row],[LoanAmount]])</f>
        <v>1.48</v>
      </c>
      <c r="O1798" t="str">
        <f>IF(Loans[[#This Row],[CollateralCoverageRatio]]&lt;1,"Undersecured","Secured")</f>
        <v>Secured</v>
      </c>
      <c r="P1798" t="str">
        <f>_xlfn.XLOOKUP(Loans[[#This Row],[BranchCode]],BranchesTbl[BranchCode],BranchesTbl[BranchName])</f>
        <v>Kisumu</v>
      </c>
      <c r="Q1798">
        <f>_xlfn.XLOOKUP(Loans[[#This Row],[CustomerID]],CustomerTbl[CustomerID],CustomerTbl[RiskScore])</f>
        <v>324</v>
      </c>
      <c r="R1798" t="str">
        <f>IFERROR(INDEX(RiskTbl[Risk_Category],MATCH(Loans[[#This Row],[RiskScore]],RiskTbl[Score_Min],1)),"Unknown")</f>
        <v>High Risk</v>
      </c>
      <c r="S1798" t="str">
        <f>IF(OR(Loans[[#This Row],[LoanStatus]]="Default",Loans[[#This Row],[LoanStatus]]="Watchlist",Loans[[#This Row],[CollateralRisk]]="Undersecured",Loans[[#This Row],[RiskCategory]]="High Risk"),"High Risk Exposure","Normal")</f>
        <v>High Risk Exposure</v>
      </c>
      <c r="T1798" t="str" cm="1">
        <f t="array" ref="T1798">_xlfn.IFS(
Loans[[#This Row],[LoanStatus]]="Default","Critical",
OR(Loans[[#This Row],[LoanStatus]]="Watchlist",Loans[[#This Row],[CollateralRisk]]="Undersecured",Loans[[#This Row],[RiskCategory]]="High Risk"),"High",
TRUE,"Normal"
)</f>
        <v>High</v>
      </c>
    </row>
    <row r="1799" spans="1:20" x14ac:dyDescent="0.35">
      <c r="A1799" t="s">
        <v>2623</v>
      </c>
      <c r="B1799" t="s">
        <v>1867</v>
      </c>
      <c r="C1799" t="s">
        <v>184</v>
      </c>
      <c r="D1799" t="s">
        <v>158</v>
      </c>
      <c r="E1799" s="34">
        <v>3000000</v>
      </c>
      <c r="F1799" s="29">
        <v>0.18340000000000001</v>
      </c>
      <c r="G1799" s="30">
        <v>45236</v>
      </c>
      <c r="H1799">
        <v>12</v>
      </c>
      <c r="I1799">
        <v>120</v>
      </c>
      <c r="J1799" s="34">
        <v>1860000</v>
      </c>
      <c r="K1799" t="s">
        <v>178</v>
      </c>
      <c r="L1799" s="34">
        <f>PMT(Loans[[#This Row],[InterestRate]]/12,Loans[[#This Row],[LoanTenureMonths]],-Loans[[#This Row],[LoanAmount]])</f>
        <v>275525.64350857411</v>
      </c>
      <c r="M1799" s="30">
        <f>EDATE(Loans[[#This Row],[LoanStartDate]],Loans[[#This Row],[LoanTenureMonths]])</f>
        <v>45602</v>
      </c>
      <c r="N1799" s="33">
        <f>IF(Loans[[#This Row],[LoanAmount]]=0,0,Loans[[#This Row],[CollateralValue]]/Loans[[#This Row],[LoanAmount]])</f>
        <v>0.62</v>
      </c>
      <c r="O1799" t="str">
        <f>IF(Loans[[#This Row],[CollateralCoverageRatio]]&lt;1,"Undersecured","Secured")</f>
        <v>Undersecured</v>
      </c>
      <c r="P1799" t="str">
        <f>_xlfn.XLOOKUP(Loans[[#This Row],[BranchCode]],BranchesTbl[BranchCode],BranchesTbl[BranchName])</f>
        <v>Kisumu</v>
      </c>
      <c r="Q1799">
        <f>_xlfn.XLOOKUP(Loans[[#This Row],[CustomerID]],CustomerTbl[CustomerID],CustomerTbl[RiskScore])</f>
        <v>825</v>
      </c>
      <c r="R1799" t="str">
        <f>IFERROR(INDEX(RiskTbl[Risk_Category],MATCH(Loans[[#This Row],[RiskScore]],RiskTbl[Score_Min],1)),"Unknown")</f>
        <v>Prime</v>
      </c>
      <c r="S1799" t="str">
        <f>IF(OR(Loans[[#This Row],[LoanStatus]]="Default",Loans[[#This Row],[LoanStatus]]="Watchlist",Loans[[#This Row],[CollateralRisk]]="Undersecured",Loans[[#This Row],[RiskCategory]]="High Risk"),"High Risk Exposure","Normal")</f>
        <v>High Risk Exposure</v>
      </c>
      <c r="T1799" t="str" cm="1">
        <f t="array" ref="T1799">_xlfn.IFS(
Loans[[#This Row],[LoanStatus]]="Default","Critical",
OR(Loans[[#This Row],[LoanStatus]]="Watchlist",Loans[[#This Row],[CollateralRisk]]="Undersecured",Loans[[#This Row],[RiskCategory]]="High Risk"),"High",
TRUE,"Normal"
)</f>
        <v>Critical</v>
      </c>
    </row>
    <row r="1800" spans="1:20" x14ac:dyDescent="0.35">
      <c r="A1800" t="s">
        <v>2624</v>
      </c>
      <c r="B1800" t="s">
        <v>1494</v>
      </c>
      <c r="C1800" t="s">
        <v>239</v>
      </c>
      <c r="D1800" t="s">
        <v>156</v>
      </c>
      <c r="E1800" s="34">
        <v>25000000</v>
      </c>
      <c r="F1800" s="29">
        <v>0.23899999999999999</v>
      </c>
      <c r="G1800" s="30">
        <v>43845</v>
      </c>
      <c r="H1800">
        <v>60</v>
      </c>
      <c r="I1800">
        <v>0</v>
      </c>
      <c r="J1800" s="34">
        <v>30500000</v>
      </c>
      <c r="K1800" t="s">
        <v>171</v>
      </c>
      <c r="L1800" s="34">
        <f>PMT(Loans[[#This Row],[InterestRate]]/12,Loans[[#This Row],[LoanTenureMonths]],-Loans[[#This Row],[LoanAmount]])</f>
        <v>717748.78275580879</v>
      </c>
      <c r="M1800" s="30">
        <f>EDATE(Loans[[#This Row],[LoanStartDate]],Loans[[#This Row],[LoanTenureMonths]])</f>
        <v>45672</v>
      </c>
      <c r="N1800" s="33">
        <f>IF(Loans[[#This Row],[LoanAmount]]=0,0,Loans[[#This Row],[CollateralValue]]/Loans[[#This Row],[LoanAmount]])</f>
        <v>1.22</v>
      </c>
      <c r="O1800" t="str">
        <f>IF(Loans[[#This Row],[CollateralCoverageRatio]]&lt;1,"Undersecured","Secured")</f>
        <v>Secured</v>
      </c>
      <c r="P1800" t="str">
        <f>_xlfn.XLOOKUP(Loans[[#This Row],[BranchCode]],BranchesTbl[BranchCode],BranchesTbl[BranchName])</f>
        <v>Machakos</v>
      </c>
      <c r="Q1800">
        <f>_xlfn.XLOOKUP(Loans[[#This Row],[CustomerID]],CustomerTbl[CustomerID],CustomerTbl[RiskScore])</f>
        <v>333</v>
      </c>
      <c r="R1800" t="str">
        <f>IFERROR(INDEX(RiskTbl[Risk_Category],MATCH(Loans[[#This Row],[RiskScore]],RiskTbl[Score_Min],1)),"Unknown")</f>
        <v>High Risk</v>
      </c>
      <c r="S1800" t="str">
        <f>IF(OR(Loans[[#This Row],[LoanStatus]]="Default",Loans[[#This Row],[LoanStatus]]="Watchlist",Loans[[#This Row],[CollateralRisk]]="Undersecured",Loans[[#This Row],[RiskCategory]]="High Risk"),"High Risk Exposure","Normal")</f>
        <v>High Risk Exposure</v>
      </c>
      <c r="T1800" t="str" cm="1">
        <f t="array" ref="T1800">_xlfn.IFS(
Loans[[#This Row],[LoanStatus]]="Default","Critical",
OR(Loans[[#This Row],[LoanStatus]]="Watchlist",Loans[[#This Row],[CollateralRisk]]="Undersecured",Loans[[#This Row],[RiskCategory]]="High Risk"),"High",
TRUE,"Normal"
)</f>
        <v>High</v>
      </c>
    </row>
    <row r="1801" spans="1:20" x14ac:dyDescent="0.35">
      <c r="A1801" t="s">
        <v>2625</v>
      </c>
      <c r="B1801" t="s">
        <v>1354</v>
      </c>
      <c r="C1801" t="s">
        <v>190</v>
      </c>
      <c r="D1801" t="s">
        <v>158</v>
      </c>
      <c r="E1801" s="34">
        <v>1000000</v>
      </c>
      <c r="F1801" s="29">
        <v>0.18920000000000001</v>
      </c>
      <c r="G1801" s="30">
        <v>45878</v>
      </c>
      <c r="H1801">
        <v>48</v>
      </c>
      <c r="I1801">
        <v>0</v>
      </c>
      <c r="J1801" s="34">
        <v>1310000</v>
      </c>
      <c r="K1801" t="s">
        <v>171</v>
      </c>
      <c r="L1801" s="34">
        <f>PMT(Loans[[#This Row],[InterestRate]]/12,Loans[[#This Row],[LoanTenureMonths]],-Loans[[#This Row],[LoanAmount]])</f>
        <v>29857.919624378024</v>
      </c>
      <c r="M1801" s="30">
        <f>EDATE(Loans[[#This Row],[LoanStartDate]],Loans[[#This Row],[LoanTenureMonths]])</f>
        <v>47339</v>
      </c>
      <c r="N1801" s="33">
        <f>IF(Loans[[#This Row],[LoanAmount]]=0,0,Loans[[#This Row],[CollateralValue]]/Loans[[#This Row],[LoanAmount]])</f>
        <v>1.31</v>
      </c>
      <c r="O1801" t="str">
        <f>IF(Loans[[#This Row],[CollateralCoverageRatio]]&lt;1,"Undersecured","Secured")</f>
        <v>Secured</v>
      </c>
      <c r="P1801" t="str">
        <f>_xlfn.XLOOKUP(Loans[[#This Row],[BranchCode]],BranchesTbl[BranchCode],BranchesTbl[BranchName])</f>
        <v>Nyeri</v>
      </c>
      <c r="Q1801">
        <f>_xlfn.XLOOKUP(Loans[[#This Row],[CustomerID]],CustomerTbl[CustomerID],CustomerTbl[RiskScore])</f>
        <v>708</v>
      </c>
      <c r="R1801" t="str">
        <f>IFERROR(INDEX(RiskTbl[Risk_Category],MATCH(Loans[[#This Row],[RiskScore]],RiskTbl[Score_Min],1)),"Unknown")</f>
        <v>Low Risk</v>
      </c>
      <c r="S1801" t="str">
        <f>IF(OR(Loans[[#This Row],[LoanStatus]]="Default",Loans[[#This Row],[LoanStatus]]="Watchlist",Loans[[#This Row],[CollateralRisk]]="Undersecured",Loans[[#This Row],[RiskCategory]]="High Risk"),"High Risk Exposure","Normal")</f>
        <v>Normal</v>
      </c>
      <c r="T1801" t="str" cm="1">
        <f t="array" ref="T1801">_xlfn.IFS(
Loans[[#This Row],[LoanStatus]]="Default","Critical",
OR(Loans[[#This Row],[LoanStatus]]="Watchlist",Loans[[#This Row],[CollateralRisk]]="Undersecured",Loans[[#This Row],[RiskCategory]]="High Risk"),"High",
TRUE,"Normal"
)</f>
        <v>Normal</v>
      </c>
    </row>
    <row r="1802" spans="1:20" x14ac:dyDescent="0.35">
      <c r="A1802" t="s">
        <v>2626</v>
      </c>
      <c r="B1802" t="s">
        <v>1050</v>
      </c>
      <c r="C1802" t="s">
        <v>239</v>
      </c>
      <c r="D1802" t="s">
        <v>157</v>
      </c>
      <c r="E1802" s="34">
        <v>25000000</v>
      </c>
      <c r="F1802" s="29">
        <v>0.13300000000000001</v>
      </c>
      <c r="G1802" s="30">
        <v>44722</v>
      </c>
      <c r="H1802">
        <v>72</v>
      </c>
      <c r="I1802">
        <v>5</v>
      </c>
      <c r="J1802" s="34">
        <v>29500000</v>
      </c>
      <c r="K1802" t="s">
        <v>171</v>
      </c>
      <c r="L1802" s="34">
        <f>PMT(Loans[[#This Row],[InterestRate]]/12,Loans[[#This Row],[LoanTenureMonths]],-Loans[[#This Row],[LoanAmount]])</f>
        <v>505819.70930543786</v>
      </c>
      <c r="M1802" s="30">
        <f>EDATE(Loans[[#This Row],[LoanStartDate]],Loans[[#This Row],[LoanTenureMonths]])</f>
        <v>46914</v>
      </c>
      <c r="N1802" s="33">
        <f>IF(Loans[[#This Row],[LoanAmount]]=0,0,Loans[[#This Row],[CollateralValue]]/Loans[[#This Row],[LoanAmount]])</f>
        <v>1.18</v>
      </c>
      <c r="O1802" t="str">
        <f>IF(Loans[[#This Row],[CollateralCoverageRatio]]&lt;1,"Undersecured","Secured")</f>
        <v>Secured</v>
      </c>
      <c r="P1802" t="str">
        <f>_xlfn.XLOOKUP(Loans[[#This Row],[BranchCode]],BranchesTbl[BranchCode],BranchesTbl[BranchName])</f>
        <v>Machakos</v>
      </c>
      <c r="Q1802">
        <f>_xlfn.XLOOKUP(Loans[[#This Row],[CustomerID]],CustomerTbl[CustomerID],CustomerTbl[RiskScore])</f>
        <v>835</v>
      </c>
      <c r="R1802" t="str">
        <f>IFERROR(INDEX(RiskTbl[Risk_Category],MATCH(Loans[[#This Row],[RiskScore]],RiskTbl[Score_Min],1)),"Unknown")</f>
        <v>Prime</v>
      </c>
      <c r="S1802" t="str">
        <f>IF(OR(Loans[[#This Row],[LoanStatus]]="Default",Loans[[#This Row],[LoanStatus]]="Watchlist",Loans[[#This Row],[CollateralRisk]]="Undersecured",Loans[[#This Row],[RiskCategory]]="High Risk"),"High Risk Exposure","Normal")</f>
        <v>Normal</v>
      </c>
      <c r="T1802" t="str" cm="1">
        <f t="array" ref="T1802">_xlfn.IFS(
Loans[[#This Row],[LoanStatus]]="Default","Critical",
OR(Loans[[#This Row],[LoanStatus]]="Watchlist",Loans[[#This Row],[CollateralRisk]]="Undersecured",Loans[[#This Row],[RiskCategory]]="High Risk"),"High",
TRUE,"Normal"
)</f>
        <v>Normal</v>
      </c>
    </row>
    <row r="1803" spans="1:20" x14ac:dyDescent="0.35">
      <c r="A1803" t="s">
        <v>2627</v>
      </c>
      <c r="B1803" t="s">
        <v>223</v>
      </c>
      <c r="C1803" t="s">
        <v>206</v>
      </c>
      <c r="D1803" t="s">
        <v>156</v>
      </c>
      <c r="E1803" s="34">
        <v>6000000</v>
      </c>
      <c r="F1803" s="29">
        <v>0.15060000000000001</v>
      </c>
      <c r="G1803" s="30">
        <v>45695</v>
      </c>
      <c r="H1803">
        <v>24</v>
      </c>
      <c r="I1803">
        <v>20</v>
      </c>
      <c r="J1803" s="34">
        <v>5220000</v>
      </c>
      <c r="K1803" t="s">
        <v>171</v>
      </c>
      <c r="L1803" s="34">
        <f>PMT(Loans[[#This Row],[InterestRate]]/12,Loans[[#This Row],[LoanTenureMonths]],-Loans[[#This Row],[LoanAmount]])</f>
        <v>291090.95871047227</v>
      </c>
      <c r="M1803" s="30">
        <f>EDATE(Loans[[#This Row],[LoanStartDate]],Loans[[#This Row],[LoanTenureMonths]])</f>
        <v>46425</v>
      </c>
      <c r="N1803" s="33">
        <f>IF(Loans[[#This Row],[LoanAmount]]=0,0,Loans[[#This Row],[CollateralValue]]/Loans[[#This Row],[LoanAmount]])</f>
        <v>0.87</v>
      </c>
      <c r="O1803" t="str">
        <f>IF(Loans[[#This Row],[CollateralCoverageRatio]]&lt;1,"Undersecured","Secured")</f>
        <v>Undersecured</v>
      </c>
      <c r="P1803" t="str">
        <f>_xlfn.XLOOKUP(Loans[[#This Row],[BranchCode]],BranchesTbl[BranchCode],BranchesTbl[BranchName])</f>
        <v>Nyahururu</v>
      </c>
      <c r="Q1803">
        <f>_xlfn.XLOOKUP(Loans[[#This Row],[CustomerID]],CustomerTbl[CustomerID],CustomerTbl[RiskScore])</f>
        <v>797</v>
      </c>
      <c r="R1803" t="str">
        <f>IFERROR(INDEX(RiskTbl[Risk_Category],MATCH(Loans[[#This Row],[RiskScore]],RiskTbl[Score_Min],1)),"Unknown")</f>
        <v>Very Low Risk</v>
      </c>
      <c r="S1803" t="str">
        <f>IF(OR(Loans[[#This Row],[LoanStatus]]="Default",Loans[[#This Row],[LoanStatus]]="Watchlist",Loans[[#This Row],[CollateralRisk]]="Undersecured",Loans[[#This Row],[RiskCategory]]="High Risk"),"High Risk Exposure","Normal")</f>
        <v>High Risk Exposure</v>
      </c>
      <c r="T1803" t="str" cm="1">
        <f t="array" ref="T1803">_xlfn.IFS(
Loans[[#This Row],[LoanStatus]]="Default","Critical",
OR(Loans[[#This Row],[LoanStatus]]="Watchlist",Loans[[#This Row],[CollateralRisk]]="Undersecured",Loans[[#This Row],[RiskCategory]]="High Risk"),"High",
TRUE,"Normal"
)</f>
        <v>High</v>
      </c>
    </row>
    <row r="1804" spans="1:20" x14ac:dyDescent="0.35">
      <c r="A1804" t="s">
        <v>2628</v>
      </c>
      <c r="B1804" t="s">
        <v>229</v>
      </c>
      <c r="C1804" t="s">
        <v>184</v>
      </c>
      <c r="D1804" t="s">
        <v>155</v>
      </c>
      <c r="E1804" s="34">
        <v>100000</v>
      </c>
      <c r="F1804" s="29">
        <v>0.22109999999999999</v>
      </c>
      <c r="G1804" s="30">
        <v>44108</v>
      </c>
      <c r="H1804">
        <v>36</v>
      </c>
      <c r="I1804">
        <v>10</v>
      </c>
      <c r="J1804" s="34">
        <v>0</v>
      </c>
      <c r="K1804" t="s">
        <v>171</v>
      </c>
      <c r="L1804" s="34">
        <f>PMT(Loans[[#This Row],[InterestRate]]/12,Loans[[#This Row],[LoanTenureMonths]],-Loans[[#This Row],[LoanAmount]])</f>
        <v>3824.7383004855146</v>
      </c>
      <c r="M1804" s="30">
        <f>EDATE(Loans[[#This Row],[LoanStartDate]],Loans[[#This Row],[LoanTenureMonths]])</f>
        <v>45203</v>
      </c>
      <c r="N1804" s="33">
        <f>IF(Loans[[#This Row],[LoanAmount]]=0,0,Loans[[#This Row],[CollateralValue]]/Loans[[#This Row],[LoanAmount]])</f>
        <v>0</v>
      </c>
      <c r="O1804" t="str">
        <f>IF(Loans[[#This Row],[CollateralCoverageRatio]]&lt;1,"Undersecured","Secured")</f>
        <v>Undersecured</v>
      </c>
      <c r="P1804" t="str">
        <f>_xlfn.XLOOKUP(Loans[[#This Row],[BranchCode]],BranchesTbl[BranchCode],BranchesTbl[BranchName])</f>
        <v>Kisumu</v>
      </c>
      <c r="Q1804">
        <f>_xlfn.XLOOKUP(Loans[[#This Row],[CustomerID]],CustomerTbl[CustomerID],CustomerTbl[RiskScore])</f>
        <v>808</v>
      </c>
      <c r="R1804" t="str">
        <f>IFERROR(INDEX(RiskTbl[Risk_Category],MATCH(Loans[[#This Row],[RiskScore]],RiskTbl[Score_Min],1)),"Unknown")</f>
        <v>Prime</v>
      </c>
      <c r="S1804" t="str">
        <f>IF(OR(Loans[[#This Row],[LoanStatus]]="Default",Loans[[#This Row],[LoanStatus]]="Watchlist",Loans[[#This Row],[CollateralRisk]]="Undersecured",Loans[[#This Row],[RiskCategory]]="High Risk"),"High Risk Exposure","Normal")</f>
        <v>High Risk Exposure</v>
      </c>
      <c r="T1804" t="str" cm="1">
        <f t="array" ref="T1804">_xlfn.IFS(
Loans[[#This Row],[LoanStatus]]="Default","Critical",
OR(Loans[[#This Row],[LoanStatus]]="Watchlist",Loans[[#This Row],[CollateralRisk]]="Undersecured",Loans[[#This Row],[RiskCategory]]="High Risk"),"High",
TRUE,"Normal"
)</f>
        <v>High</v>
      </c>
    </row>
    <row r="1805" spans="1:20" x14ac:dyDescent="0.35">
      <c r="A1805" t="s">
        <v>2629</v>
      </c>
      <c r="B1805" t="s">
        <v>486</v>
      </c>
      <c r="C1805" t="s">
        <v>181</v>
      </c>
      <c r="D1805" t="s">
        <v>158</v>
      </c>
      <c r="E1805" s="34">
        <v>1000000</v>
      </c>
      <c r="F1805" s="29">
        <v>0.1452</v>
      </c>
      <c r="G1805" s="30">
        <v>44857</v>
      </c>
      <c r="H1805">
        <v>36</v>
      </c>
      <c r="I1805">
        <v>20</v>
      </c>
      <c r="J1805" s="34">
        <v>1480000</v>
      </c>
      <c r="K1805" t="s">
        <v>171</v>
      </c>
      <c r="L1805" s="34">
        <f>PMT(Loans[[#This Row],[InterestRate]]/12,Loans[[#This Row],[LoanTenureMonths]],-Loans[[#This Row],[LoanAmount]])</f>
        <v>34430.732233092887</v>
      </c>
      <c r="M1805" s="30">
        <f>EDATE(Loans[[#This Row],[LoanStartDate]],Loans[[#This Row],[LoanTenureMonths]])</f>
        <v>45953</v>
      </c>
      <c r="N1805" s="33">
        <f>IF(Loans[[#This Row],[LoanAmount]]=0,0,Loans[[#This Row],[CollateralValue]]/Loans[[#This Row],[LoanAmount]])</f>
        <v>1.48</v>
      </c>
      <c r="O1805" t="str">
        <f>IF(Loans[[#This Row],[CollateralCoverageRatio]]&lt;1,"Undersecured","Secured")</f>
        <v>Secured</v>
      </c>
      <c r="P1805" t="str">
        <f>_xlfn.XLOOKUP(Loans[[#This Row],[BranchCode]],BranchesTbl[BranchCode],BranchesTbl[BranchName])</f>
        <v>Kitale</v>
      </c>
      <c r="Q1805">
        <f>_xlfn.XLOOKUP(Loans[[#This Row],[CustomerID]],CustomerTbl[CustomerID],CustomerTbl[RiskScore])</f>
        <v>799</v>
      </c>
      <c r="R1805" t="str">
        <f>IFERROR(INDEX(RiskTbl[Risk_Category],MATCH(Loans[[#This Row],[RiskScore]],RiskTbl[Score_Min],1)),"Unknown")</f>
        <v>Very Low Risk</v>
      </c>
      <c r="S1805" t="str">
        <f>IF(OR(Loans[[#This Row],[LoanStatus]]="Default",Loans[[#This Row],[LoanStatus]]="Watchlist",Loans[[#This Row],[CollateralRisk]]="Undersecured",Loans[[#This Row],[RiskCategory]]="High Risk"),"High Risk Exposure","Normal")</f>
        <v>Normal</v>
      </c>
      <c r="T1805" t="str" cm="1">
        <f t="array" ref="T1805">_xlfn.IFS(
Loans[[#This Row],[LoanStatus]]="Default","Critical",
OR(Loans[[#This Row],[LoanStatus]]="Watchlist",Loans[[#This Row],[CollateralRisk]]="Undersecured",Loans[[#This Row],[RiskCategory]]="High Risk"),"High",
TRUE,"Normal"
)</f>
        <v>Normal</v>
      </c>
    </row>
    <row r="1806" spans="1:20" x14ac:dyDescent="0.35">
      <c r="A1806" t="s">
        <v>2630</v>
      </c>
      <c r="B1806" t="s">
        <v>1366</v>
      </c>
      <c r="C1806" t="s">
        <v>239</v>
      </c>
      <c r="D1806" t="s">
        <v>158</v>
      </c>
      <c r="E1806" s="34">
        <v>3000000</v>
      </c>
      <c r="F1806" s="29">
        <v>0.15620000000000001</v>
      </c>
      <c r="G1806" s="30">
        <v>45513</v>
      </c>
      <c r="H1806">
        <v>60</v>
      </c>
      <c r="I1806">
        <v>5</v>
      </c>
      <c r="J1806" s="34">
        <v>4080000</v>
      </c>
      <c r="K1806" t="s">
        <v>171</v>
      </c>
      <c r="L1806" s="34">
        <f>PMT(Loans[[#This Row],[InterestRate]]/12,Loans[[#This Row],[LoanTenureMonths]],-Loans[[#This Row],[LoanAmount]])</f>
        <v>72349.838440920255</v>
      </c>
      <c r="M1806" s="30">
        <f>EDATE(Loans[[#This Row],[LoanStartDate]],Loans[[#This Row],[LoanTenureMonths]])</f>
        <v>47339</v>
      </c>
      <c r="N1806" s="33">
        <f>IF(Loans[[#This Row],[LoanAmount]]=0,0,Loans[[#This Row],[CollateralValue]]/Loans[[#This Row],[LoanAmount]])</f>
        <v>1.36</v>
      </c>
      <c r="O1806" t="str">
        <f>IF(Loans[[#This Row],[CollateralCoverageRatio]]&lt;1,"Undersecured","Secured")</f>
        <v>Secured</v>
      </c>
      <c r="P1806" t="str">
        <f>_xlfn.XLOOKUP(Loans[[#This Row],[BranchCode]],BranchesTbl[BranchCode],BranchesTbl[BranchName])</f>
        <v>Machakos</v>
      </c>
      <c r="Q1806">
        <f>_xlfn.XLOOKUP(Loans[[#This Row],[CustomerID]],CustomerTbl[CustomerID],CustomerTbl[RiskScore])</f>
        <v>834</v>
      </c>
      <c r="R1806" t="str">
        <f>IFERROR(INDEX(RiskTbl[Risk_Category],MATCH(Loans[[#This Row],[RiskScore]],RiskTbl[Score_Min],1)),"Unknown")</f>
        <v>Prime</v>
      </c>
      <c r="S1806" t="str">
        <f>IF(OR(Loans[[#This Row],[LoanStatus]]="Default",Loans[[#This Row],[LoanStatus]]="Watchlist",Loans[[#This Row],[CollateralRisk]]="Undersecured",Loans[[#This Row],[RiskCategory]]="High Risk"),"High Risk Exposure","Normal")</f>
        <v>Normal</v>
      </c>
      <c r="T1806" t="str" cm="1">
        <f t="array" ref="T1806">_xlfn.IFS(
Loans[[#This Row],[LoanStatus]]="Default","Critical",
OR(Loans[[#This Row],[LoanStatus]]="Watchlist",Loans[[#This Row],[CollateralRisk]]="Undersecured",Loans[[#This Row],[RiskCategory]]="High Risk"),"High",
TRUE,"Normal"
)</f>
        <v>Normal</v>
      </c>
    </row>
    <row r="1807" spans="1:20" x14ac:dyDescent="0.35">
      <c r="A1807" t="s">
        <v>2631</v>
      </c>
      <c r="B1807" t="s">
        <v>310</v>
      </c>
      <c r="C1807" t="s">
        <v>239</v>
      </c>
      <c r="D1807" t="s">
        <v>158</v>
      </c>
      <c r="E1807" s="34">
        <v>3000000</v>
      </c>
      <c r="F1807" s="29">
        <v>0.19120000000000001</v>
      </c>
      <c r="G1807" s="30">
        <v>44319</v>
      </c>
      <c r="H1807">
        <v>36</v>
      </c>
      <c r="I1807">
        <v>0</v>
      </c>
      <c r="J1807" s="34">
        <v>3720000</v>
      </c>
      <c r="K1807" t="s">
        <v>171</v>
      </c>
      <c r="L1807" s="34">
        <f>PMT(Loans[[#This Row],[InterestRate]]/12,Loans[[#This Row],[LoanTenureMonths]],-Loans[[#This Row],[LoanAmount]])</f>
        <v>110150.16001895955</v>
      </c>
      <c r="M1807" s="30">
        <f>EDATE(Loans[[#This Row],[LoanStartDate]],Loans[[#This Row],[LoanTenureMonths]])</f>
        <v>45415</v>
      </c>
      <c r="N1807" s="33">
        <f>IF(Loans[[#This Row],[LoanAmount]]=0,0,Loans[[#This Row],[CollateralValue]]/Loans[[#This Row],[LoanAmount]])</f>
        <v>1.24</v>
      </c>
      <c r="O1807" t="str">
        <f>IF(Loans[[#This Row],[CollateralCoverageRatio]]&lt;1,"Undersecured","Secured")</f>
        <v>Secured</v>
      </c>
      <c r="P1807" t="str">
        <f>_xlfn.XLOOKUP(Loans[[#This Row],[BranchCode]],BranchesTbl[BranchCode],BranchesTbl[BranchName])</f>
        <v>Machakos</v>
      </c>
      <c r="Q1807">
        <f>_xlfn.XLOOKUP(Loans[[#This Row],[CustomerID]],CustomerTbl[CustomerID],CustomerTbl[RiskScore])</f>
        <v>681</v>
      </c>
      <c r="R1807" t="str">
        <f>IFERROR(INDEX(RiskTbl[Risk_Category],MATCH(Loans[[#This Row],[RiskScore]],RiskTbl[Score_Min],1)),"Unknown")</f>
        <v>Low Risk</v>
      </c>
      <c r="S1807" t="str">
        <f>IF(OR(Loans[[#This Row],[LoanStatus]]="Default",Loans[[#This Row],[LoanStatus]]="Watchlist",Loans[[#This Row],[CollateralRisk]]="Undersecured",Loans[[#This Row],[RiskCategory]]="High Risk"),"High Risk Exposure","Normal")</f>
        <v>Normal</v>
      </c>
      <c r="T1807" t="str" cm="1">
        <f t="array" ref="T1807">_xlfn.IFS(
Loans[[#This Row],[LoanStatus]]="Default","Critical",
OR(Loans[[#This Row],[LoanStatus]]="Watchlist",Loans[[#This Row],[CollateralRisk]]="Undersecured",Loans[[#This Row],[RiskCategory]]="High Risk"),"High",
TRUE,"Normal"
)</f>
        <v>Normal</v>
      </c>
    </row>
    <row r="1808" spans="1:20" x14ac:dyDescent="0.35">
      <c r="A1808" t="s">
        <v>2632</v>
      </c>
      <c r="B1808" t="s">
        <v>2194</v>
      </c>
      <c r="C1808" t="s">
        <v>206</v>
      </c>
      <c r="D1808" t="s">
        <v>156</v>
      </c>
      <c r="E1808" s="34">
        <v>25000000</v>
      </c>
      <c r="F1808" s="29">
        <v>0.21970000000000001</v>
      </c>
      <c r="G1808" s="30">
        <v>45231</v>
      </c>
      <c r="H1808">
        <v>24</v>
      </c>
      <c r="I1808">
        <v>10</v>
      </c>
      <c r="J1808" s="34">
        <v>27250000</v>
      </c>
      <c r="K1808" t="s">
        <v>171</v>
      </c>
      <c r="L1808" s="34">
        <f>PMT(Loans[[#This Row],[InterestRate]]/12,Loans[[#This Row],[LoanTenureMonths]],-Loans[[#This Row],[LoanAmount]])</f>
        <v>1296583.5243586549</v>
      </c>
      <c r="M1808" s="30">
        <f>EDATE(Loans[[#This Row],[LoanStartDate]],Loans[[#This Row],[LoanTenureMonths]])</f>
        <v>45962</v>
      </c>
      <c r="N1808" s="33">
        <f>IF(Loans[[#This Row],[LoanAmount]]=0,0,Loans[[#This Row],[CollateralValue]]/Loans[[#This Row],[LoanAmount]])</f>
        <v>1.0900000000000001</v>
      </c>
      <c r="O1808" t="str">
        <f>IF(Loans[[#This Row],[CollateralCoverageRatio]]&lt;1,"Undersecured","Secured")</f>
        <v>Secured</v>
      </c>
      <c r="P1808" t="str">
        <f>_xlfn.XLOOKUP(Loans[[#This Row],[BranchCode]],BranchesTbl[BranchCode],BranchesTbl[BranchName])</f>
        <v>Nyahururu</v>
      </c>
      <c r="Q1808">
        <f>_xlfn.XLOOKUP(Loans[[#This Row],[CustomerID]],CustomerTbl[CustomerID],CustomerTbl[RiskScore])</f>
        <v>586</v>
      </c>
      <c r="R1808" t="str">
        <f>IFERROR(INDEX(RiskTbl[Risk_Category],MATCH(Loans[[#This Row],[RiskScore]],RiskTbl[Score_Min],1)),"Unknown")</f>
        <v>Medium Risk</v>
      </c>
      <c r="S1808" t="str">
        <f>IF(OR(Loans[[#This Row],[LoanStatus]]="Default",Loans[[#This Row],[LoanStatus]]="Watchlist",Loans[[#This Row],[CollateralRisk]]="Undersecured",Loans[[#This Row],[RiskCategory]]="High Risk"),"High Risk Exposure","Normal")</f>
        <v>Normal</v>
      </c>
      <c r="T1808" t="str" cm="1">
        <f t="array" ref="T1808">_xlfn.IFS(
Loans[[#This Row],[LoanStatus]]="Default","Critical",
OR(Loans[[#This Row],[LoanStatus]]="Watchlist",Loans[[#This Row],[CollateralRisk]]="Undersecured",Loans[[#This Row],[RiskCategory]]="High Risk"),"High",
TRUE,"Normal"
)</f>
        <v>Normal</v>
      </c>
    </row>
    <row r="1809" spans="1:20" x14ac:dyDescent="0.35">
      <c r="A1809" t="s">
        <v>2633</v>
      </c>
      <c r="B1809" t="s">
        <v>1127</v>
      </c>
      <c r="C1809" t="s">
        <v>270</v>
      </c>
      <c r="D1809" t="s">
        <v>157</v>
      </c>
      <c r="E1809" s="34">
        <v>80000000</v>
      </c>
      <c r="F1809" s="29">
        <v>9.2399999999999996E-2</v>
      </c>
      <c r="G1809" s="30">
        <v>45000</v>
      </c>
      <c r="H1809">
        <v>48</v>
      </c>
      <c r="I1809">
        <v>90</v>
      </c>
      <c r="J1809" s="34">
        <v>72000000</v>
      </c>
      <c r="K1809" t="s">
        <v>199</v>
      </c>
      <c r="L1809" s="34">
        <f>PMT(Loans[[#This Row],[InterestRate]]/12,Loans[[#This Row],[LoanTenureMonths]],-Loans[[#This Row],[LoanAmount]])</f>
        <v>1999932.6934657074</v>
      </c>
      <c r="M1809" s="30">
        <f>EDATE(Loans[[#This Row],[LoanStartDate]],Loans[[#This Row],[LoanTenureMonths]])</f>
        <v>46461</v>
      </c>
      <c r="N1809" s="33">
        <f>IF(Loans[[#This Row],[LoanAmount]]=0,0,Loans[[#This Row],[CollateralValue]]/Loans[[#This Row],[LoanAmount]])</f>
        <v>0.9</v>
      </c>
      <c r="O1809" t="str">
        <f>IF(Loans[[#This Row],[CollateralCoverageRatio]]&lt;1,"Undersecured","Secured")</f>
        <v>Undersecured</v>
      </c>
      <c r="P1809" t="str">
        <f>_xlfn.XLOOKUP(Loans[[#This Row],[BranchCode]],BranchesTbl[BranchCode],BranchesTbl[BranchName])</f>
        <v>Nakuru</v>
      </c>
      <c r="Q1809">
        <f>_xlfn.XLOOKUP(Loans[[#This Row],[CustomerID]],CustomerTbl[CustomerID],CustomerTbl[RiskScore])</f>
        <v>466</v>
      </c>
      <c r="R1809" t="str">
        <f>IFERROR(INDEX(RiskTbl[Risk_Category],MATCH(Loans[[#This Row],[RiskScore]],RiskTbl[Score_Min],1)),"Unknown")</f>
        <v>High Risk</v>
      </c>
      <c r="S1809" t="str">
        <f>IF(OR(Loans[[#This Row],[LoanStatus]]="Default",Loans[[#This Row],[LoanStatus]]="Watchlist",Loans[[#This Row],[CollateralRisk]]="Undersecured",Loans[[#This Row],[RiskCategory]]="High Risk"),"High Risk Exposure","Normal")</f>
        <v>High Risk Exposure</v>
      </c>
      <c r="T1809" t="str" cm="1">
        <f t="array" ref="T1809">_xlfn.IFS(
Loans[[#This Row],[LoanStatus]]="Default","Critical",
OR(Loans[[#This Row],[LoanStatus]]="Watchlist",Loans[[#This Row],[CollateralRisk]]="Undersecured",Loans[[#This Row],[RiskCategory]]="High Risk"),"High",
TRUE,"Normal"
)</f>
        <v>High</v>
      </c>
    </row>
    <row r="1810" spans="1:20" x14ac:dyDescent="0.35">
      <c r="A1810" t="s">
        <v>2634</v>
      </c>
      <c r="B1810" t="s">
        <v>654</v>
      </c>
      <c r="C1810" t="s">
        <v>219</v>
      </c>
      <c r="D1810" t="s">
        <v>158</v>
      </c>
      <c r="E1810" s="34">
        <v>1000000</v>
      </c>
      <c r="F1810" s="29">
        <v>0.14929999999999999</v>
      </c>
      <c r="G1810" s="30">
        <v>44269</v>
      </c>
      <c r="H1810">
        <v>24</v>
      </c>
      <c r="I1810">
        <v>90</v>
      </c>
      <c r="J1810" s="34">
        <v>1280000</v>
      </c>
      <c r="K1810" t="s">
        <v>199</v>
      </c>
      <c r="L1810" s="34">
        <f>PMT(Loans[[#This Row],[InterestRate]]/12,Loans[[#This Row],[LoanTenureMonths]],-Loans[[#This Row],[LoanAmount]])</f>
        <v>48453.396627137437</v>
      </c>
      <c r="M1810" s="30">
        <f>EDATE(Loans[[#This Row],[LoanStartDate]],Loans[[#This Row],[LoanTenureMonths]])</f>
        <v>44999</v>
      </c>
      <c r="N1810" s="33">
        <f>IF(Loans[[#This Row],[LoanAmount]]=0,0,Loans[[#This Row],[CollateralValue]]/Loans[[#This Row],[LoanAmount]])</f>
        <v>1.28</v>
      </c>
      <c r="O1810" t="str">
        <f>IF(Loans[[#This Row],[CollateralCoverageRatio]]&lt;1,"Undersecured","Secured")</f>
        <v>Secured</v>
      </c>
      <c r="P1810" t="str">
        <f>_xlfn.XLOOKUP(Loans[[#This Row],[BranchCode]],BranchesTbl[BranchCode],BranchesTbl[BranchName])</f>
        <v>Meru</v>
      </c>
      <c r="Q1810">
        <f>_xlfn.XLOOKUP(Loans[[#This Row],[CustomerID]],CustomerTbl[CustomerID],CustomerTbl[RiskScore])</f>
        <v>482</v>
      </c>
      <c r="R1810" t="str">
        <f>IFERROR(INDEX(RiskTbl[Risk_Category],MATCH(Loans[[#This Row],[RiskScore]],RiskTbl[Score_Min],1)),"Unknown")</f>
        <v>High Risk</v>
      </c>
      <c r="S1810" t="str">
        <f>IF(OR(Loans[[#This Row],[LoanStatus]]="Default",Loans[[#This Row],[LoanStatus]]="Watchlist",Loans[[#This Row],[CollateralRisk]]="Undersecured",Loans[[#This Row],[RiskCategory]]="High Risk"),"High Risk Exposure","Normal")</f>
        <v>High Risk Exposure</v>
      </c>
      <c r="T1810" t="str" cm="1">
        <f t="array" ref="T1810">_xlfn.IFS(
Loans[[#This Row],[LoanStatus]]="Default","Critical",
OR(Loans[[#This Row],[LoanStatus]]="Watchlist",Loans[[#This Row],[CollateralRisk]]="Undersecured",Loans[[#This Row],[RiskCategory]]="High Risk"),"High",
TRUE,"Normal"
)</f>
        <v>High</v>
      </c>
    </row>
    <row r="1811" spans="1:20" x14ac:dyDescent="0.35">
      <c r="A1811" t="s">
        <v>2635</v>
      </c>
      <c r="B1811" t="s">
        <v>885</v>
      </c>
      <c r="C1811" t="s">
        <v>181</v>
      </c>
      <c r="D1811" t="s">
        <v>156</v>
      </c>
      <c r="E1811" s="34">
        <v>25000000</v>
      </c>
      <c r="F1811" s="29">
        <v>0.2175</v>
      </c>
      <c r="G1811" s="30">
        <v>44856</v>
      </c>
      <c r="H1811">
        <v>24</v>
      </c>
      <c r="I1811">
        <v>90</v>
      </c>
      <c r="J1811" s="34">
        <v>30500000</v>
      </c>
      <c r="K1811" t="s">
        <v>199</v>
      </c>
      <c r="L1811" s="34">
        <f>PMT(Loans[[#This Row],[InterestRate]]/12,Loans[[#This Row],[LoanTenureMonths]],-Loans[[#This Row],[LoanAmount]])</f>
        <v>1293869.5050340295</v>
      </c>
      <c r="M1811" s="30">
        <f>EDATE(Loans[[#This Row],[LoanStartDate]],Loans[[#This Row],[LoanTenureMonths]])</f>
        <v>45587</v>
      </c>
      <c r="N1811" s="33">
        <f>IF(Loans[[#This Row],[LoanAmount]]=0,0,Loans[[#This Row],[CollateralValue]]/Loans[[#This Row],[LoanAmount]])</f>
        <v>1.22</v>
      </c>
      <c r="O1811" t="str">
        <f>IF(Loans[[#This Row],[CollateralCoverageRatio]]&lt;1,"Undersecured","Secured")</f>
        <v>Secured</v>
      </c>
      <c r="P1811" t="str">
        <f>_xlfn.XLOOKUP(Loans[[#This Row],[BranchCode]],BranchesTbl[BranchCode],BranchesTbl[BranchName])</f>
        <v>Kitale</v>
      </c>
      <c r="Q1811">
        <f>_xlfn.XLOOKUP(Loans[[#This Row],[CustomerID]],CustomerTbl[CustomerID],CustomerTbl[RiskScore])</f>
        <v>610</v>
      </c>
      <c r="R1811" t="str">
        <f>IFERROR(INDEX(RiskTbl[Risk_Category],MATCH(Loans[[#This Row],[RiskScore]],RiskTbl[Score_Min],1)),"Unknown")</f>
        <v>Medium Risk</v>
      </c>
      <c r="S1811" t="str">
        <f>IF(OR(Loans[[#This Row],[LoanStatus]]="Default",Loans[[#This Row],[LoanStatus]]="Watchlist",Loans[[#This Row],[CollateralRisk]]="Undersecured",Loans[[#This Row],[RiskCategory]]="High Risk"),"High Risk Exposure","Normal")</f>
        <v>High Risk Exposure</v>
      </c>
      <c r="T1811" t="str" cm="1">
        <f t="array" ref="T1811">_xlfn.IFS(
Loans[[#This Row],[LoanStatus]]="Default","Critical",
OR(Loans[[#This Row],[LoanStatus]]="Watchlist",Loans[[#This Row],[CollateralRisk]]="Undersecured",Loans[[#This Row],[RiskCategory]]="High Risk"),"High",
TRUE,"Normal"
)</f>
        <v>High</v>
      </c>
    </row>
    <row r="1812" spans="1:20" x14ac:dyDescent="0.35">
      <c r="A1812" t="s">
        <v>2636</v>
      </c>
      <c r="B1812" t="s">
        <v>1423</v>
      </c>
      <c r="C1812" t="s">
        <v>196</v>
      </c>
      <c r="D1812" t="s">
        <v>158</v>
      </c>
      <c r="E1812" s="34">
        <v>6000000</v>
      </c>
      <c r="F1812" s="29">
        <v>0.18890000000000001</v>
      </c>
      <c r="G1812" s="30">
        <v>45410</v>
      </c>
      <c r="H1812">
        <v>12</v>
      </c>
      <c r="I1812">
        <v>0</v>
      </c>
      <c r="J1812" s="34">
        <v>4920000</v>
      </c>
      <c r="K1812" t="s">
        <v>171</v>
      </c>
      <c r="L1812" s="34">
        <f>PMT(Loans[[#This Row],[InterestRate]]/12,Loans[[#This Row],[LoanTenureMonths]],-Loans[[#This Row],[LoanAmount]])</f>
        <v>552624.5285585518</v>
      </c>
      <c r="M1812" s="30">
        <f>EDATE(Loans[[#This Row],[LoanStartDate]],Loans[[#This Row],[LoanTenureMonths]])</f>
        <v>45775</v>
      </c>
      <c r="N1812" s="33">
        <f>IF(Loans[[#This Row],[LoanAmount]]=0,0,Loans[[#This Row],[CollateralValue]]/Loans[[#This Row],[LoanAmount]])</f>
        <v>0.82</v>
      </c>
      <c r="O1812" t="str">
        <f>IF(Loans[[#This Row],[CollateralCoverageRatio]]&lt;1,"Undersecured","Secured")</f>
        <v>Undersecured</v>
      </c>
      <c r="P1812" t="str">
        <f>_xlfn.XLOOKUP(Loans[[#This Row],[BranchCode]],BranchesTbl[BranchCode],BranchesTbl[BranchName])</f>
        <v>Karen</v>
      </c>
      <c r="Q1812">
        <f>_xlfn.XLOOKUP(Loans[[#This Row],[CustomerID]],CustomerTbl[CustomerID],CustomerTbl[RiskScore])</f>
        <v>823</v>
      </c>
      <c r="R1812" t="str">
        <f>IFERROR(INDEX(RiskTbl[Risk_Category],MATCH(Loans[[#This Row],[RiskScore]],RiskTbl[Score_Min],1)),"Unknown")</f>
        <v>Prime</v>
      </c>
      <c r="S1812" t="str">
        <f>IF(OR(Loans[[#This Row],[LoanStatus]]="Default",Loans[[#This Row],[LoanStatus]]="Watchlist",Loans[[#This Row],[CollateralRisk]]="Undersecured",Loans[[#This Row],[RiskCategory]]="High Risk"),"High Risk Exposure","Normal")</f>
        <v>High Risk Exposure</v>
      </c>
      <c r="T1812" t="str" cm="1">
        <f t="array" ref="T1812">_xlfn.IFS(
Loans[[#This Row],[LoanStatus]]="Default","Critical",
OR(Loans[[#This Row],[LoanStatus]]="Watchlist",Loans[[#This Row],[CollateralRisk]]="Undersecured",Loans[[#This Row],[RiskCategory]]="High Risk"),"High",
TRUE,"Normal"
)</f>
        <v>High</v>
      </c>
    </row>
    <row r="1813" spans="1:20" x14ac:dyDescent="0.35">
      <c r="A1813" t="s">
        <v>2637</v>
      </c>
      <c r="B1813" t="s">
        <v>684</v>
      </c>
      <c r="C1813" t="s">
        <v>270</v>
      </c>
      <c r="D1813" t="s">
        <v>157</v>
      </c>
      <c r="E1813" s="34">
        <v>6000000</v>
      </c>
      <c r="F1813" s="29">
        <v>0.11509999999999999</v>
      </c>
      <c r="G1813" s="30">
        <v>43965</v>
      </c>
      <c r="H1813">
        <v>24</v>
      </c>
      <c r="I1813">
        <v>0</v>
      </c>
      <c r="J1813" s="34">
        <v>5220000</v>
      </c>
      <c r="K1813" t="s">
        <v>171</v>
      </c>
      <c r="L1813" s="34">
        <f>PMT(Loans[[#This Row],[InterestRate]]/12,Loans[[#This Row],[LoanTenureMonths]],-Loans[[#This Row],[LoanAmount]])</f>
        <v>281069.83066403639</v>
      </c>
      <c r="M1813" s="30">
        <f>EDATE(Loans[[#This Row],[LoanStartDate]],Loans[[#This Row],[LoanTenureMonths]])</f>
        <v>44695</v>
      </c>
      <c r="N1813" s="33">
        <f>IF(Loans[[#This Row],[LoanAmount]]=0,0,Loans[[#This Row],[CollateralValue]]/Loans[[#This Row],[LoanAmount]])</f>
        <v>0.87</v>
      </c>
      <c r="O1813" t="str">
        <f>IF(Loans[[#This Row],[CollateralCoverageRatio]]&lt;1,"Undersecured","Secured")</f>
        <v>Undersecured</v>
      </c>
      <c r="P1813" t="str">
        <f>_xlfn.XLOOKUP(Loans[[#This Row],[BranchCode]],BranchesTbl[BranchCode],BranchesTbl[BranchName])</f>
        <v>Nakuru</v>
      </c>
      <c r="Q1813">
        <f>_xlfn.XLOOKUP(Loans[[#This Row],[CustomerID]],CustomerTbl[CustomerID],CustomerTbl[RiskScore])</f>
        <v>673</v>
      </c>
      <c r="R1813" t="str">
        <f>IFERROR(INDEX(RiskTbl[Risk_Category],MATCH(Loans[[#This Row],[RiskScore]],RiskTbl[Score_Min],1)),"Unknown")</f>
        <v>Low Risk</v>
      </c>
      <c r="S1813" t="str">
        <f>IF(OR(Loans[[#This Row],[LoanStatus]]="Default",Loans[[#This Row],[LoanStatus]]="Watchlist",Loans[[#This Row],[CollateralRisk]]="Undersecured",Loans[[#This Row],[RiskCategory]]="High Risk"),"High Risk Exposure","Normal")</f>
        <v>High Risk Exposure</v>
      </c>
      <c r="T1813" t="str" cm="1">
        <f t="array" ref="T1813">_xlfn.IFS(
Loans[[#This Row],[LoanStatus]]="Default","Critical",
OR(Loans[[#This Row],[LoanStatus]]="Watchlist",Loans[[#This Row],[CollateralRisk]]="Undersecured",Loans[[#This Row],[RiskCategory]]="High Risk"),"High",
TRUE,"Normal"
)</f>
        <v>High</v>
      </c>
    </row>
    <row r="1814" spans="1:20" x14ac:dyDescent="0.35">
      <c r="A1814" t="s">
        <v>2638</v>
      </c>
      <c r="B1814" t="s">
        <v>1494</v>
      </c>
      <c r="C1814" t="s">
        <v>187</v>
      </c>
      <c r="D1814" t="s">
        <v>156</v>
      </c>
      <c r="E1814" s="34">
        <v>6000000</v>
      </c>
      <c r="F1814" s="29">
        <v>0.22720000000000001</v>
      </c>
      <c r="G1814" s="30">
        <v>45925</v>
      </c>
      <c r="H1814">
        <v>48</v>
      </c>
      <c r="I1814">
        <v>0</v>
      </c>
      <c r="J1814" s="34">
        <v>7860000</v>
      </c>
      <c r="K1814" t="s">
        <v>171</v>
      </c>
      <c r="L1814" s="34">
        <f>PMT(Loans[[#This Row],[InterestRate]]/12,Loans[[#This Row],[LoanTenureMonths]],-Loans[[#This Row],[LoanAmount]])</f>
        <v>191389.55121532097</v>
      </c>
      <c r="M1814" s="30">
        <f>EDATE(Loans[[#This Row],[LoanStartDate]],Loans[[#This Row],[LoanTenureMonths]])</f>
        <v>47386</v>
      </c>
      <c r="N1814" s="33">
        <f>IF(Loans[[#This Row],[LoanAmount]]=0,0,Loans[[#This Row],[CollateralValue]]/Loans[[#This Row],[LoanAmount]])</f>
        <v>1.31</v>
      </c>
      <c r="O1814" t="str">
        <f>IF(Loans[[#This Row],[CollateralCoverageRatio]]&lt;1,"Undersecured","Secured")</f>
        <v>Secured</v>
      </c>
      <c r="P1814" t="str">
        <f>_xlfn.XLOOKUP(Loans[[#This Row],[BranchCode]],BranchesTbl[BranchCode],BranchesTbl[BranchName])</f>
        <v>Eldoret</v>
      </c>
      <c r="Q1814">
        <f>_xlfn.XLOOKUP(Loans[[#This Row],[CustomerID]],CustomerTbl[CustomerID],CustomerTbl[RiskScore])</f>
        <v>333</v>
      </c>
      <c r="R1814" t="str">
        <f>IFERROR(INDEX(RiskTbl[Risk_Category],MATCH(Loans[[#This Row],[RiskScore]],RiskTbl[Score_Min],1)),"Unknown")</f>
        <v>High Risk</v>
      </c>
      <c r="S1814" t="str">
        <f>IF(OR(Loans[[#This Row],[LoanStatus]]="Default",Loans[[#This Row],[LoanStatus]]="Watchlist",Loans[[#This Row],[CollateralRisk]]="Undersecured",Loans[[#This Row],[RiskCategory]]="High Risk"),"High Risk Exposure","Normal")</f>
        <v>High Risk Exposure</v>
      </c>
      <c r="T1814" t="str" cm="1">
        <f t="array" ref="T1814">_xlfn.IFS(
Loans[[#This Row],[LoanStatus]]="Default","Critical",
OR(Loans[[#This Row],[LoanStatus]]="Watchlist",Loans[[#This Row],[CollateralRisk]]="Undersecured",Loans[[#This Row],[RiskCategory]]="High Risk"),"High",
TRUE,"Normal"
)</f>
        <v>High</v>
      </c>
    </row>
    <row r="1815" spans="1:20" x14ac:dyDescent="0.35">
      <c r="A1815" t="s">
        <v>2639</v>
      </c>
      <c r="B1815" t="s">
        <v>1434</v>
      </c>
      <c r="C1815" t="s">
        <v>196</v>
      </c>
      <c r="D1815" t="s">
        <v>155</v>
      </c>
      <c r="E1815" s="34">
        <v>500000</v>
      </c>
      <c r="F1815" s="29">
        <v>0.26419999999999999</v>
      </c>
      <c r="G1815" s="30">
        <v>43975</v>
      </c>
      <c r="H1815">
        <v>12</v>
      </c>
      <c r="I1815">
        <v>5</v>
      </c>
      <c r="J1815" s="34">
        <v>0</v>
      </c>
      <c r="K1815" t="s">
        <v>171</v>
      </c>
      <c r="L1815" s="34">
        <f>PMT(Loans[[#This Row],[InterestRate]]/12,Loans[[#This Row],[LoanTenureMonths]],-Loans[[#This Row],[LoanAmount]])</f>
        <v>47867.313897496169</v>
      </c>
      <c r="M1815" s="30">
        <f>EDATE(Loans[[#This Row],[LoanStartDate]],Loans[[#This Row],[LoanTenureMonths]])</f>
        <v>44340</v>
      </c>
      <c r="N1815" s="33">
        <f>IF(Loans[[#This Row],[LoanAmount]]=0,0,Loans[[#This Row],[CollateralValue]]/Loans[[#This Row],[LoanAmount]])</f>
        <v>0</v>
      </c>
      <c r="O1815" t="str">
        <f>IF(Loans[[#This Row],[CollateralCoverageRatio]]&lt;1,"Undersecured","Secured")</f>
        <v>Undersecured</v>
      </c>
      <c r="P1815" t="str">
        <f>_xlfn.XLOOKUP(Loans[[#This Row],[BranchCode]],BranchesTbl[BranchCode],BranchesTbl[BranchName])</f>
        <v>Karen</v>
      </c>
      <c r="Q1815">
        <f>_xlfn.XLOOKUP(Loans[[#This Row],[CustomerID]],CustomerTbl[CustomerID],CustomerTbl[RiskScore])</f>
        <v>626</v>
      </c>
      <c r="R1815" t="str">
        <f>IFERROR(INDEX(RiskTbl[Risk_Category],MATCH(Loans[[#This Row],[RiskScore]],RiskTbl[Score_Min],1)),"Unknown")</f>
        <v>Medium Risk</v>
      </c>
      <c r="S1815" t="str">
        <f>IF(OR(Loans[[#This Row],[LoanStatus]]="Default",Loans[[#This Row],[LoanStatus]]="Watchlist",Loans[[#This Row],[CollateralRisk]]="Undersecured",Loans[[#This Row],[RiskCategory]]="High Risk"),"High Risk Exposure","Normal")</f>
        <v>High Risk Exposure</v>
      </c>
      <c r="T1815" t="str" cm="1">
        <f t="array" ref="T1815">_xlfn.IFS(
Loans[[#This Row],[LoanStatus]]="Default","Critical",
OR(Loans[[#This Row],[LoanStatus]]="Watchlist",Loans[[#This Row],[CollateralRisk]]="Undersecured",Loans[[#This Row],[RiskCategory]]="High Risk"),"High",
TRUE,"Normal"
)</f>
        <v>High</v>
      </c>
    </row>
    <row r="1816" spans="1:20" x14ac:dyDescent="0.35">
      <c r="A1816" t="s">
        <v>2640</v>
      </c>
      <c r="B1816" t="s">
        <v>1865</v>
      </c>
      <c r="C1816" t="s">
        <v>187</v>
      </c>
      <c r="D1816" t="s">
        <v>158</v>
      </c>
      <c r="E1816" s="34">
        <v>500000</v>
      </c>
      <c r="F1816" s="29">
        <v>0.15540000000000001</v>
      </c>
      <c r="G1816" s="30">
        <v>45280</v>
      </c>
      <c r="H1816">
        <v>36</v>
      </c>
      <c r="I1816">
        <v>0</v>
      </c>
      <c r="J1816" s="34">
        <v>500000</v>
      </c>
      <c r="K1816" t="s">
        <v>171</v>
      </c>
      <c r="L1816" s="34">
        <f>PMT(Loans[[#This Row],[InterestRate]]/12,Loans[[#This Row],[LoanTenureMonths]],-Loans[[#This Row],[LoanAmount]])</f>
        <v>17465.176213847437</v>
      </c>
      <c r="M1816" s="30">
        <f>EDATE(Loans[[#This Row],[LoanStartDate]],Loans[[#This Row],[LoanTenureMonths]])</f>
        <v>46376</v>
      </c>
      <c r="N1816" s="33">
        <f>IF(Loans[[#This Row],[LoanAmount]]=0,0,Loans[[#This Row],[CollateralValue]]/Loans[[#This Row],[LoanAmount]])</f>
        <v>1</v>
      </c>
      <c r="O1816" t="str">
        <f>IF(Loans[[#This Row],[CollateralCoverageRatio]]&lt;1,"Undersecured","Secured")</f>
        <v>Secured</v>
      </c>
      <c r="P1816" t="str">
        <f>_xlfn.XLOOKUP(Loans[[#This Row],[BranchCode]],BranchesTbl[BranchCode],BranchesTbl[BranchName])</f>
        <v>Eldoret</v>
      </c>
      <c r="Q1816">
        <f>_xlfn.XLOOKUP(Loans[[#This Row],[CustomerID]],CustomerTbl[CustomerID],CustomerTbl[RiskScore])</f>
        <v>635</v>
      </c>
      <c r="R1816" t="str">
        <f>IFERROR(INDEX(RiskTbl[Risk_Category],MATCH(Loans[[#This Row],[RiskScore]],RiskTbl[Score_Min],1)),"Unknown")</f>
        <v>Medium Risk</v>
      </c>
      <c r="S1816" t="str">
        <f>IF(OR(Loans[[#This Row],[LoanStatus]]="Default",Loans[[#This Row],[LoanStatus]]="Watchlist",Loans[[#This Row],[CollateralRisk]]="Undersecured",Loans[[#This Row],[RiskCategory]]="High Risk"),"High Risk Exposure","Normal")</f>
        <v>Normal</v>
      </c>
      <c r="T1816" t="str" cm="1">
        <f t="array" ref="T1816">_xlfn.IFS(
Loans[[#This Row],[LoanStatus]]="Default","Critical",
OR(Loans[[#This Row],[LoanStatus]]="Watchlist",Loans[[#This Row],[CollateralRisk]]="Undersecured",Loans[[#This Row],[RiskCategory]]="High Risk"),"High",
TRUE,"Normal"
)</f>
        <v>Normal</v>
      </c>
    </row>
    <row r="1817" spans="1:20" x14ac:dyDescent="0.35">
      <c r="A1817" t="s">
        <v>2641</v>
      </c>
      <c r="B1817" t="s">
        <v>363</v>
      </c>
      <c r="C1817" t="s">
        <v>232</v>
      </c>
      <c r="D1817" t="s">
        <v>157</v>
      </c>
      <c r="E1817" s="34">
        <v>80000000</v>
      </c>
      <c r="F1817" s="29">
        <v>0.1193</v>
      </c>
      <c r="G1817" s="30">
        <v>45298</v>
      </c>
      <c r="H1817">
        <v>72</v>
      </c>
      <c r="I1817">
        <v>0</v>
      </c>
      <c r="J1817" s="34">
        <v>118400000</v>
      </c>
      <c r="K1817" t="s">
        <v>171</v>
      </c>
      <c r="L1817" s="34">
        <f>PMT(Loans[[#This Row],[InterestRate]]/12,Loans[[#This Row],[LoanTenureMonths]],-Loans[[#This Row],[LoanAmount]])</f>
        <v>1561104.7855388036</v>
      </c>
      <c r="M1817" s="30">
        <f>EDATE(Loans[[#This Row],[LoanStartDate]],Loans[[#This Row],[LoanTenureMonths]])</f>
        <v>47490</v>
      </c>
      <c r="N1817" s="33">
        <f>IF(Loans[[#This Row],[LoanAmount]]=0,0,Loans[[#This Row],[CollateralValue]]/Loans[[#This Row],[LoanAmount]])</f>
        <v>1.48</v>
      </c>
      <c r="O1817" t="str">
        <f>IF(Loans[[#This Row],[CollateralCoverageRatio]]&lt;1,"Undersecured","Secured")</f>
        <v>Secured</v>
      </c>
      <c r="P1817" t="str">
        <f>_xlfn.XLOOKUP(Loans[[#This Row],[BranchCode]],BranchesTbl[BranchCode],BranchesTbl[BranchName])</f>
        <v>Upper Hill</v>
      </c>
      <c r="Q1817">
        <f>_xlfn.XLOOKUP(Loans[[#This Row],[CustomerID]],CustomerTbl[CustomerID],CustomerTbl[RiskScore])</f>
        <v>653</v>
      </c>
      <c r="R1817" t="str">
        <f>IFERROR(INDEX(RiskTbl[Risk_Category],MATCH(Loans[[#This Row],[RiskScore]],RiskTbl[Score_Min],1)),"Unknown")</f>
        <v>Medium Risk</v>
      </c>
      <c r="S1817" t="str">
        <f>IF(OR(Loans[[#This Row],[LoanStatus]]="Default",Loans[[#This Row],[LoanStatus]]="Watchlist",Loans[[#This Row],[CollateralRisk]]="Undersecured",Loans[[#This Row],[RiskCategory]]="High Risk"),"High Risk Exposure","Normal")</f>
        <v>Normal</v>
      </c>
      <c r="T1817" t="str" cm="1">
        <f t="array" ref="T1817">_xlfn.IFS(
Loans[[#This Row],[LoanStatus]]="Default","Critical",
OR(Loans[[#This Row],[LoanStatus]]="Watchlist",Loans[[#This Row],[CollateralRisk]]="Undersecured",Loans[[#This Row],[RiskCategory]]="High Risk"),"High",
TRUE,"Normal"
)</f>
        <v>Normal</v>
      </c>
    </row>
    <row r="1818" spans="1:20" x14ac:dyDescent="0.35">
      <c r="A1818" t="s">
        <v>2642</v>
      </c>
      <c r="B1818" t="s">
        <v>359</v>
      </c>
      <c r="C1818" t="s">
        <v>187</v>
      </c>
      <c r="D1818" t="s">
        <v>157</v>
      </c>
      <c r="E1818" s="34">
        <v>80000000</v>
      </c>
      <c r="F1818" s="29">
        <v>0.1057</v>
      </c>
      <c r="G1818" s="30">
        <v>45019</v>
      </c>
      <c r="H1818">
        <v>72</v>
      </c>
      <c r="I1818">
        <v>10</v>
      </c>
      <c r="J1818" s="34">
        <v>66400000</v>
      </c>
      <c r="K1818" t="s">
        <v>171</v>
      </c>
      <c r="L1818" s="34">
        <f>PMT(Loans[[#This Row],[InterestRate]]/12,Loans[[#This Row],[LoanTenureMonths]],-Loans[[#This Row],[LoanAmount]])</f>
        <v>1505165.3139017571</v>
      </c>
      <c r="M1818" s="30">
        <f>EDATE(Loans[[#This Row],[LoanStartDate]],Loans[[#This Row],[LoanTenureMonths]])</f>
        <v>47211</v>
      </c>
      <c r="N1818" s="33">
        <f>IF(Loans[[#This Row],[LoanAmount]]=0,0,Loans[[#This Row],[CollateralValue]]/Loans[[#This Row],[LoanAmount]])</f>
        <v>0.83</v>
      </c>
      <c r="O1818" t="str">
        <f>IF(Loans[[#This Row],[CollateralCoverageRatio]]&lt;1,"Undersecured","Secured")</f>
        <v>Undersecured</v>
      </c>
      <c r="P1818" t="str">
        <f>_xlfn.XLOOKUP(Loans[[#This Row],[BranchCode]],BranchesTbl[BranchCode],BranchesTbl[BranchName])</f>
        <v>Eldoret</v>
      </c>
      <c r="Q1818">
        <f>_xlfn.XLOOKUP(Loans[[#This Row],[CustomerID]],CustomerTbl[CustomerID],CustomerTbl[RiskScore])</f>
        <v>820</v>
      </c>
      <c r="R1818" t="str">
        <f>IFERROR(INDEX(RiskTbl[Risk_Category],MATCH(Loans[[#This Row],[RiskScore]],RiskTbl[Score_Min],1)),"Unknown")</f>
        <v>Prime</v>
      </c>
      <c r="S1818" t="str">
        <f>IF(OR(Loans[[#This Row],[LoanStatus]]="Default",Loans[[#This Row],[LoanStatus]]="Watchlist",Loans[[#This Row],[CollateralRisk]]="Undersecured",Loans[[#This Row],[RiskCategory]]="High Risk"),"High Risk Exposure","Normal")</f>
        <v>High Risk Exposure</v>
      </c>
      <c r="T1818" t="str" cm="1">
        <f t="array" ref="T1818">_xlfn.IFS(
Loans[[#This Row],[LoanStatus]]="Default","Critical",
OR(Loans[[#This Row],[LoanStatus]]="Watchlist",Loans[[#This Row],[CollateralRisk]]="Undersecured",Loans[[#This Row],[RiskCategory]]="High Risk"),"High",
TRUE,"Normal"
)</f>
        <v>High</v>
      </c>
    </row>
    <row r="1819" spans="1:20" x14ac:dyDescent="0.35">
      <c r="A1819" t="s">
        <v>2643</v>
      </c>
      <c r="B1819" t="s">
        <v>2644</v>
      </c>
      <c r="C1819" t="s">
        <v>206</v>
      </c>
      <c r="D1819" t="s">
        <v>157</v>
      </c>
      <c r="E1819" s="34">
        <v>6000000</v>
      </c>
      <c r="F1819" s="29">
        <v>0.11219999999999999</v>
      </c>
      <c r="G1819" s="30">
        <v>44257</v>
      </c>
      <c r="H1819">
        <v>60</v>
      </c>
      <c r="I1819">
        <v>0</v>
      </c>
      <c r="J1819" s="34">
        <v>7020000</v>
      </c>
      <c r="K1819" t="s">
        <v>171</v>
      </c>
      <c r="L1819" s="34">
        <f>PMT(Loans[[#This Row],[InterestRate]]/12,Loans[[#This Row],[LoanTenureMonths]],-Loans[[#This Row],[LoanAmount]])</f>
        <v>131113.79869552926</v>
      </c>
      <c r="M1819" s="30">
        <f>EDATE(Loans[[#This Row],[LoanStartDate]],Loans[[#This Row],[LoanTenureMonths]])</f>
        <v>46083</v>
      </c>
      <c r="N1819" s="33">
        <f>IF(Loans[[#This Row],[LoanAmount]]=0,0,Loans[[#This Row],[CollateralValue]]/Loans[[#This Row],[LoanAmount]])</f>
        <v>1.17</v>
      </c>
      <c r="O1819" t="str">
        <f>IF(Loans[[#This Row],[CollateralCoverageRatio]]&lt;1,"Undersecured","Secured")</f>
        <v>Secured</v>
      </c>
      <c r="P1819" t="str">
        <f>_xlfn.XLOOKUP(Loans[[#This Row],[BranchCode]],BranchesTbl[BranchCode],BranchesTbl[BranchName])</f>
        <v>Nyahururu</v>
      </c>
      <c r="Q1819">
        <f>_xlfn.XLOOKUP(Loans[[#This Row],[CustomerID]],CustomerTbl[CustomerID],CustomerTbl[RiskScore])</f>
        <v>541</v>
      </c>
      <c r="R1819" t="str">
        <f>IFERROR(INDEX(RiskTbl[Risk_Category],MATCH(Loans[[#This Row],[RiskScore]],RiskTbl[Score_Min],1)),"Unknown")</f>
        <v>High Risk</v>
      </c>
      <c r="S1819" t="str">
        <f>IF(OR(Loans[[#This Row],[LoanStatus]]="Default",Loans[[#This Row],[LoanStatus]]="Watchlist",Loans[[#This Row],[CollateralRisk]]="Undersecured",Loans[[#This Row],[RiskCategory]]="High Risk"),"High Risk Exposure","Normal")</f>
        <v>High Risk Exposure</v>
      </c>
      <c r="T1819" t="str" cm="1">
        <f t="array" ref="T1819">_xlfn.IFS(
Loans[[#This Row],[LoanStatus]]="Default","Critical",
OR(Loans[[#This Row],[LoanStatus]]="Watchlist",Loans[[#This Row],[CollateralRisk]]="Undersecured",Loans[[#This Row],[RiskCategory]]="High Risk"),"High",
TRUE,"Normal"
)</f>
        <v>High</v>
      </c>
    </row>
    <row r="1820" spans="1:20" x14ac:dyDescent="0.35">
      <c r="A1820" t="s">
        <v>2645</v>
      </c>
      <c r="B1820" t="s">
        <v>2099</v>
      </c>
      <c r="C1820" t="s">
        <v>174</v>
      </c>
      <c r="D1820" t="s">
        <v>156</v>
      </c>
      <c r="E1820" s="34">
        <v>1000000</v>
      </c>
      <c r="F1820" s="29">
        <v>0.23719999999999999</v>
      </c>
      <c r="G1820" s="30">
        <v>44236</v>
      </c>
      <c r="H1820">
        <v>60</v>
      </c>
      <c r="I1820">
        <v>0</v>
      </c>
      <c r="J1820" s="34">
        <v>770000</v>
      </c>
      <c r="K1820" t="s">
        <v>171</v>
      </c>
      <c r="L1820" s="34">
        <f>PMT(Loans[[#This Row],[InterestRate]]/12,Loans[[#This Row],[LoanTenureMonths]],-Loans[[#This Row],[LoanAmount]])</f>
        <v>28605.673163383799</v>
      </c>
      <c r="M1820" s="30">
        <f>EDATE(Loans[[#This Row],[LoanStartDate]],Loans[[#This Row],[LoanTenureMonths]])</f>
        <v>46062</v>
      </c>
      <c r="N1820" s="33">
        <f>IF(Loans[[#This Row],[LoanAmount]]=0,0,Loans[[#This Row],[CollateralValue]]/Loans[[#This Row],[LoanAmount]])</f>
        <v>0.77</v>
      </c>
      <c r="O1820" t="str">
        <f>IF(Loans[[#This Row],[CollateralCoverageRatio]]&lt;1,"Undersecured","Secured")</f>
        <v>Undersecured</v>
      </c>
      <c r="P1820" t="str">
        <f>_xlfn.XLOOKUP(Loans[[#This Row],[BranchCode]],BranchesTbl[BranchCode],BranchesTbl[BranchName])</f>
        <v>Westlands</v>
      </c>
      <c r="Q1820">
        <f>_xlfn.XLOOKUP(Loans[[#This Row],[CustomerID]],CustomerTbl[CustomerID],CustomerTbl[RiskScore])</f>
        <v>711</v>
      </c>
      <c r="R1820" t="str">
        <f>IFERROR(INDEX(RiskTbl[Risk_Category],MATCH(Loans[[#This Row],[RiskScore]],RiskTbl[Score_Min],1)),"Unknown")</f>
        <v>Low Risk</v>
      </c>
      <c r="S1820" t="str">
        <f>IF(OR(Loans[[#This Row],[LoanStatus]]="Default",Loans[[#This Row],[LoanStatus]]="Watchlist",Loans[[#This Row],[CollateralRisk]]="Undersecured",Loans[[#This Row],[RiskCategory]]="High Risk"),"High Risk Exposure","Normal")</f>
        <v>High Risk Exposure</v>
      </c>
      <c r="T1820" t="str" cm="1">
        <f t="array" ref="T1820">_xlfn.IFS(
Loans[[#This Row],[LoanStatus]]="Default","Critical",
OR(Loans[[#This Row],[LoanStatus]]="Watchlist",Loans[[#This Row],[CollateralRisk]]="Undersecured",Loans[[#This Row],[RiskCategory]]="High Risk"),"High",
TRUE,"Normal"
)</f>
        <v>High</v>
      </c>
    </row>
    <row r="1821" spans="1:20" x14ac:dyDescent="0.35">
      <c r="A1821" t="s">
        <v>2646</v>
      </c>
      <c r="B1821" t="s">
        <v>1198</v>
      </c>
      <c r="C1821" t="s">
        <v>232</v>
      </c>
      <c r="D1821" t="s">
        <v>156</v>
      </c>
      <c r="E1821" s="34">
        <v>25000000</v>
      </c>
      <c r="F1821" s="29">
        <v>0.15809999999999999</v>
      </c>
      <c r="G1821" s="30">
        <v>45832</v>
      </c>
      <c r="H1821">
        <v>72</v>
      </c>
      <c r="I1821">
        <v>10</v>
      </c>
      <c r="J1821" s="34">
        <v>35750000</v>
      </c>
      <c r="K1821" t="s">
        <v>171</v>
      </c>
      <c r="L1821" s="34">
        <f>PMT(Loans[[#This Row],[InterestRate]]/12,Loans[[#This Row],[LoanTenureMonths]],-Loans[[#This Row],[LoanAmount]])</f>
        <v>539684.15792136267</v>
      </c>
      <c r="M1821" s="30">
        <f>EDATE(Loans[[#This Row],[LoanStartDate]],Loans[[#This Row],[LoanTenureMonths]])</f>
        <v>48023</v>
      </c>
      <c r="N1821" s="33">
        <f>IF(Loans[[#This Row],[LoanAmount]]=0,0,Loans[[#This Row],[CollateralValue]]/Loans[[#This Row],[LoanAmount]])</f>
        <v>1.43</v>
      </c>
      <c r="O1821" t="str">
        <f>IF(Loans[[#This Row],[CollateralCoverageRatio]]&lt;1,"Undersecured","Secured")</f>
        <v>Secured</v>
      </c>
      <c r="P1821" t="str">
        <f>_xlfn.XLOOKUP(Loans[[#This Row],[BranchCode]],BranchesTbl[BranchCode],BranchesTbl[BranchName])</f>
        <v>Upper Hill</v>
      </c>
      <c r="Q1821">
        <f>_xlfn.XLOOKUP(Loans[[#This Row],[CustomerID]],CustomerTbl[CustomerID],CustomerTbl[RiskScore])</f>
        <v>459</v>
      </c>
      <c r="R1821" t="str">
        <f>IFERROR(INDEX(RiskTbl[Risk_Category],MATCH(Loans[[#This Row],[RiskScore]],RiskTbl[Score_Min],1)),"Unknown")</f>
        <v>High Risk</v>
      </c>
      <c r="S1821" t="str">
        <f>IF(OR(Loans[[#This Row],[LoanStatus]]="Default",Loans[[#This Row],[LoanStatus]]="Watchlist",Loans[[#This Row],[CollateralRisk]]="Undersecured",Loans[[#This Row],[RiskCategory]]="High Risk"),"High Risk Exposure","Normal")</f>
        <v>High Risk Exposure</v>
      </c>
      <c r="T1821" t="str" cm="1">
        <f t="array" ref="T1821">_xlfn.IFS(
Loans[[#This Row],[LoanStatus]]="Default","Critical",
OR(Loans[[#This Row],[LoanStatus]]="Watchlist",Loans[[#This Row],[CollateralRisk]]="Undersecured",Loans[[#This Row],[RiskCategory]]="High Risk"),"High",
TRUE,"Normal"
)</f>
        <v>High</v>
      </c>
    </row>
    <row r="1822" spans="1:20" x14ac:dyDescent="0.35">
      <c r="A1822" t="s">
        <v>2647</v>
      </c>
      <c r="B1822" t="s">
        <v>1537</v>
      </c>
      <c r="C1822" t="s">
        <v>267</v>
      </c>
      <c r="D1822" t="s">
        <v>156</v>
      </c>
      <c r="E1822" s="34">
        <v>3000000</v>
      </c>
      <c r="F1822" s="29">
        <v>0.2077</v>
      </c>
      <c r="G1822" s="30">
        <v>43846</v>
      </c>
      <c r="H1822">
        <v>36</v>
      </c>
      <c r="I1822">
        <v>90</v>
      </c>
      <c r="J1822" s="34">
        <v>3450000</v>
      </c>
      <c r="K1822" t="s">
        <v>199</v>
      </c>
      <c r="L1822" s="34">
        <f>PMT(Loans[[#This Row],[InterestRate]]/12,Loans[[#This Row],[LoanTenureMonths]],-Loans[[#This Row],[LoanAmount]])</f>
        <v>112671.23946238399</v>
      </c>
      <c r="M1822" s="30">
        <f>EDATE(Loans[[#This Row],[LoanStartDate]],Loans[[#This Row],[LoanTenureMonths]])</f>
        <v>44942</v>
      </c>
      <c r="N1822" s="33">
        <f>IF(Loans[[#This Row],[LoanAmount]]=0,0,Loans[[#This Row],[CollateralValue]]/Loans[[#This Row],[LoanAmount]])</f>
        <v>1.1499999999999999</v>
      </c>
      <c r="O1822" t="str">
        <f>IF(Loans[[#This Row],[CollateralCoverageRatio]]&lt;1,"Undersecured","Secured")</f>
        <v>Secured</v>
      </c>
      <c r="P1822" t="str">
        <f>_xlfn.XLOOKUP(Loans[[#This Row],[BranchCode]],BranchesTbl[BranchCode],BranchesTbl[BranchName])</f>
        <v>Malindi</v>
      </c>
      <c r="Q1822">
        <f>_xlfn.XLOOKUP(Loans[[#This Row],[CustomerID]],CustomerTbl[CustomerID],CustomerTbl[RiskScore])</f>
        <v>609</v>
      </c>
      <c r="R1822" t="str">
        <f>IFERROR(INDEX(RiskTbl[Risk_Category],MATCH(Loans[[#This Row],[RiskScore]],RiskTbl[Score_Min],1)),"Unknown")</f>
        <v>Medium Risk</v>
      </c>
      <c r="S1822" t="str">
        <f>IF(OR(Loans[[#This Row],[LoanStatus]]="Default",Loans[[#This Row],[LoanStatus]]="Watchlist",Loans[[#This Row],[CollateralRisk]]="Undersecured",Loans[[#This Row],[RiskCategory]]="High Risk"),"High Risk Exposure","Normal")</f>
        <v>High Risk Exposure</v>
      </c>
      <c r="T1822" t="str" cm="1">
        <f t="array" ref="T1822">_xlfn.IFS(
Loans[[#This Row],[LoanStatus]]="Default","Critical",
OR(Loans[[#This Row],[LoanStatus]]="Watchlist",Loans[[#This Row],[CollateralRisk]]="Undersecured",Loans[[#This Row],[RiskCategory]]="High Risk"),"High",
TRUE,"Normal"
)</f>
        <v>High</v>
      </c>
    </row>
    <row r="1823" spans="1:20" x14ac:dyDescent="0.35">
      <c r="A1823" t="s">
        <v>2648</v>
      </c>
      <c r="B1823" t="s">
        <v>243</v>
      </c>
      <c r="C1823" t="s">
        <v>219</v>
      </c>
      <c r="D1823" t="s">
        <v>158</v>
      </c>
      <c r="E1823" s="34">
        <v>500000</v>
      </c>
      <c r="F1823" s="29">
        <v>0.13539999999999999</v>
      </c>
      <c r="G1823" s="30">
        <v>45248</v>
      </c>
      <c r="H1823">
        <v>24</v>
      </c>
      <c r="I1823">
        <v>0</v>
      </c>
      <c r="J1823" s="34">
        <v>350000</v>
      </c>
      <c r="K1823" t="s">
        <v>171</v>
      </c>
      <c r="L1823" s="34">
        <f>PMT(Loans[[#This Row],[InterestRate]]/12,Loans[[#This Row],[LoanTenureMonths]],-Loans[[#This Row],[LoanAmount]])</f>
        <v>23897.929563193</v>
      </c>
      <c r="M1823" s="30">
        <f>EDATE(Loans[[#This Row],[LoanStartDate]],Loans[[#This Row],[LoanTenureMonths]])</f>
        <v>45979</v>
      </c>
      <c r="N1823" s="33">
        <f>IF(Loans[[#This Row],[LoanAmount]]=0,0,Loans[[#This Row],[CollateralValue]]/Loans[[#This Row],[LoanAmount]])</f>
        <v>0.7</v>
      </c>
      <c r="O1823" t="str">
        <f>IF(Loans[[#This Row],[CollateralCoverageRatio]]&lt;1,"Undersecured","Secured")</f>
        <v>Undersecured</v>
      </c>
      <c r="P1823" t="str">
        <f>_xlfn.XLOOKUP(Loans[[#This Row],[BranchCode]],BranchesTbl[BranchCode],BranchesTbl[BranchName])</f>
        <v>Meru</v>
      </c>
      <c r="Q1823">
        <f>_xlfn.XLOOKUP(Loans[[#This Row],[CustomerID]],CustomerTbl[CustomerID],CustomerTbl[RiskScore])</f>
        <v>309</v>
      </c>
      <c r="R1823" t="str">
        <f>IFERROR(INDEX(RiskTbl[Risk_Category],MATCH(Loans[[#This Row],[RiskScore]],RiskTbl[Score_Min],1)),"Unknown")</f>
        <v>High Risk</v>
      </c>
      <c r="S1823" t="str">
        <f>IF(OR(Loans[[#This Row],[LoanStatus]]="Default",Loans[[#This Row],[LoanStatus]]="Watchlist",Loans[[#This Row],[CollateralRisk]]="Undersecured",Loans[[#This Row],[RiskCategory]]="High Risk"),"High Risk Exposure","Normal")</f>
        <v>High Risk Exposure</v>
      </c>
      <c r="T1823" t="str" cm="1">
        <f t="array" ref="T1823">_xlfn.IFS(
Loans[[#This Row],[LoanStatus]]="Default","Critical",
OR(Loans[[#This Row],[LoanStatus]]="Watchlist",Loans[[#This Row],[CollateralRisk]]="Undersecured",Loans[[#This Row],[RiskCategory]]="High Risk"),"High",
TRUE,"Normal"
)</f>
        <v>High</v>
      </c>
    </row>
    <row r="1824" spans="1:20" x14ac:dyDescent="0.35">
      <c r="A1824" t="s">
        <v>2649</v>
      </c>
      <c r="B1824" t="s">
        <v>912</v>
      </c>
      <c r="C1824" t="s">
        <v>196</v>
      </c>
      <c r="D1824" t="s">
        <v>156</v>
      </c>
      <c r="E1824" s="34">
        <v>25000000</v>
      </c>
      <c r="F1824" s="29">
        <v>0.19350000000000001</v>
      </c>
      <c r="G1824" s="30">
        <v>45706</v>
      </c>
      <c r="H1824">
        <v>60</v>
      </c>
      <c r="I1824">
        <v>0</v>
      </c>
      <c r="J1824" s="34">
        <v>29500000</v>
      </c>
      <c r="K1824" t="s">
        <v>171</v>
      </c>
      <c r="L1824" s="34">
        <f>PMT(Loans[[#This Row],[InterestRate]]/12,Loans[[#This Row],[LoanTenureMonths]],-Loans[[#This Row],[LoanAmount]])</f>
        <v>653337.86463710922</v>
      </c>
      <c r="M1824" s="30">
        <f>EDATE(Loans[[#This Row],[LoanStartDate]],Loans[[#This Row],[LoanTenureMonths]])</f>
        <v>47532</v>
      </c>
      <c r="N1824" s="33">
        <f>IF(Loans[[#This Row],[LoanAmount]]=0,0,Loans[[#This Row],[CollateralValue]]/Loans[[#This Row],[LoanAmount]])</f>
        <v>1.18</v>
      </c>
      <c r="O1824" t="str">
        <f>IF(Loans[[#This Row],[CollateralCoverageRatio]]&lt;1,"Undersecured","Secured")</f>
        <v>Secured</v>
      </c>
      <c r="P1824" t="str">
        <f>_xlfn.XLOOKUP(Loans[[#This Row],[BranchCode]],BranchesTbl[BranchCode],BranchesTbl[BranchName])</f>
        <v>Karen</v>
      </c>
      <c r="Q1824">
        <f>_xlfn.XLOOKUP(Loans[[#This Row],[CustomerID]],CustomerTbl[CustomerID],CustomerTbl[RiskScore])</f>
        <v>698</v>
      </c>
      <c r="R1824" t="str">
        <f>IFERROR(INDEX(RiskTbl[Risk_Category],MATCH(Loans[[#This Row],[RiskScore]],RiskTbl[Score_Min],1)),"Unknown")</f>
        <v>Low Risk</v>
      </c>
      <c r="S1824" t="str">
        <f>IF(OR(Loans[[#This Row],[LoanStatus]]="Default",Loans[[#This Row],[LoanStatus]]="Watchlist",Loans[[#This Row],[CollateralRisk]]="Undersecured",Loans[[#This Row],[RiskCategory]]="High Risk"),"High Risk Exposure","Normal")</f>
        <v>Normal</v>
      </c>
      <c r="T1824" t="str" cm="1">
        <f t="array" ref="T1824">_xlfn.IFS(
Loans[[#This Row],[LoanStatus]]="Default","Critical",
OR(Loans[[#This Row],[LoanStatus]]="Watchlist",Loans[[#This Row],[CollateralRisk]]="Undersecured",Loans[[#This Row],[RiskCategory]]="High Risk"),"High",
TRUE,"Normal"
)</f>
        <v>Normal</v>
      </c>
    </row>
    <row r="1825" spans="1:20" x14ac:dyDescent="0.35">
      <c r="A1825" t="s">
        <v>2650</v>
      </c>
      <c r="B1825" t="s">
        <v>747</v>
      </c>
      <c r="C1825" t="s">
        <v>219</v>
      </c>
      <c r="D1825" t="s">
        <v>155</v>
      </c>
      <c r="E1825" s="34">
        <v>250000</v>
      </c>
      <c r="F1825" s="29">
        <v>0.20319999999999999</v>
      </c>
      <c r="G1825" s="30">
        <v>44722</v>
      </c>
      <c r="H1825">
        <v>72</v>
      </c>
      <c r="I1825">
        <v>120</v>
      </c>
      <c r="J1825" s="34">
        <v>0</v>
      </c>
      <c r="K1825" t="s">
        <v>178</v>
      </c>
      <c r="L1825" s="34">
        <f>PMT(Loans[[#This Row],[InterestRate]]/12,Loans[[#This Row],[LoanTenureMonths]],-Loans[[#This Row],[LoanAmount]])</f>
        <v>6034.6691784225832</v>
      </c>
      <c r="M1825" s="30">
        <f>EDATE(Loans[[#This Row],[LoanStartDate]],Loans[[#This Row],[LoanTenureMonths]])</f>
        <v>46914</v>
      </c>
      <c r="N1825" s="33">
        <f>IF(Loans[[#This Row],[LoanAmount]]=0,0,Loans[[#This Row],[CollateralValue]]/Loans[[#This Row],[LoanAmount]])</f>
        <v>0</v>
      </c>
      <c r="O1825" t="str">
        <f>IF(Loans[[#This Row],[CollateralCoverageRatio]]&lt;1,"Undersecured","Secured")</f>
        <v>Undersecured</v>
      </c>
      <c r="P1825" t="str">
        <f>_xlfn.XLOOKUP(Loans[[#This Row],[BranchCode]],BranchesTbl[BranchCode],BranchesTbl[BranchName])</f>
        <v>Meru</v>
      </c>
      <c r="Q1825">
        <f>_xlfn.XLOOKUP(Loans[[#This Row],[CustomerID]],CustomerTbl[CustomerID],CustomerTbl[RiskScore])</f>
        <v>734</v>
      </c>
      <c r="R1825" t="str">
        <f>IFERROR(INDEX(RiskTbl[Risk_Category],MATCH(Loans[[#This Row],[RiskScore]],RiskTbl[Score_Min],1)),"Unknown")</f>
        <v>Low Risk</v>
      </c>
      <c r="S1825" t="str">
        <f>IF(OR(Loans[[#This Row],[LoanStatus]]="Default",Loans[[#This Row],[LoanStatus]]="Watchlist",Loans[[#This Row],[CollateralRisk]]="Undersecured",Loans[[#This Row],[RiskCategory]]="High Risk"),"High Risk Exposure","Normal")</f>
        <v>High Risk Exposure</v>
      </c>
      <c r="T1825" t="str" cm="1">
        <f t="array" ref="T1825">_xlfn.IFS(
Loans[[#This Row],[LoanStatus]]="Default","Critical",
OR(Loans[[#This Row],[LoanStatus]]="Watchlist",Loans[[#This Row],[CollateralRisk]]="Undersecured",Loans[[#This Row],[RiskCategory]]="High Risk"),"High",
TRUE,"Normal"
)</f>
        <v>Critical</v>
      </c>
    </row>
    <row r="1826" spans="1:20" x14ac:dyDescent="0.35">
      <c r="A1826" t="s">
        <v>2651</v>
      </c>
      <c r="B1826" t="s">
        <v>2652</v>
      </c>
      <c r="C1826" t="s">
        <v>190</v>
      </c>
      <c r="D1826" t="s">
        <v>158</v>
      </c>
      <c r="E1826" s="34">
        <v>1000000</v>
      </c>
      <c r="F1826" s="29">
        <v>0.1943</v>
      </c>
      <c r="G1826" s="30">
        <v>44875</v>
      </c>
      <c r="H1826">
        <v>24</v>
      </c>
      <c r="I1826">
        <v>90</v>
      </c>
      <c r="J1826" s="34">
        <v>890000</v>
      </c>
      <c r="K1826" t="s">
        <v>199</v>
      </c>
      <c r="L1826" s="34">
        <f>PMT(Loans[[#This Row],[InterestRate]]/12,Loans[[#This Row],[LoanTenureMonths]],-Loans[[#This Row],[LoanAmount]])</f>
        <v>50617.780133555061</v>
      </c>
      <c r="M1826" s="30">
        <f>EDATE(Loans[[#This Row],[LoanStartDate]],Loans[[#This Row],[LoanTenureMonths]])</f>
        <v>45606</v>
      </c>
      <c r="N1826" s="33">
        <f>IF(Loans[[#This Row],[LoanAmount]]=0,0,Loans[[#This Row],[CollateralValue]]/Loans[[#This Row],[LoanAmount]])</f>
        <v>0.89</v>
      </c>
      <c r="O1826" t="str">
        <f>IF(Loans[[#This Row],[CollateralCoverageRatio]]&lt;1,"Undersecured","Secured")</f>
        <v>Undersecured</v>
      </c>
      <c r="P1826" t="str">
        <f>_xlfn.XLOOKUP(Loans[[#This Row],[BranchCode]],BranchesTbl[BranchCode],BranchesTbl[BranchName])</f>
        <v>Nyeri</v>
      </c>
      <c r="Q1826">
        <f>_xlfn.XLOOKUP(Loans[[#This Row],[CustomerID]],CustomerTbl[CustomerID],CustomerTbl[RiskScore])</f>
        <v>377</v>
      </c>
      <c r="R1826" t="str">
        <f>IFERROR(INDEX(RiskTbl[Risk_Category],MATCH(Loans[[#This Row],[RiskScore]],RiskTbl[Score_Min],1)),"Unknown")</f>
        <v>High Risk</v>
      </c>
      <c r="S1826" t="str">
        <f>IF(OR(Loans[[#This Row],[LoanStatus]]="Default",Loans[[#This Row],[LoanStatus]]="Watchlist",Loans[[#This Row],[CollateralRisk]]="Undersecured",Loans[[#This Row],[RiskCategory]]="High Risk"),"High Risk Exposure","Normal")</f>
        <v>High Risk Exposure</v>
      </c>
      <c r="T1826" t="str" cm="1">
        <f t="array" ref="T1826">_xlfn.IFS(
Loans[[#This Row],[LoanStatus]]="Default","Critical",
OR(Loans[[#This Row],[LoanStatus]]="Watchlist",Loans[[#This Row],[CollateralRisk]]="Undersecured",Loans[[#This Row],[RiskCategory]]="High Risk"),"High",
TRUE,"Normal"
)</f>
        <v>High</v>
      </c>
    </row>
    <row r="1827" spans="1:20" x14ac:dyDescent="0.35">
      <c r="A1827" t="s">
        <v>2653</v>
      </c>
      <c r="B1827" t="s">
        <v>895</v>
      </c>
      <c r="C1827" t="s">
        <v>177</v>
      </c>
      <c r="D1827" t="s">
        <v>158</v>
      </c>
      <c r="E1827" s="34">
        <v>500000</v>
      </c>
      <c r="F1827" s="29">
        <v>0.1827</v>
      </c>
      <c r="G1827" s="30">
        <v>45613</v>
      </c>
      <c r="H1827">
        <v>48</v>
      </c>
      <c r="I1827">
        <v>45</v>
      </c>
      <c r="J1827" s="34">
        <v>715000</v>
      </c>
      <c r="K1827" t="s">
        <v>199</v>
      </c>
      <c r="L1827" s="34">
        <f>PMT(Loans[[#This Row],[InterestRate]]/12,Loans[[#This Row],[LoanTenureMonths]],-Loans[[#This Row],[LoanAmount]])</f>
        <v>14758.137227507179</v>
      </c>
      <c r="M1827" s="30">
        <f>EDATE(Loans[[#This Row],[LoanStartDate]],Loans[[#This Row],[LoanTenureMonths]])</f>
        <v>47074</v>
      </c>
      <c r="N1827" s="33">
        <f>IF(Loans[[#This Row],[LoanAmount]]=0,0,Loans[[#This Row],[CollateralValue]]/Loans[[#This Row],[LoanAmount]])</f>
        <v>1.43</v>
      </c>
      <c r="O1827" t="str">
        <f>IF(Loans[[#This Row],[CollateralCoverageRatio]]&lt;1,"Undersecured","Secured")</f>
        <v>Secured</v>
      </c>
      <c r="P1827" t="str">
        <f>_xlfn.XLOOKUP(Loans[[#This Row],[BranchCode]],BranchesTbl[BranchCode],BranchesTbl[BranchName])</f>
        <v>Naivasha</v>
      </c>
      <c r="Q1827">
        <f>_xlfn.XLOOKUP(Loans[[#This Row],[CustomerID]],CustomerTbl[CustomerID],CustomerTbl[RiskScore])</f>
        <v>838</v>
      </c>
      <c r="R1827" t="str">
        <f>IFERROR(INDEX(RiskTbl[Risk_Category],MATCH(Loans[[#This Row],[RiskScore]],RiskTbl[Score_Min],1)),"Unknown")</f>
        <v>Prime</v>
      </c>
      <c r="S1827" t="str">
        <f>IF(OR(Loans[[#This Row],[LoanStatus]]="Default",Loans[[#This Row],[LoanStatus]]="Watchlist",Loans[[#This Row],[CollateralRisk]]="Undersecured",Loans[[#This Row],[RiskCategory]]="High Risk"),"High Risk Exposure","Normal")</f>
        <v>High Risk Exposure</v>
      </c>
      <c r="T1827" t="str" cm="1">
        <f t="array" ref="T1827">_xlfn.IFS(
Loans[[#This Row],[LoanStatus]]="Default","Critical",
OR(Loans[[#This Row],[LoanStatus]]="Watchlist",Loans[[#This Row],[CollateralRisk]]="Undersecured",Loans[[#This Row],[RiskCategory]]="High Risk"),"High",
TRUE,"Normal"
)</f>
        <v>High</v>
      </c>
    </row>
    <row r="1828" spans="1:20" x14ac:dyDescent="0.35">
      <c r="A1828" t="s">
        <v>2654</v>
      </c>
      <c r="B1828" t="s">
        <v>967</v>
      </c>
      <c r="C1828" t="s">
        <v>170</v>
      </c>
      <c r="D1828" t="s">
        <v>155</v>
      </c>
      <c r="E1828" s="34">
        <v>500000</v>
      </c>
      <c r="F1828" s="29">
        <v>0.1867</v>
      </c>
      <c r="G1828" s="30">
        <v>45905</v>
      </c>
      <c r="H1828">
        <v>12</v>
      </c>
      <c r="I1828">
        <v>20</v>
      </c>
      <c r="J1828" s="34">
        <v>0</v>
      </c>
      <c r="K1828" t="s">
        <v>171</v>
      </c>
      <c r="L1828" s="34">
        <f>PMT(Loans[[#This Row],[InterestRate]]/12,Loans[[#This Row],[LoanTenureMonths]],-Loans[[#This Row],[LoanAmount]])</f>
        <v>45999.578283825613</v>
      </c>
      <c r="M1828" s="30">
        <f>EDATE(Loans[[#This Row],[LoanStartDate]],Loans[[#This Row],[LoanTenureMonths]])</f>
        <v>46270</v>
      </c>
      <c r="N1828" s="33">
        <f>IF(Loans[[#This Row],[LoanAmount]]=0,0,Loans[[#This Row],[CollateralValue]]/Loans[[#This Row],[LoanAmount]])</f>
        <v>0</v>
      </c>
      <c r="O1828" t="str">
        <f>IF(Loans[[#This Row],[CollateralCoverageRatio]]&lt;1,"Undersecured","Secured")</f>
        <v>Undersecured</v>
      </c>
      <c r="P1828" t="str">
        <f>_xlfn.XLOOKUP(Loans[[#This Row],[BranchCode]],BranchesTbl[BranchCode],BranchesTbl[BranchName])</f>
        <v>Thika</v>
      </c>
      <c r="Q1828">
        <f>_xlfn.XLOOKUP(Loans[[#This Row],[CustomerID]],CustomerTbl[CustomerID],CustomerTbl[RiskScore])</f>
        <v>751</v>
      </c>
      <c r="R1828" t="str">
        <f>IFERROR(INDEX(RiskTbl[Risk_Category],MATCH(Loans[[#This Row],[RiskScore]],RiskTbl[Score_Min],1)),"Unknown")</f>
        <v>Very Low Risk</v>
      </c>
      <c r="S1828" t="str">
        <f>IF(OR(Loans[[#This Row],[LoanStatus]]="Default",Loans[[#This Row],[LoanStatus]]="Watchlist",Loans[[#This Row],[CollateralRisk]]="Undersecured",Loans[[#This Row],[RiskCategory]]="High Risk"),"High Risk Exposure","Normal")</f>
        <v>High Risk Exposure</v>
      </c>
      <c r="T1828" t="str" cm="1">
        <f t="array" ref="T1828">_xlfn.IFS(
Loans[[#This Row],[LoanStatus]]="Default","Critical",
OR(Loans[[#This Row],[LoanStatus]]="Watchlist",Loans[[#This Row],[CollateralRisk]]="Undersecured",Loans[[#This Row],[RiskCategory]]="High Risk"),"High",
TRUE,"Normal"
)</f>
        <v>High</v>
      </c>
    </row>
    <row r="1829" spans="1:20" x14ac:dyDescent="0.35">
      <c r="A1829" t="s">
        <v>2655</v>
      </c>
      <c r="B1829" t="s">
        <v>1975</v>
      </c>
      <c r="C1829" t="s">
        <v>181</v>
      </c>
      <c r="D1829" t="s">
        <v>155</v>
      </c>
      <c r="E1829" s="34">
        <v>250000</v>
      </c>
      <c r="F1829" s="29">
        <v>0.21970000000000001</v>
      </c>
      <c r="G1829" s="30">
        <v>44446</v>
      </c>
      <c r="H1829">
        <v>72</v>
      </c>
      <c r="I1829">
        <v>10</v>
      </c>
      <c r="J1829" s="34">
        <v>0</v>
      </c>
      <c r="K1829" t="s">
        <v>171</v>
      </c>
      <c r="L1829" s="34">
        <f>PMT(Loans[[#This Row],[InterestRate]]/12,Loans[[#This Row],[LoanTenureMonths]],-Loans[[#This Row],[LoanAmount]])</f>
        <v>6277.0808041779419</v>
      </c>
      <c r="M1829" s="30">
        <f>EDATE(Loans[[#This Row],[LoanStartDate]],Loans[[#This Row],[LoanTenureMonths]])</f>
        <v>46637</v>
      </c>
      <c r="N1829" s="33">
        <f>IF(Loans[[#This Row],[LoanAmount]]=0,0,Loans[[#This Row],[CollateralValue]]/Loans[[#This Row],[LoanAmount]])</f>
        <v>0</v>
      </c>
      <c r="O1829" t="str">
        <f>IF(Loans[[#This Row],[CollateralCoverageRatio]]&lt;1,"Undersecured","Secured")</f>
        <v>Undersecured</v>
      </c>
      <c r="P1829" t="str">
        <f>_xlfn.XLOOKUP(Loans[[#This Row],[BranchCode]],BranchesTbl[BranchCode],BranchesTbl[BranchName])</f>
        <v>Kitale</v>
      </c>
      <c r="Q1829">
        <f>_xlfn.XLOOKUP(Loans[[#This Row],[CustomerID]],CustomerTbl[CustomerID],CustomerTbl[RiskScore])</f>
        <v>316</v>
      </c>
      <c r="R1829" t="str">
        <f>IFERROR(INDEX(RiskTbl[Risk_Category],MATCH(Loans[[#This Row],[RiskScore]],RiskTbl[Score_Min],1)),"Unknown")</f>
        <v>High Risk</v>
      </c>
      <c r="S1829" t="str">
        <f>IF(OR(Loans[[#This Row],[LoanStatus]]="Default",Loans[[#This Row],[LoanStatus]]="Watchlist",Loans[[#This Row],[CollateralRisk]]="Undersecured",Loans[[#This Row],[RiskCategory]]="High Risk"),"High Risk Exposure","Normal")</f>
        <v>High Risk Exposure</v>
      </c>
      <c r="T1829" t="str" cm="1">
        <f t="array" ref="T1829">_xlfn.IFS(
Loans[[#This Row],[LoanStatus]]="Default","Critical",
OR(Loans[[#This Row],[LoanStatus]]="Watchlist",Loans[[#This Row],[CollateralRisk]]="Undersecured",Loans[[#This Row],[RiskCategory]]="High Risk"),"High",
TRUE,"Normal"
)</f>
        <v>High</v>
      </c>
    </row>
    <row r="1830" spans="1:20" x14ac:dyDescent="0.35">
      <c r="A1830" t="s">
        <v>2656</v>
      </c>
      <c r="B1830" t="s">
        <v>865</v>
      </c>
      <c r="C1830" t="s">
        <v>177</v>
      </c>
      <c r="D1830" t="s">
        <v>156</v>
      </c>
      <c r="E1830" s="34">
        <v>25000000</v>
      </c>
      <c r="F1830" s="29">
        <v>0.22140000000000001</v>
      </c>
      <c r="G1830" s="30">
        <v>44880</v>
      </c>
      <c r="H1830">
        <v>36</v>
      </c>
      <c r="I1830">
        <v>90</v>
      </c>
      <c r="J1830" s="34">
        <v>34000000</v>
      </c>
      <c r="K1830" t="s">
        <v>199</v>
      </c>
      <c r="L1830" s="34">
        <f>PMT(Loans[[#This Row],[InterestRate]]/12,Loans[[#This Row],[LoanTenureMonths]],-Loans[[#This Row],[LoanAmount]])</f>
        <v>956572.93678064167</v>
      </c>
      <c r="M1830" s="30">
        <f>EDATE(Loans[[#This Row],[LoanStartDate]],Loans[[#This Row],[LoanTenureMonths]])</f>
        <v>45976</v>
      </c>
      <c r="N1830" s="33">
        <f>IF(Loans[[#This Row],[LoanAmount]]=0,0,Loans[[#This Row],[CollateralValue]]/Loans[[#This Row],[LoanAmount]])</f>
        <v>1.36</v>
      </c>
      <c r="O1830" t="str">
        <f>IF(Loans[[#This Row],[CollateralCoverageRatio]]&lt;1,"Undersecured","Secured")</f>
        <v>Secured</v>
      </c>
      <c r="P1830" t="str">
        <f>_xlfn.XLOOKUP(Loans[[#This Row],[BranchCode]],BranchesTbl[BranchCode],BranchesTbl[BranchName])</f>
        <v>Naivasha</v>
      </c>
      <c r="Q1830">
        <f>_xlfn.XLOOKUP(Loans[[#This Row],[CustomerID]],CustomerTbl[CustomerID],CustomerTbl[RiskScore])</f>
        <v>821</v>
      </c>
      <c r="R1830" t="str">
        <f>IFERROR(INDEX(RiskTbl[Risk_Category],MATCH(Loans[[#This Row],[RiskScore]],RiskTbl[Score_Min],1)),"Unknown")</f>
        <v>Prime</v>
      </c>
      <c r="S1830" t="str">
        <f>IF(OR(Loans[[#This Row],[LoanStatus]]="Default",Loans[[#This Row],[LoanStatus]]="Watchlist",Loans[[#This Row],[CollateralRisk]]="Undersecured",Loans[[#This Row],[RiskCategory]]="High Risk"),"High Risk Exposure","Normal")</f>
        <v>High Risk Exposure</v>
      </c>
      <c r="T1830" t="str" cm="1">
        <f t="array" ref="T1830">_xlfn.IFS(
Loans[[#This Row],[LoanStatus]]="Default","Critical",
OR(Loans[[#This Row],[LoanStatus]]="Watchlist",Loans[[#This Row],[CollateralRisk]]="Undersecured",Loans[[#This Row],[RiskCategory]]="High Risk"),"High",
TRUE,"Normal"
)</f>
        <v>High</v>
      </c>
    </row>
    <row r="1831" spans="1:20" x14ac:dyDescent="0.35">
      <c r="A1831" t="s">
        <v>2657</v>
      </c>
      <c r="B1831" t="s">
        <v>192</v>
      </c>
      <c r="C1831" t="s">
        <v>181</v>
      </c>
      <c r="D1831" t="s">
        <v>158</v>
      </c>
      <c r="E1831" s="34">
        <v>6000000</v>
      </c>
      <c r="F1831" s="29">
        <v>0.14249999999999999</v>
      </c>
      <c r="G1831" s="30">
        <v>45237</v>
      </c>
      <c r="H1831">
        <v>48</v>
      </c>
      <c r="I1831">
        <v>120</v>
      </c>
      <c r="J1831" s="34">
        <v>4800000</v>
      </c>
      <c r="K1831" t="s">
        <v>178</v>
      </c>
      <c r="L1831" s="34">
        <f>PMT(Loans[[#This Row],[InterestRate]]/12,Loans[[#This Row],[LoanTenureMonths]],-Loans[[#This Row],[LoanAmount]])</f>
        <v>164712.29732451768</v>
      </c>
      <c r="M1831" s="30">
        <f>EDATE(Loans[[#This Row],[LoanStartDate]],Loans[[#This Row],[LoanTenureMonths]])</f>
        <v>46698</v>
      </c>
      <c r="N1831" s="33">
        <f>IF(Loans[[#This Row],[LoanAmount]]=0,0,Loans[[#This Row],[CollateralValue]]/Loans[[#This Row],[LoanAmount]])</f>
        <v>0.8</v>
      </c>
      <c r="O1831" t="str">
        <f>IF(Loans[[#This Row],[CollateralCoverageRatio]]&lt;1,"Undersecured","Secured")</f>
        <v>Undersecured</v>
      </c>
      <c r="P1831" t="str">
        <f>_xlfn.XLOOKUP(Loans[[#This Row],[BranchCode]],BranchesTbl[BranchCode],BranchesTbl[BranchName])</f>
        <v>Kitale</v>
      </c>
      <c r="Q1831">
        <f>_xlfn.XLOOKUP(Loans[[#This Row],[CustomerID]],CustomerTbl[CustomerID],CustomerTbl[RiskScore])</f>
        <v>451</v>
      </c>
      <c r="R1831" t="str">
        <f>IFERROR(INDEX(RiskTbl[Risk_Category],MATCH(Loans[[#This Row],[RiskScore]],RiskTbl[Score_Min],1)),"Unknown")</f>
        <v>High Risk</v>
      </c>
      <c r="S1831" t="str">
        <f>IF(OR(Loans[[#This Row],[LoanStatus]]="Default",Loans[[#This Row],[LoanStatus]]="Watchlist",Loans[[#This Row],[CollateralRisk]]="Undersecured",Loans[[#This Row],[RiskCategory]]="High Risk"),"High Risk Exposure","Normal")</f>
        <v>High Risk Exposure</v>
      </c>
      <c r="T1831" t="str" cm="1">
        <f t="array" ref="T1831">_xlfn.IFS(
Loans[[#This Row],[LoanStatus]]="Default","Critical",
OR(Loans[[#This Row],[LoanStatus]]="Watchlist",Loans[[#This Row],[CollateralRisk]]="Undersecured",Loans[[#This Row],[RiskCategory]]="High Risk"),"High",
TRUE,"Normal"
)</f>
        <v>Critical</v>
      </c>
    </row>
    <row r="1832" spans="1:20" x14ac:dyDescent="0.35">
      <c r="A1832" t="s">
        <v>2658</v>
      </c>
      <c r="B1832" t="s">
        <v>1227</v>
      </c>
      <c r="C1832" t="s">
        <v>267</v>
      </c>
      <c r="D1832" t="s">
        <v>156</v>
      </c>
      <c r="E1832" s="34">
        <v>3000000</v>
      </c>
      <c r="F1832" s="29">
        <v>0.1988</v>
      </c>
      <c r="G1832" s="30">
        <v>43835</v>
      </c>
      <c r="H1832">
        <v>24</v>
      </c>
      <c r="I1832">
        <v>120</v>
      </c>
      <c r="J1832" s="34">
        <v>3390000</v>
      </c>
      <c r="K1832" t="s">
        <v>178</v>
      </c>
      <c r="L1832" s="34">
        <f>PMT(Loans[[#This Row],[InterestRate]]/12,Loans[[#This Row],[LoanTenureMonths]],-Loans[[#This Row],[LoanAmount]])</f>
        <v>152511.59893379471</v>
      </c>
      <c r="M1832" s="30">
        <f>EDATE(Loans[[#This Row],[LoanStartDate]],Loans[[#This Row],[LoanTenureMonths]])</f>
        <v>44566</v>
      </c>
      <c r="N1832" s="33">
        <f>IF(Loans[[#This Row],[LoanAmount]]=0,0,Loans[[#This Row],[CollateralValue]]/Loans[[#This Row],[LoanAmount]])</f>
        <v>1.1299999999999999</v>
      </c>
      <c r="O1832" t="str">
        <f>IF(Loans[[#This Row],[CollateralCoverageRatio]]&lt;1,"Undersecured","Secured")</f>
        <v>Secured</v>
      </c>
      <c r="P1832" t="str">
        <f>_xlfn.XLOOKUP(Loans[[#This Row],[BranchCode]],BranchesTbl[BranchCode],BranchesTbl[BranchName])</f>
        <v>Malindi</v>
      </c>
      <c r="Q1832">
        <f>_xlfn.XLOOKUP(Loans[[#This Row],[CustomerID]],CustomerTbl[CustomerID],CustomerTbl[RiskScore])</f>
        <v>430</v>
      </c>
      <c r="R1832" t="str">
        <f>IFERROR(INDEX(RiskTbl[Risk_Category],MATCH(Loans[[#This Row],[RiskScore]],RiskTbl[Score_Min],1)),"Unknown")</f>
        <v>High Risk</v>
      </c>
      <c r="S1832" t="str">
        <f>IF(OR(Loans[[#This Row],[LoanStatus]]="Default",Loans[[#This Row],[LoanStatus]]="Watchlist",Loans[[#This Row],[CollateralRisk]]="Undersecured",Loans[[#This Row],[RiskCategory]]="High Risk"),"High Risk Exposure","Normal")</f>
        <v>High Risk Exposure</v>
      </c>
      <c r="T1832" t="str" cm="1">
        <f t="array" ref="T1832">_xlfn.IFS(
Loans[[#This Row],[LoanStatus]]="Default","Critical",
OR(Loans[[#This Row],[LoanStatus]]="Watchlist",Loans[[#This Row],[CollateralRisk]]="Undersecured",Loans[[#This Row],[RiskCategory]]="High Risk"),"High",
TRUE,"Normal"
)</f>
        <v>Critical</v>
      </c>
    </row>
    <row r="1833" spans="1:20" x14ac:dyDescent="0.35">
      <c r="A1833" t="s">
        <v>2659</v>
      </c>
      <c r="B1833" t="s">
        <v>798</v>
      </c>
      <c r="C1833" t="s">
        <v>181</v>
      </c>
      <c r="D1833" t="s">
        <v>155</v>
      </c>
      <c r="E1833" s="34">
        <v>500000</v>
      </c>
      <c r="F1833" s="29">
        <v>0.1701</v>
      </c>
      <c r="G1833" s="30">
        <v>45444</v>
      </c>
      <c r="H1833">
        <v>48</v>
      </c>
      <c r="I1833">
        <v>5</v>
      </c>
      <c r="J1833" s="34">
        <v>0</v>
      </c>
      <c r="K1833" t="s">
        <v>171</v>
      </c>
      <c r="L1833" s="34">
        <f>PMT(Loans[[#This Row],[InterestRate]]/12,Loans[[#This Row],[LoanTenureMonths]],-Loans[[#This Row],[LoanAmount]])</f>
        <v>14430.108108801929</v>
      </c>
      <c r="M1833" s="30">
        <f>EDATE(Loans[[#This Row],[LoanStartDate]],Loans[[#This Row],[LoanTenureMonths]])</f>
        <v>46905</v>
      </c>
      <c r="N1833" s="33">
        <f>IF(Loans[[#This Row],[LoanAmount]]=0,0,Loans[[#This Row],[CollateralValue]]/Loans[[#This Row],[LoanAmount]])</f>
        <v>0</v>
      </c>
      <c r="O1833" t="str">
        <f>IF(Loans[[#This Row],[CollateralCoverageRatio]]&lt;1,"Undersecured","Secured")</f>
        <v>Undersecured</v>
      </c>
      <c r="P1833" t="str">
        <f>_xlfn.XLOOKUP(Loans[[#This Row],[BranchCode]],BranchesTbl[BranchCode],BranchesTbl[BranchName])</f>
        <v>Kitale</v>
      </c>
      <c r="Q1833">
        <f>_xlfn.XLOOKUP(Loans[[#This Row],[CustomerID]],CustomerTbl[CustomerID],CustomerTbl[RiskScore])</f>
        <v>642</v>
      </c>
      <c r="R1833" t="str">
        <f>IFERROR(INDEX(RiskTbl[Risk_Category],MATCH(Loans[[#This Row],[RiskScore]],RiskTbl[Score_Min],1)),"Unknown")</f>
        <v>Medium Risk</v>
      </c>
      <c r="S1833" t="str">
        <f>IF(OR(Loans[[#This Row],[LoanStatus]]="Default",Loans[[#This Row],[LoanStatus]]="Watchlist",Loans[[#This Row],[CollateralRisk]]="Undersecured",Loans[[#This Row],[RiskCategory]]="High Risk"),"High Risk Exposure","Normal")</f>
        <v>High Risk Exposure</v>
      </c>
      <c r="T1833" t="str" cm="1">
        <f t="array" ref="T1833">_xlfn.IFS(
Loans[[#This Row],[LoanStatus]]="Default","Critical",
OR(Loans[[#This Row],[LoanStatus]]="Watchlist",Loans[[#This Row],[CollateralRisk]]="Undersecured",Loans[[#This Row],[RiskCategory]]="High Risk"),"High",
TRUE,"Normal"
)</f>
        <v>High</v>
      </c>
    </row>
    <row r="1834" spans="1:20" x14ac:dyDescent="0.35">
      <c r="A1834" t="s">
        <v>2660</v>
      </c>
      <c r="B1834" t="s">
        <v>782</v>
      </c>
      <c r="C1834" t="s">
        <v>219</v>
      </c>
      <c r="D1834" t="s">
        <v>155</v>
      </c>
      <c r="E1834" s="34">
        <v>100000</v>
      </c>
      <c r="F1834" s="29">
        <v>0.2492</v>
      </c>
      <c r="G1834" s="30">
        <v>45518</v>
      </c>
      <c r="H1834">
        <v>12</v>
      </c>
      <c r="I1834">
        <v>20</v>
      </c>
      <c r="J1834" s="34">
        <v>0</v>
      </c>
      <c r="K1834" t="s">
        <v>171</v>
      </c>
      <c r="L1834" s="34">
        <f>PMT(Loans[[#This Row],[InterestRate]]/12,Loans[[#This Row],[LoanTenureMonths]],-Loans[[#This Row],[LoanAmount]])</f>
        <v>9500.5385791922199</v>
      </c>
      <c r="M1834" s="30">
        <f>EDATE(Loans[[#This Row],[LoanStartDate]],Loans[[#This Row],[LoanTenureMonths]])</f>
        <v>45883</v>
      </c>
      <c r="N1834" s="33">
        <f>IF(Loans[[#This Row],[LoanAmount]]=0,0,Loans[[#This Row],[CollateralValue]]/Loans[[#This Row],[LoanAmount]])</f>
        <v>0</v>
      </c>
      <c r="O1834" t="str">
        <f>IF(Loans[[#This Row],[CollateralCoverageRatio]]&lt;1,"Undersecured","Secured")</f>
        <v>Undersecured</v>
      </c>
      <c r="P1834" t="str">
        <f>_xlfn.XLOOKUP(Loans[[#This Row],[BranchCode]],BranchesTbl[BranchCode],BranchesTbl[BranchName])</f>
        <v>Meru</v>
      </c>
      <c r="Q1834">
        <f>_xlfn.XLOOKUP(Loans[[#This Row],[CustomerID]],CustomerTbl[CustomerID],CustomerTbl[RiskScore])</f>
        <v>655</v>
      </c>
      <c r="R1834" t="str">
        <f>IFERROR(INDEX(RiskTbl[Risk_Category],MATCH(Loans[[#This Row],[RiskScore]],RiskTbl[Score_Min],1)),"Unknown")</f>
        <v>Medium Risk</v>
      </c>
      <c r="S1834" t="str">
        <f>IF(OR(Loans[[#This Row],[LoanStatus]]="Default",Loans[[#This Row],[LoanStatus]]="Watchlist",Loans[[#This Row],[CollateralRisk]]="Undersecured",Loans[[#This Row],[RiskCategory]]="High Risk"),"High Risk Exposure","Normal")</f>
        <v>High Risk Exposure</v>
      </c>
      <c r="T1834" t="str" cm="1">
        <f t="array" ref="T1834">_xlfn.IFS(
Loans[[#This Row],[LoanStatus]]="Default","Critical",
OR(Loans[[#This Row],[LoanStatus]]="Watchlist",Loans[[#This Row],[CollateralRisk]]="Undersecured",Loans[[#This Row],[RiskCategory]]="High Risk"),"High",
TRUE,"Normal"
)</f>
        <v>High</v>
      </c>
    </row>
    <row r="1835" spans="1:20" x14ac:dyDescent="0.35">
      <c r="A1835" t="s">
        <v>2661</v>
      </c>
      <c r="B1835" t="s">
        <v>1548</v>
      </c>
      <c r="C1835" t="s">
        <v>267</v>
      </c>
      <c r="D1835" t="s">
        <v>157</v>
      </c>
      <c r="E1835" s="34">
        <v>6000000</v>
      </c>
      <c r="F1835" s="29">
        <v>0.1348</v>
      </c>
      <c r="G1835" s="30">
        <v>45367</v>
      </c>
      <c r="H1835">
        <v>36</v>
      </c>
      <c r="I1835">
        <v>90</v>
      </c>
      <c r="J1835" s="34">
        <v>3300000</v>
      </c>
      <c r="K1835" t="s">
        <v>199</v>
      </c>
      <c r="L1835" s="34">
        <f>PMT(Loans[[#This Row],[InterestRate]]/12,Loans[[#This Row],[LoanTenureMonths]],-Loans[[#This Row],[LoanAmount]])</f>
        <v>203553.68741665728</v>
      </c>
      <c r="M1835" s="30">
        <f>EDATE(Loans[[#This Row],[LoanStartDate]],Loans[[#This Row],[LoanTenureMonths]])</f>
        <v>46462</v>
      </c>
      <c r="N1835" s="33">
        <f>IF(Loans[[#This Row],[LoanAmount]]=0,0,Loans[[#This Row],[CollateralValue]]/Loans[[#This Row],[LoanAmount]])</f>
        <v>0.55000000000000004</v>
      </c>
      <c r="O1835" t="str">
        <f>IF(Loans[[#This Row],[CollateralCoverageRatio]]&lt;1,"Undersecured","Secured")</f>
        <v>Undersecured</v>
      </c>
      <c r="P1835" t="str">
        <f>_xlfn.XLOOKUP(Loans[[#This Row],[BranchCode]],BranchesTbl[BranchCode],BranchesTbl[BranchName])</f>
        <v>Malindi</v>
      </c>
      <c r="Q1835">
        <f>_xlfn.XLOOKUP(Loans[[#This Row],[CustomerID]],CustomerTbl[CustomerID],CustomerTbl[RiskScore])</f>
        <v>701</v>
      </c>
      <c r="R1835" t="str">
        <f>IFERROR(INDEX(RiskTbl[Risk_Category],MATCH(Loans[[#This Row],[RiskScore]],RiskTbl[Score_Min],1)),"Unknown")</f>
        <v>Low Risk</v>
      </c>
      <c r="S1835" t="str">
        <f>IF(OR(Loans[[#This Row],[LoanStatus]]="Default",Loans[[#This Row],[LoanStatus]]="Watchlist",Loans[[#This Row],[CollateralRisk]]="Undersecured",Loans[[#This Row],[RiskCategory]]="High Risk"),"High Risk Exposure","Normal")</f>
        <v>High Risk Exposure</v>
      </c>
      <c r="T1835" t="str" cm="1">
        <f t="array" ref="T1835">_xlfn.IFS(
Loans[[#This Row],[LoanStatus]]="Default","Critical",
OR(Loans[[#This Row],[LoanStatus]]="Watchlist",Loans[[#This Row],[CollateralRisk]]="Undersecured",Loans[[#This Row],[RiskCategory]]="High Risk"),"High",
TRUE,"Normal"
)</f>
        <v>High</v>
      </c>
    </row>
    <row r="1836" spans="1:20" x14ac:dyDescent="0.35">
      <c r="A1836" t="s">
        <v>2662</v>
      </c>
      <c r="B1836" t="s">
        <v>1230</v>
      </c>
      <c r="C1836" t="s">
        <v>270</v>
      </c>
      <c r="D1836" t="s">
        <v>158</v>
      </c>
      <c r="E1836" s="34">
        <v>6000000</v>
      </c>
      <c r="F1836" s="29">
        <v>0.1918</v>
      </c>
      <c r="G1836" s="30">
        <v>44003</v>
      </c>
      <c r="H1836">
        <v>36</v>
      </c>
      <c r="I1836">
        <v>0</v>
      </c>
      <c r="J1836" s="34">
        <v>5160000</v>
      </c>
      <c r="K1836" t="s">
        <v>171</v>
      </c>
      <c r="L1836" s="34">
        <f>PMT(Loans[[#This Row],[InterestRate]]/12,Loans[[#This Row],[LoanTenureMonths]],-Loans[[#This Row],[LoanAmount]])</f>
        <v>220482.54754824034</v>
      </c>
      <c r="M1836" s="30">
        <f>EDATE(Loans[[#This Row],[LoanStartDate]],Loans[[#This Row],[LoanTenureMonths]])</f>
        <v>45098</v>
      </c>
      <c r="N1836" s="33">
        <f>IF(Loans[[#This Row],[LoanAmount]]=0,0,Loans[[#This Row],[CollateralValue]]/Loans[[#This Row],[LoanAmount]])</f>
        <v>0.86</v>
      </c>
      <c r="O1836" t="str">
        <f>IF(Loans[[#This Row],[CollateralCoverageRatio]]&lt;1,"Undersecured","Secured")</f>
        <v>Undersecured</v>
      </c>
      <c r="P1836" t="str">
        <f>_xlfn.XLOOKUP(Loans[[#This Row],[BranchCode]],BranchesTbl[BranchCode],BranchesTbl[BranchName])</f>
        <v>Nakuru</v>
      </c>
      <c r="Q1836">
        <f>_xlfn.XLOOKUP(Loans[[#This Row],[CustomerID]],CustomerTbl[CustomerID],CustomerTbl[RiskScore])</f>
        <v>654</v>
      </c>
      <c r="R1836" t="str">
        <f>IFERROR(INDEX(RiskTbl[Risk_Category],MATCH(Loans[[#This Row],[RiskScore]],RiskTbl[Score_Min],1)),"Unknown")</f>
        <v>Medium Risk</v>
      </c>
      <c r="S1836" t="str">
        <f>IF(OR(Loans[[#This Row],[LoanStatus]]="Default",Loans[[#This Row],[LoanStatus]]="Watchlist",Loans[[#This Row],[CollateralRisk]]="Undersecured",Loans[[#This Row],[RiskCategory]]="High Risk"),"High Risk Exposure","Normal")</f>
        <v>High Risk Exposure</v>
      </c>
      <c r="T1836" t="str" cm="1">
        <f t="array" ref="T1836">_xlfn.IFS(
Loans[[#This Row],[LoanStatus]]="Default","Critical",
OR(Loans[[#This Row],[LoanStatus]]="Watchlist",Loans[[#This Row],[CollateralRisk]]="Undersecured",Loans[[#This Row],[RiskCategory]]="High Risk"),"High",
TRUE,"Normal"
)</f>
        <v>High</v>
      </c>
    </row>
    <row r="1837" spans="1:20" x14ac:dyDescent="0.35">
      <c r="A1837" t="s">
        <v>2663</v>
      </c>
      <c r="B1837" t="s">
        <v>699</v>
      </c>
      <c r="C1837" t="s">
        <v>190</v>
      </c>
      <c r="D1837" t="s">
        <v>157</v>
      </c>
      <c r="E1837" s="34">
        <v>80000000</v>
      </c>
      <c r="F1837" s="29">
        <v>0.13239999999999999</v>
      </c>
      <c r="G1837" s="30">
        <v>45922</v>
      </c>
      <c r="H1837">
        <v>24</v>
      </c>
      <c r="I1837">
        <v>0</v>
      </c>
      <c r="J1837" s="34">
        <v>102400000</v>
      </c>
      <c r="K1837" t="s">
        <v>171</v>
      </c>
      <c r="L1837" s="34">
        <f>PMT(Loans[[#This Row],[InterestRate]]/12,Loans[[#This Row],[LoanTenureMonths]],-Loans[[#This Row],[LoanAmount]])</f>
        <v>3812370.4161661528</v>
      </c>
      <c r="M1837" s="30">
        <f>EDATE(Loans[[#This Row],[LoanStartDate]],Loans[[#This Row],[LoanTenureMonths]])</f>
        <v>46652</v>
      </c>
      <c r="N1837" s="33">
        <f>IF(Loans[[#This Row],[LoanAmount]]=0,0,Loans[[#This Row],[CollateralValue]]/Loans[[#This Row],[LoanAmount]])</f>
        <v>1.28</v>
      </c>
      <c r="O1837" t="str">
        <f>IF(Loans[[#This Row],[CollateralCoverageRatio]]&lt;1,"Undersecured","Secured")</f>
        <v>Secured</v>
      </c>
      <c r="P1837" t="str">
        <f>_xlfn.XLOOKUP(Loans[[#This Row],[BranchCode]],BranchesTbl[BranchCode],BranchesTbl[BranchName])</f>
        <v>Nyeri</v>
      </c>
      <c r="Q1837">
        <f>_xlfn.XLOOKUP(Loans[[#This Row],[CustomerID]],CustomerTbl[CustomerID],CustomerTbl[RiskScore])</f>
        <v>850</v>
      </c>
      <c r="R1837" t="str">
        <f>IFERROR(INDEX(RiskTbl[Risk_Category],MATCH(Loans[[#This Row],[RiskScore]],RiskTbl[Score_Min],1)),"Unknown")</f>
        <v>Prime</v>
      </c>
      <c r="S1837" t="str">
        <f>IF(OR(Loans[[#This Row],[LoanStatus]]="Default",Loans[[#This Row],[LoanStatus]]="Watchlist",Loans[[#This Row],[CollateralRisk]]="Undersecured",Loans[[#This Row],[RiskCategory]]="High Risk"),"High Risk Exposure","Normal")</f>
        <v>Normal</v>
      </c>
      <c r="T1837" t="str" cm="1">
        <f t="array" ref="T1837">_xlfn.IFS(
Loans[[#This Row],[LoanStatus]]="Default","Critical",
OR(Loans[[#This Row],[LoanStatus]]="Watchlist",Loans[[#This Row],[CollateralRisk]]="Undersecured",Loans[[#This Row],[RiskCategory]]="High Risk"),"High",
TRUE,"Normal"
)</f>
        <v>Normal</v>
      </c>
    </row>
    <row r="1838" spans="1:20" x14ac:dyDescent="0.35">
      <c r="A1838" t="s">
        <v>2664</v>
      </c>
      <c r="B1838" t="s">
        <v>413</v>
      </c>
      <c r="C1838" t="s">
        <v>232</v>
      </c>
      <c r="D1838" t="s">
        <v>157</v>
      </c>
      <c r="E1838" s="34">
        <v>6000000</v>
      </c>
      <c r="F1838" s="29">
        <v>0.1114</v>
      </c>
      <c r="G1838" s="30">
        <v>45858</v>
      </c>
      <c r="H1838">
        <v>48</v>
      </c>
      <c r="I1838">
        <v>10</v>
      </c>
      <c r="J1838" s="34">
        <v>3060000</v>
      </c>
      <c r="K1838" t="s">
        <v>171</v>
      </c>
      <c r="L1838" s="34">
        <f>PMT(Loans[[#This Row],[InterestRate]]/12,Loans[[#This Row],[LoanTenureMonths]],-Loans[[#This Row],[LoanAmount]])</f>
        <v>155481.3809499263</v>
      </c>
      <c r="M1838" s="30">
        <f>EDATE(Loans[[#This Row],[LoanStartDate]],Loans[[#This Row],[LoanTenureMonths]])</f>
        <v>47319</v>
      </c>
      <c r="N1838" s="33">
        <f>IF(Loans[[#This Row],[LoanAmount]]=0,0,Loans[[#This Row],[CollateralValue]]/Loans[[#This Row],[LoanAmount]])</f>
        <v>0.51</v>
      </c>
      <c r="O1838" t="str">
        <f>IF(Loans[[#This Row],[CollateralCoverageRatio]]&lt;1,"Undersecured","Secured")</f>
        <v>Undersecured</v>
      </c>
      <c r="P1838" t="str">
        <f>_xlfn.XLOOKUP(Loans[[#This Row],[BranchCode]],BranchesTbl[BranchCode],BranchesTbl[BranchName])</f>
        <v>Upper Hill</v>
      </c>
      <c r="Q1838">
        <f>_xlfn.XLOOKUP(Loans[[#This Row],[CustomerID]],CustomerTbl[CustomerID],CustomerTbl[RiskScore])</f>
        <v>382</v>
      </c>
      <c r="R1838" t="str">
        <f>IFERROR(INDEX(RiskTbl[Risk_Category],MATCH(Loans[[#This Row],[RiskScore]],RiskTbl[Score_Min],1)),"Unknown")</f>
        <v>High Risk</v>
      </c>
      <c r="S1838" t="str">
        <f>IF(OR(Loans[[#This Row],[LoanStatus]]="Default",Loans[[#This Row],[LoanStatus]]="Watchlist",Loans[[#This Row],[CollateralRisk]]="Undersecured",Loans[[#This Row],[RiskCategory]]="High Risk"),"High Risk Exposure","Normal")</f>
        <v>High Risk Exposure</v>
      </c>
      <c r="T1838" t="str" cm="1">
        <f t="array" ref="T1838">_xlfn.IFS(
Loans[[#This Row],[LoanStatus]]="Default","Critical",
OR(Loans[[#This Row],[LoanStatus]]="Watchlist",Loans[[#This Row],[CollateralRisk]]="Undersecured",Loans[[#This Row],[RiskCategory]]="High Risk"),"High",
TRUE,"Normal"
)</f>
        <v>High</v>
      </c>
    </row>
    <row r="1839" spans="1:20" x14ac:dyDescent="0.35">
      <c r="A1839" t="s">
        <v>2665</v>
      </c>
      <c r="B1839" t="s">
        <v>596</v>
      </c>
      <c r="C1839" t="s">
        <v>181</v>
      </c>
      <c r="D1839" t="s">
        <v>156</v>
      </c>
      <c r="E1839" s="34">
        <v>3000000</v>
      </c>
      <c r="F1839" s="29">
        <v>0.22919999999999999</v>
      </c>
      <c r="G1839" s="30">
        <v>45513</v>
      </c>
      <c r="H1839">
        <v>12</v>
      </c>
      <c r="I1839">
        <v>0</v>
      </c>
      <c r="J1839" s="34">
        <v>2700000</v>
      </c>
      <c r="K1839" t="s">
        <v>171</v>
      </c>
      <c r="L1839" s="34">
        <f>PMT(Loans[[#This Row],[InterestRate]]/12,Loans[[#This Row],[LoanTenureMonths]],-Loans[[#This Row],[LoanAmount]])</f>
        <v>282113.15068300627</v>
      </c>
      <c r="M1839" s="30">
        <f>EDATE(Loans[[#This Row],[LoanStartDate]],Loans[[#This Row],[LoanTenureMonths]])</f>
        <v>45878</v>
      </c>
      <c r="N1839" s="33">
        <f>IF(Loans[[#This Row],[LoanAmount]]=0,0,Loans[[#This Row],[CollateralValue]]/Loans[[#This Row],[LoanAmount]])</f>
        <v>0.9</v>
      </c>
      <c r="O1839" t="str">
        <f>IF(Loans[[#This Row],[CollateralCoverageRatio]]&lt;1,"Undersecured","Secured")</f>
        <v>Undersecured</v>
      </c>
      <c r="P1839" t="str">
        <f>_xlfn.XLOOKUP(Loans[[#This Row],[BranchCode]],BranchesTbl[BranchCode],BranchesTbl[BranchName])</f>
        <v>Kitale</v>
      </c>
      <c r="Q1839">
        <f>_xlfn.XLOOKUP(Loans[[#This Row],[CustomerID]],CustomerTbl[CustomerID],CustomerTbl[RiskScore])</f>
        <v>444</v>
      </c>
      <c r="R1839" t="str">
        <f>IFERROR(INDEX(RiskTbl[Risk_Category],MATCH(Loans[[#This Row],[RiskScore]],RiskTbl[Score_Min],1)),"Unknown")</f>
        <v>High Risk</v>
      </c>
      <c r="S1839" t="str">
        <f>IF(OR(Loans[[#This Row],[LoanStatus]]="Default",Loans[[#This Row],[LoanStatus]]="Watchlist",Loans[[#This Row],[CollateralRisk]]="Undersecured",Loans[[#This Row],[RiskCategory]]="High Risk"),"High Risk Exposure","Normal")</f>
        <v>High Risk Exposure</v>
      </c>
      <c r="T1839" t="str" cm="1">
        <f t="array" ref="T1839">_xlfn.IFS(
Loans[[#This Row],[LoanStatus]]="Default","Critical",
OR(Loans[[#This Row],[LoanStatus]]="Watchlist",Loans[[#This Row],[CollateralRisk]]="Undersecured",Loans[[#This Row],[RiskCategory]]="High Risk"),"High",
TRUE,"Normal"
)</f>
        <v>High</v>
      </c>
    </row>
    <row r="1840" spans="1:20" x14ac:dyDescent="0.35">
      <c r="A1840" t="s">
        <v>2666</v>
      </c>
      <c r="B1840" t="s">
        <v>1842</v>
      </c>
      <c r="C1840" t="s">
        <v>177</v>
      </c>
      <c r="D1840" t="s">
        <v>156</v>
      </c>
      <c r="E1840" s="34">
        <v>25000000</v>
      </c>
      <c r="F1840" s="29">
        <v>0.2215</v>
      </c>
      <c r="G1840" s="30">
        <v>44379</v>
      </c>
      <c r="H1840">
        <v>72</v>
      </c>
      <c r="I1840">
        <v>5</v>
      </c>
      <c r="J1840" s="34">
        <v>19000000</v>
      </c>
      <c r="K1840" t="s">
        <v>171</v>
      </c>
      <c r="L1840" s="34">
        <f>PMT(Loans[[#This Row],[InterestRate]]/12,Loans[[#This Row],[LoanTenureMonths]],-Loans[[#This Row],[LoanAmount]])</f>
        <v>630381.01593173994</v>
      </c>
      <c r="M1840" s="30">
        <f>EDATE(Loans[[#This Row],[LoanStartDate]],Loans[[#This Row],[LoanTenureMonths]])</f>
        <v>46570</v>
      </c>
      <c r="N1840" s="33">
        <f>IF(Loans[[#This Row],[LoanAmount]]=0,0,Loans[[#This Row],[CollateralValue]]/Loans[[#This Row],[LoanAmount]])</f>
        <v>0.76</v>
      </c>
      <c r="O1840" t="str">
        <f>IF(Loans[[#This Row],[CollateralCoverageRatio]]&lt;1,"Undersecured","Secured")</f>
        <v>Undersecured</v>
      </c>
      <c r="P1840" t="str">
        <f>_xlfn.XLOOKUP(Loans[[#This Row],[BranchCode]],BranchesTbl[BranchCode],BranchesTbl[BranchName])</f>
        <v>Naivasha</v>
      </c>
      <c r="Q1840">
        <f>_xlfn.XLOOKUP(Loans[[#This Row],[CustomerID]],CustomerTbl[CustomerID],CustomerTbl[RiskScore])</f>
        <v>808</v>
      </c>
      <c r="R1840" t="str">
        <f>IFERROR(INDEX(RiskTbl[Risk_Category],MATCH(Loans[[#This Row],[RiskScore]],RiskTbl[Score_Min],1)),"Unknown")</f>
        <v>Prime</v>
      </c>
      <c r="S1840" t="str">
        <f>IF(OR(Loans[[#This Row],[LoanStatus]]="Default",Loans[[#This Row],[LoanStatus]]="Watchlist",Loans[[#This Row],[CollateralRisk]]="Undersecured",Loans[[#This Row],[RiskCategory]]="High Risk"),"High Risk Exposure","Normal")</f>
        <v>High Risk Exposure</v>
      </c>
      <c r="T1840" t="str" cm="1">
        <f t="array" ref="T1840">_xlfn.IFS(
Loans[[#This Row],[LoanStatus]]="Default","Critical",
OR(Loans[[#This Row],[LoanStatus]]="Watchlist",Loans[[#This Row],[CollateralRisk]]="Undersecured",Loans[[#This Row],[RiskCategory]]="High Risk"),"High",
TRUE,"Normal"
)</f>
        <v>High</v>
      </c>
    </row>
    <row r="1841" spans="1:20" x14ac:dyDescent="0.35">
      <c r="A1841" t="s">
        <v>2667</v>
      </c>
      <c r="B1841" t="s">
        <v>1565</v>
      </c>
      <c r="C1841" t="s">
        <v>232</v>
      </c>
      <c r="D1841" t="s">
        <v>156</v>
      </c>
      <c r="E1841" s="34">
        <v>3000000</v>
      </c>
      <c r="F1841" s="29">
        <v>0.2142</v>
      </c>
      <c r="G1841" s="30">
        <v>45113</v>
      </c>
      <c r="H1841">
        <v>24</v>
      </c>
      <c r="I1841">
        <v>5</v>
      </c>
      <c r="J1841" s="34">
        <v>3720000</v>
      </c>
      <c r="K1841" t="s">
        <v>171</v>
      </c>
      <c r="L1841" s="34">
        <f>PMT(Loans[[#This Row],[InterestRate]]/12,Loans[[#This Row],[LoanTenureMonths]],-Loans[[#This Row],[LoanAmount]])</f>
        <v>154776.53856800529</v>
      </c>
      <c r="M1841" s="30">
        <f>EDATE(Loans[[#This Row],[LoanStartDate]],Loans[[#This Row],[LoanTenureMonths]])</f>
        <v>45844</v>
      </c>
      <c r="N1841" s="33">
        <f>IF(Loans[[#This Row],[LoanAmount]]=0,0,Loans[[#This Row],[CollateralValue]]/Loans[[#This Row],[LoanAmount]])</f>
        <v>1.24</v>
      </c>
      <c r="O1841" t="str">
        <f>IF(Loans[[#This Row],[CollateralCoverageRatio]]&lt;1,"Undersecured","Secured")</f>
        <v>Secured</v>
      </c>
      <c r="P1841" t="str">
        <f>_xlfn.XLOOKUP(Loans[[#This Row],[BranchCode]],BranchesTbl[BranchCode],BranchesTbl[BranchName])</f>
        <v>Upper Hill</v>
      </c>
      <c r="Q1841">
        <f>_xlfn.XLOOKUP(Loans[[#This Row],[CustomerID]],CustomerTbl[CustomerID],CustomerTbl[RiskScore])</f>
        <v>478</v>
      </c>
      <c r="R1841" t="str">
        <f>IFERROR(INDEX(RiskTbl[Risk_Category],MATCH(Loans[[#This Row],[RiskScore]],RiskTbl[Score_Min],1)),"Unknown")</f>
        <v>High Risk</v>
      </c>
      <c r="S1841" t="str">
        <f>IF(OR(Loans[[#This Row],[LoanStatus]]="Default",Loans[[#This Row],[LoanStatus]]="Watchlist",Loans[[#This Row],[CollateralRisk]]="Undersecured",Loans[[#This Row],[RiskCategory]]="High Risk"),"High Risk Exposure","Normal")</f>
        <v>High Risk Exposure</v>
      </c>
      <c r="T1841" t="str" cm="1">
        <f t="array" ref="T1841">_xlfn.IFS(
Loans[[#This Row],[LoanStatus]]="Default","Critical",
OR(Loans[[#This Row],[LoanStatus]]="Watchlist",Loans[[#This Row],[CollateralRisk]]="Undersecured",Loans[[#This Row],[RiskCategory]]="High Risk"),"High",
TRUE,"Normal"
)</f>
        <v>High</v>
      </c>
    </row>
    <row r="1842" spans="1:20" x14ac:dyDescent="0.35">
      <c r="A1842" t="s">
        <v>2668</v>
      </c>
      <c r="B1842" t="s">
        <v>1988</v>
      </c>
      <c r="C1842" t="s">
        <v>206</v>
      </c>
      <c r="D1842" t="s">
        <v>158</v>
      </c>
      <c r="E1842" s="34">
        <v>6000000</v>
      </c>
      <c r="F1842" s="29">
        <v>0.16420000000000001</v>
      </c>
      <c r="G1842" s="30">
        <v>45313</v>
      </c>
      <c r="H1842">
        <v>60</v>
      </c>
      <c r="I1842">
        <v>0</v>
      </c>
      <c r="J1842" s="34">
        <v>7500000</v>
      </c>
      <c r="K1842" t="s">
        <v>171</v>
      </c>
      <c r="L1842" s="34">
        <f>PMT(Loans[[#This Row],[InterestRate]]/12,Loans[[#This Row],[LoanTenureMonths]],-Loans[[#This Row],[LoanAmount]])</f>
        <v>147250.67864911864</v>
      </c>
      <c r="M1842" s="30">
        <f>EDATE(Loans[[#This Row],[LoanStartDate]],Loans[[#This Row],[LoanTenureMonths]])</f>
        <v>47140</v>
      </c>
      <c r="N1842" s="33">
        <f>IF(Loans[[#This Row],[LoanAmount]]=0,0,Loans[[#This Row],[CollateralValue]]/Loans[[#This Row],[LoanAmount]])</f>
        <v>1.25</v>
      </c>
      <c r="O1842" t="str">
        <f>IF(Loans[[#This Row],[CollateralCoverageRatio]]&lt;1,"Undersecured","Secured")</f>
        <v>Secured</v>
      </c>
      <c r="P1842" t="str">
        <f>_xlfn.XLOOKUP(Loans[[#This Row],[BranchCode]],BranchesTbl[BranchCode],BranchesTbl[BranchName])</f>
        <v>Nyahururu</v>
      </c>
      <c r="Q1842">
        <f>_xlfn.XLOOKUP(Loans[[#This Row],[CustomerID]],CustomerTbl[CustomerID],CustomerTbl[RiskScore])</f>
        <v>833</v>
      </c>
      <c r="R1842" t="str">
        <f>IFERROR(INDEX(RiskTbl[Risk_Category],MATCH(Loans[[#This Row],[RiskScore]],RiskTbl[Score_Min],1)),"Unknown")</f>
        <v>Prime</v>
      </c>
      <c r="S1842" t="str">
        <f>IF(OR(Loans[[#This Row],[LoanStatus]]="Default",Loans[[#This Row],[LoanStatus]]="Watchlist",Loans[[#This Row],[CollateralRisk]]="Undersecured",Loans[[#This Row],[RiskCategory]]="High Risk"),"High Risk Exposure","Normal")</f>
        <v>Normal</v>
      </c>
      <c r="T1842" t="str" cm="1">
        <f t="array" ref="T1842">_xlfn.IFS(
Loans[[#This Row],[LoanStatus]]="Default","Critical",
OR(Loans[[#This Row],[LoanStatus]]="Watchlist",Loans[[#This Row],[CollateralRisk]]="Undersecured",Loans[[#This Row],[RiskCategory]]="High Risk"),"High",
TRUE,"Normal"
)</f>
        <v>Normal</v>
      </c>
    </row>
    <row r="1843" spans="1:20" x14ac:dyDescent="0.35">
      <c r="A1843" t="s">
        <v>2669</v>
      </c>
      <c r="B1843" t="s">
        <v>751</v>
      </c>
      <c r="C1843" t="s">
        <v>187</v>
      </c>
      <c r="D1843" t="s">
        <v>155</v>
      </c>
      <c r="E1843" s="34">
        <v>100000</v>
      </c>
      <c r="F1843" s="29">
        <v>0.20599999999999999</v>
      </c>
      <c r="G1843" s="30">
        <v>45346</v>
      </c>
      <c r="H1843">
        <v>48</v>
      </c>
      <c r="I1843">
        <v>10</v>
      </c>
      <c r="J1843" s="34">
        <v>0</v>
      </c>
      <c r="K1843" t="s">
        <v>171</v>
      </c>
      <c r="L1843" s="34">
        <f>PMT(Loans[[#This Row],[InterestRate]]/12,Loans[[#This Row],[LoanTenureMonths]],-Loans[[#This Row],[LoanAmount]])</f>
        <v>3075.0953718546311</v>
      </c>
      <c r="M1843" s="30">
        <f>EDATE(Loans[[#This Row],[LoanStartDate]],Loans[[#This Row],[LoanTenureMonths]])</f>
        <v>46807</v>
      </c>
      <c r="N1843" s="33">
        <f>IF(Loans[[#This Row],[LoanAmount]]=0,0,Loans[[#This Row],[CollateralValue]]/Loans[[#This Row],[LoanAmount]])</f>
        <v>0</v>
      </c>
      <c r="O1843" t="str">
        <f>IF(Loans[[#This Row],[CollateralCoverageRatio]]&lt;1,"Undersecured","Secured")</f>
        <v>Undersecured</v>
      </c>
      <c r="P1843" t="str">
        <f>_xlfn.XLOOKUP(Loans[[#This Row],[BranchCode]],BranchesTbl[BranchCode],BranchesTbl[BranchName])</f>
        <v>Eldoret</v>
      </c>
      <c r="Q1843">
        <f>_xlfn.XLOOKUP(Loans[[#This Row],[CustomerID]],CustomerTbl[CustomerID],CustomerTbl[RiskScore])</f>
        <v>595</v>
      </c>
      <c r="R1843" t="str">
        <f>IFERROR(INDEX(RiskTbl[Risk_Category],MATCH(Loans[[#This Row],[RiskScore]],RiskTbl[Score_Min],1)),"Unknown")</f>
        <v>Medium Risk</v>
      </c>
      <c r="S1843" t="str">
        <f>IF(OR(Loans[[#This Row],[LoanStatus]]="Default",Loans[[#This Row],[LoanStatus]]="Watchlist",Loans[[#This Row],[CollateralRisk]]="Undersecured",Loans[[#This Row],[RiskCategory]]="High Risk"),"High Risk Exposure","Normal")</f>
        <v>High Risk Exposure</v>
      </c>
      <c r="T1843" t="str" cm="1">
        <f t="array" ref="T1843">_xlfn.IFS(
Loans[[#This Row],[LoanStatus]]="Default","Critical",
OR(Loans[[#This Row],[LoanStatus]]="Watchlist",Loans[[#This Row],[CollateralRisk]]="Undersecured",Loans[[#This Row],[RiskCategory]]="High Risk"),"High",
TRUE,"Normal"
)</f>
        <v>High</v>
      </c>
    </row>
    <row r="1844" spans="1:20" x14ac:dyDescent="0.35">
      <c r="A1844" t="s">
        <v>2670</v>
      </c>
      <c r="B1844" t="s">
        <v>2671</v>
      </c>
      <c r="C1844" t="s">
        <v>184</v>
      </c>
      <c r="D1844" t="s">
        <v>157</v>
      </c>
      <c r="E1844" s="34">
        <v>6000000</v>
      </c>
      <c r="F1844" s="29">
        <v>0.1104</v>
      </c>
      <c r="G1844" s="30">
        <v>44572</v>
      </c>
      <c r="H1844">
        <v>48</v>
      </c>
      <c r="I1844">
        <v>0</v>
      </c>
      <c r="J1844" s="34">
        <v>8100000</v>
      </c>
      <c r="K1844" t="s">
        <v>171</v>
      </c>
      <c r="L1844" s="34">
        <f>PMT(Loans[[#This Row],[InterestRate]]/12,Loans[[#This Row],[LoanTenureMonths]],-Loans[[#This Row],[LoanAmount]])</f>
        <v>155189.7127105954</v>
      </c>
      <c r="M1844" s="30">
        <f>EDATE(Loans[[#This Row],[LoanStartDate]],Loans[[#This Row],[LoanTenureMonths]])</f>
        <v>46033</v>
      </c>
      <c r="N1844" s="33">
        <f>IF(Loans[[#This Row],[LoanAmount]]=0,0,Loans[[#This Row],[CollateralValue]]/Loans[[#This Row],[LoanAmount]])</f>
        <v>1.35</v>
      </c>
      <c r="O1844" t="str">
        <f>IF(Loans[[#This Row],[CollateralCoverageRatio]]&lt;1,"Undersecured","Secured")</f>
        <v>Secured</v>
      </c>
      <c r="P1844" t="str">
        <f>_xlfn.XLOOKUP(Loans[[#This Row],[BranchCode]],BranchesTbl[BranchCode],BranchesTbl[BranchName])</f>
        <v>Kisumu</v>
      </c>
      <c r="Q1844">
        <f>_xlfn.XLOOKUP(Loans[[#This Row],[CustomerID]],CustomerTbl[CustomerID],CustomerTbl[RiskScore])</f>
        <v>844</v>
      </c>
      <c r="R1844" t="str">
        <f>IFERROR(INDEX(RiskTbl[Risk_Category],MATCH(Loans[[#This Row],[RiskScore]],RiskTbl[Score_Min],1)),"Unknown")</f>
        <v>Prime</v>
      </c>
      <c r="S1844" t="str">
        <f>IF(OR(Loans[[#This Row],[LoanStatus]]="Default",Loans[[#This Row],[LoanStatus]]="Watchlist",Loans[[#This Row],[CollateralRisk]]="Undersecured",Loans[[#This Row],[RiskCategory]]="High Risk"),"High Risk Exposure","Normal")</f>
        <v>Normal</v>
      </c>
      <c r="T1844" t="str" cm="1">
        <f t="array" ref="T1844">_xlfn.IFS(
Loans[[#This Row],[LoanStatus]]="Default","Critical",
OR(Loans[[#This Row],[LoanStatus]]="Watchlist",Loans[[#This Row],[CollateralRisk]]="Undersecured",Loans[[#This Row],[RiskCategory]]="High Risk"),"High",
TRUE,"Normal"
)</f>
        <v>Normal</v>
      </c>
    </row>
    <row r="1845" spans="1:20" x14ac:dyDescent="0.35">
      <c r="A1845" t="s">
        <v>2672</v>
      </c>
      <c r="B1845" t="s">
        <v>676</v>
      </c>
      <c r="C1845" t="s">
        <v>193</v>
      </c>
      <c r="D1845" t="s">
        <v>158</v>
      </c>
      <c r="E1845" s="34">
        <v>500000</v>
      </c>
      <c r="F1845" s="29">
        <v>0.193</v>
      </c>
      <c r="G1845" s="30">
        <v>45610</v>
      </c>
      <c r="H1845">
        <v>36</v>
      </c>
      <c r="I1845">
        <v>0</v>
      </c>
      <c r="J1845" s="34">
        <v>620000</v>
      </c>
      <c r="K1845" t="s">
        <v>171</v>
      </c>
      <c r="L1845" s="34">
        <f>PMT(Loans[[#This Row],[InterestRate]]/12,Loans[[#This Row],[LoanTenureMonths]],-Loans[[#This Row],[LoanAmount]])</f>
        <v>18403.938131362149</v>
      </c>
      <c r="M1845" s="30">
        <f>EDATE(Loans[[#This Row],[LoanStartDate]],Loans[[#This Row],[LoanTenureMonths]])</f>
        <v>46705</v>
      </c>
      <c r="N1845" s="33">
        <f>IF(Loans[[#This Row],[LoanAmount]]=0,0,Loans[[#This Row],[CollateralValue]]/Loans[[#This Row],[LoanAmount]])</f>
        <v>1.24</v>
      </c>
      <c r="O1845" t="str">
        <f>IF(Loans[[#This Row],[CollateralCoverageRatio]]&lt;1,"Undersecured","Secured")</f>
        <v>Secured</v>
      </c>
      <c r="P1845" t="str">
        <f>_xlfn.XLOOKUP(Loans[[#This Row],[BranchCode]],BranchesTbl[BranchCode],BranchesTbl[BranchName])</f>
        <v>Mombasa</v>
      </c>
      <c r="Q1845">
        <f>_xlfn.XLOOKUP(Loans[[#This Row],[CustomerID]],CustomerTbl[CustomerID],CustomerTbl[RiskScore])</f>
        <v>830</v>
      </c>
      <c r="R1845" t="str">
        <f>IFERROR(INDEX(RiskTbl[Risk_Category],MATCH(Loans[[#This Row],[RiskScore]],RiskTbl[Score_Min],1)),"Unknown")</f>
        <v>Prime</v>
      </c>
      <c r="S1845" t="str">
        <f>IF(OR(Loans[[#This Row],[LoanStatus]]="Default",Loans[[#This Row],[LoanStatus]]="Watchlist",Loans[[#This Row],[CollateralRisk]]="Undersecured",Loans[[#This Row],[RiskCategory]]="High Risk"),"High Risk Exposure","Normal")</f>
        <v>Normal</v>
      </c>
      <c r="T1845" t="str" cm="1">
        <f t="array" ref="T1845">_xlfn.IFS(
Loans[[#This Row],[LoanStatus]]="Default","Critical",
OR(Loans[[#This Row],[LoanStatus]]="Watchlist",Loans[[#This Row],[CollateralRisk]]="Undersecured",Loans[[#This Row],[RiskCategory]]="High Risk"),"High",
TRUE,"Normal"
)</f>
        <v>Normal</v>
      </c>
    </row>
    <row r="1846" spans="1:20" x14ac:dyDescent="0.35">
      <c r="A1846" t="s">
        <v>2673</v>
      </c>
      <c r="B1846" t="s">
        <v>326</v>
      </c>
      <c r="C1846" t="s">
        <v>190</v>
      </c>
      <c r="D1846" t="s">
        <v>157</v>
      </c>
      <c r="E1846" s="34">
        <v>80000000</v>
      </c>
      <c r="F1846" s="29">
        <v>0.1052</v>
      </c>
      <c r="G1846" s="30">
        <v>45505</v>
      </c>
      <c r="H1846">
        <v>72</v>
      </c>
      <c r="I1846">
        <v>0</v>
      </c>
      <c r="J1846" s="34">
        <v>76800000</v>
      </c>
      <c r="K1846" t="s">
        <v>171</v>
      </c>
      <c r="L1846" s="34">
        <f>PMT(Loans[[#This Row],[InterestRate]]/12,Loans[[#This Row],[LoanTenureMonths]],-Loans[[#This Row],[LoanAmount]])</f>
        <v>1503130.9145731044</v>
      </c>
      <c r="M1846" s="30">
        <f>EDATE(Loans[[#This Row],[LoanStartDate]],Loans[[#This Row],[LoanTenureMonths]])</f>
        <v>47696</v>
      </c>
      <c r="N1846" s="33">
        <f>IF(Loans[[#This Row],[LoanAmount]]=0,0,Loans[[#This Row],[CollateralValue]]/Loans[[#This Row],[LoanAmount]])</f>
        <v>0.96</v>
      </c>
      <c r="O1846" t="str">
        <f>IF(Loans[[#This Row],[CollateralCoverageRatio]]&lt;1,"Undersecured","Secured")</f>
        <v>Undersecured</v>
      </c>
      <c r="P1846" t="str">
        <f>_xlfn.XLOOKUP(Loans[[#This Row],[BranchCode]],BranchesTbl[BranchCode],BranchesTbl[BranchName])</f>
        <v>Nyeri</v>
      </c>
      <c r="Q1846">
        <f>_xlfn.XLOOKUP(Loans[[#This Row],[CustomerID]],CustomerTbl[CustomerID],CustomerTbl[RiskScore])</f>
        <v>357</v>
      </c>
      <c r="R1846" t="str">
        <f>IFERROR(INDEX(RiskTbl[Risk_Category],MATCH(Loans[[#This Row],[RiskScore]],RiskTbl[Score_Min],1)),"Unknown")</f>
        <v>High Risk</v>
      </c>
      <c r="S1846" t="str">
        <f>IF(OR(Loans[[#This Row],[LoanStatus]]="Default",Loans[[#This Row],[LoanStatus]]="Watchlist",Loans[[#This Row],[CollateralRisk]]="Undersecured",Loans[[#This Row],[RiskCategory]]="High Risk"),"High Risk Exposure","Normal")</f>
        <v>High Risk Exposure</v>
      </c>
      <c r="T1846" t="str" cm="1">
        <f t="array" ref="T1846">_xlfn.IFS(
Loans[[#This Row],[LoanStatus]]="Default","Critical",
OR(Loans[[#This Row],[LoanStatus]]="Watchlist",Loans[[#This Row],[CollateralRisk]]="Undersecured",Loans[[#This Row],[RiskCategory]]="High Risk"),"High",
TRUE,"Normal"
)</f>
        <v>High</v>
      </c>
    </row>
    <row r="1847" spans="1:20" x14ac:dyDescent="0.35">
      <c r="A1847" t="s">
        <v>2674</v>
      </c>
      <c r="B1847" t="s">
        <v>1246</v>
      </c>
      <c r="C1847" t="s">
        <v>187</v>
      </c>
      <c r="D1847" t="s">
        <v>158</v>
      </c>
      <c r="E1847" s="34">
        <v>1000000</v>
      </c>
      <c r="F1847" s="29">
        <v>0.1845</v>
      </c>
      <c r="G1847" s="30">
        <v>45211</v>
      </c>
      <c r="H1847">
        <v>12</v>
      </c>
      <c r="I1847">
        <v>20</v>
      </c>
      <c r="J1847" s="34">
        <v>980000</v>
      </c>
      <c r="K1847" t="s">
        <v>171</v>
      </c>
      <c r="L1847" s="34">
        <f>PMT(Loans[[#This Row],[InterestRate]]/12,Loans[[#This Row],[LoanTenureMonths]],-Loans[[#This Row],[LoanAmount]])</f>
        <v>91894.290046430731</v>
      </c>
      <c r="M1847" s="30">
        <f>EDATE(Loans[[#This Row],[LoanStartDate]],Loans[[#This Row],[LoanTenureMonths]])</f>
        <v>45577</v>
      </c>
      <c r="N1847" s="33">
        <f>IF(Loans[[#This Row],[LoanAmount]]=0,0,Loans[[#This Row],[CollateralValue]]/Loans[[#This Row],[LoanAmount]])</f>
        <v>0.98</v>
      </c>
      <c r="O1847" t="str">
        <f>IF(Loans[[#This Row],[CollateralCoverageRatio]]&lt;1,"Undersecured","Secured")</f>
        <v>Undersecured</v>
      </c>
      <c r="P1847" t="str">
        <f>_xlfn.XLOOKUP(Loans[[#This Row],[BranchCode]],BranchesTbl[BranchCode],BranchesTbl[BranchName])</f>
        <v>Eldoret</v>
      </c>
      <c r="Q1847">
        <f>_xlfn.XLOOKUP(Loans[[#This Row],[CustomerID]],CustomerTbl[CustomerID],CustomerTbl[RiskScore])</f>
        <v>309</v>
      </c>
      <c r="R1847" t="str">
        <f>IFERROR(INDEX(RiskTbl[Risk_Category],MATCH(Loans[[#This Row],[RiskScore]],RiskTbl[Score_Min],1)),"Unknown")</f>
        <v>High Risk</v>
      </c>
      <c r="S1847" t="str">
        <f>IF(OR(Loans[[#This Row],[LoanStatus]]="Default",Loans[[#This Row],[LoanStatus]]="Watchlist",Loans[[#This Row],[CollateralRisk]]="Undersecured",Loans[[#This Row],[RiskCategory]]="High Risk"),"High Risk Exposure","Normal")</f>
        <v>High Risk Exposure</v>
      </c>
      <c r="T1847" t="str" cm="1">
        <f t="array" ref="T1847">_xlfn.IFS(
Loans[[#This Row],[LoanStatus]]="Default","Critical",
OR(Loans[[#This Row],[LoanStatus]]="Watchlist",Loans[[#This Row],[CollateralRisk]]="Undersecured",Loans[[#This Row],[RiskCategory]]="High Risk"),"High",
TRUE,"Normal"
)</f>
        <v>High</v>
      </c>
    </row>
    <row r="1848" spans="1:20" x14ac:dyDescent="0.35">
      <c r="A1848" t="s">
        <v>2675</v>
      </c>
      <c r="B1848" t="s">
        <v>1521</v>
      </c>
      <c r="C1848" t="s">
        <v>232</v>
      </c>
      <c r="D1848" t="s">
        <v>158</v>
      </c>
      <c r="E1848" s="34">
        <v>3000000</v>
      </c>
      <c r="F1848" s="29">
        <v>0.1782</v>
      </c>
      <c r="G1848" s="30">
        <v>44569</v>
      </c>
      <c r="H1848">
        <v>48</v>
      </c>
      <c r="I1848">
        <v>45</v>
      </c>
      <c r="J1848" s="34">
        <v>3780000</v>
      </c>
      <c r="K1848" t="s">
        <v>199</v>
      </c>
      <c r="L1848" s="34">
        <f>PMT(Loans[[#This Row],[InterestRate]]/12,Loans[[#This Row],[LoanTenureMonths]],-Loans[[#This Row],[LoanAmount]])</f>
        <v>87843.076113577408</v>
      </c>
      <c r="M1848" s="30">
        <f>EDATE(Loans[[#This Row],[LoanStartDate]],Loans[[#This Row],[LoanTenureMonths]])</f>
        <v>46030</v>
      </c>
      <c r="N1848" s="33">
        <f>IF(Loans[[#This Row],[LoanAmount]]=0,0,Loans[[#This Row],[CollateralValue]]/Loans[[#This Row],[LoanAmount]])</f>
        <v>1.26</v>
      </c>
      <c r="O1848" t="str">
        <f>IF(Loans[[#This Row],[CollateralCoverageRatio]]&lt;1,"Undersecured","Secured")</f>
        <v>Secured</v>
      </c>
      <c r="P1848" t="str">
        <f>_xlfn.XLOOKUP(Loans[[#This Row],[BranchCode]],BranchesTbl[BranchCode],BranchesTbl[BranchName])</f>
        <v>Upper Hill</v>
      </c>
      <c r="Q1848">
        <f>_xlfn.XLOOKUP(Loans[[#This Row],[CustomerID]],CustomerTbl[CustomerID],CustomerTbl[RiskScore])</f>
        <v>397</v>
      </c>
      <c r="R1848" t="str">
        <f>IFERROR(INDEX(RiskTbl[Risk_Category],MATCH(Loans[[#This Row],[RiskScore]],RiskTbl[Score_Min],1)),"Unknown")</f>
        <v>High Risk</v>
      </c>
      <c r="S1848" t="str">
        <f>IF(OR(Loans[[#This Row],[LoanStatus]]="Default",Loans[[#This Row],[LoanStatus]]="Watchlist",Loans[[#This Row],[CollateralRisk]]="Undersecured",Loans[[#This Row],[RiskCategory]]="High Risk"),"High Risk Exposure","Normal")</f>
        <v>High Risk Exposure</v>
      </c>
      <c r="T1848" t="str" cm="1">
        <f t="array" ref="T1848">_xlfn.IFS(
Loans[[#This Row],[LoanStatus]]="Default","Critical",
OR(Loans[[#This Row],[LoanStatus]]="Watchlist",Loans[[#This Row],[CollateralRisk]]="Undersecured",Loans[[#This Row],[RiskCategory]]="High Risk"),"High",
TRUE,"Normal"
)</f>
        <v>High</v>
      </c>
    </row>
    <row r="1849" spans="1:20" x14ac:dyDescent="0.35">
      <c r="A1849" t="s">
        <v>2676</v>
      </c>
      <c r="B1849" t="s">
        <v>1372</v>
      </c>
      <c r="C1849" t="s">
        <v>232</v>
      </c>
      <c r="D1849" t="s">
        <v>157</v>
      </c>
      <c r="E1849" s="34">
        <v>25000000</v>
      </c>
      <c r="F1849" s="29">
        <v>0.11459999999999999</v>
      </c>
      <c r="G1849" s="30">
        <v>44916</v>
      </c>
      <c r="H1849">
        <v>12</v>
      </c>
      <c r="I1849">
        <v>0</v>
      </c>
      <c r="J1849" s="34">
        <v>14250000</v>
      </c>
      <c r="K1849" t="s">
        <v>171</v>
      </c>
      <c r="L1849" s="34">
        <f>PMT(Loans[[#This Row],[InterestRate]]/12,Loans[[#This Row],[LoanTenureMonths]],-Loans[[#This Row],[LoanAmount]])</f>
        <v>2214909.2435582825</v>
      </c>
      <c r="M1849" s="30">
        <f>EDATE(Loans[[#This Row],[LoanStartDate]],Loans[[#This Row],[LoanTenureMonths]])</f>
        <v>45281</v>
      </c>
      <c r="N1849" s="33">
        <f>IF(Loans[[#This Row],[LoanAmount]]=0,0,Loans[[#This Row],[CollateralValue]]/Loans[[#This Row],[LoanAmount]])</f>
        <v>0.56999999999999995</v>
      </c>
      <c r="O1849" t="str">
        <f>IF(Loans[[#This Row],[CollateralCoverageRatio]]&lt;1,"Undersecured","Secured")</f>
        <v>Undersecured</v>
      </c>
      <c r="P1849" t="str">
        <f>_xlfn.XLOOKUP(Loans[[#This Row],[BranchCode]],BranchesTbl[BranchCode],BranchesTbl[BranchName])</f>
        <v>Upper Hill</v>
      </c>
      <c r="Q1849">
        <f>_xlfn.XLOOKUP(Loans[[#This Row],[CustomerID]],CustomerTbl[CustomerID],CustomerTbl[RiskScore])</f>
        <v>718</v>
      </c>
      <c r="R1849" t="str">
        <f>IFERROR(INDEX(RiskTbl[Risk_Category],MATCH(Loans[[#This Row],[RiskScore]],RiskTbl[Score_Min],1)),"Unknown")</f>
        <v>Low Risk</v>
      </c>
      <c r="S1849" t="str">
        <f>IF(OR(Loans[[#This Row],[LoanStatus]]="Default",Loans[[#This Row],[LoanStatus]]="Watchlist",Loans[[#This Row],[CollateralRisk]]="Undersecured",Loans[[#This Row],[RiskCategory]]="High Risk"),"High Risk Exposure","Normal")</f>
        <v>High Risk Exposure</v>
      </c>
      <c r="T1849" t="str" cm="1">
        <f t="array" ref="T1849">_xlfn.IFS(
Loans[[#This Row],[LoanStatus]]="Default","Critical",
OR(Loans[[#This Row],[LoanStatus]]="Watchlist",Loans[[#This Row],[CollateralRisk]]="Undersecured",Loans[[#This Row],[RiskCategory]]="High Risk"),"High",
TRUE,"Normal"
)</f>
        <v>High</v>
      </c>
    </row>
    <row r="1850" spans="1:20" x14ac:dyDescent="0.35">
      <c r="A1850" t="s">
        <v>2677</v>
      </c>
      <c r="B1850" t="s">
        <v>1746</v>
      </c>
      <c r="C1850" t="s">
        <v>270</v>
      </c>
      <c r="D1850" t="s">
        <v>158</v>
      </c>
      <c r="E1850" s="34">
        <v>3000000</v>
      </c>
      <c r="F1850" s="29">
        <v>0.1623</v>
      </c>
      <c r="G1850" s="30">
        <v>44424</v>
      </c>
      <c r="H1850">
        <v>48</v>
      </c>
      <c r="I1850">
        <v>0</v>
      </c>
      <c r="J1850" s="34">
        <v>3960000</v>
      </c>
      <c r="K1850" t="s">
        <v>171</v>
      </c>
      <c r="L1850" s="34">
        <f>PMT(Loans[[#This Row],[InterestRate]]/12,Loans[[#This Row],[LoanTenureMonths]],-Loans[[#This Row],[LoanAmount]])</f>
        <v>85374.642324216868</v>
      </c>
      <c r="M1850" s="30">
        <f>EDATE(Loans[[#This Row],[LoanStartDate]],Loans[[#This Row],[LoanTenureMonths]])</f>
        <v>45885</v>
      </c>
      <c r="N1850" s="33">
        <f>IF(Loans[[#This Row],[LoanAmount]]=0,0,Loans[[#This Row],[CollateralValue]]/Loans[[#This Row],[LoanAmount]])</f>
        <v>1.32</v>
      </c>
      <c r="O1850" t="str">
        <f>IF(Loans[[#This Row],[CollateralCoverageRatio]]&lt;1,"Undersecured","Secured")</f>
        <v>Secured</v>
      </c>
      <c r="P1850" t="str">
        <f>_xlfn.XLOOKUP(Loans[[#This Row],[BranchCode]],BranchesTbl[BranchCode],BranchesTbl[BranchName])</f>
        <v>Nakuru</v>
      </c>
      <c r="Q1850">
        <f>_xlfn.XLOOKUP(Loans[[#This Row],[CustomerID]],CustomerTbl[CustomerID],CustomerTbl[RiskScore])</f>
        <v>616</v>
      </c>
      <c r="R1850" t="str">
        <f>IFERROR(INDEX(RiskTbl[Risk_Category],MATCH(Loans[[#This Row],[RiskScore]],RiskTbl[Score_Min],1)),"Unknown")</f>
        <v>Medium Risk</v>
      </c>
      <c r="S1850" t="str">
        <f>IF(OR(Loans[[#This Row],[LoanStatus]]="Default",Loans[[#This Row],[LoanStatus]]="Watchlist",Loans[[#This Row],[CollateralRisk]]="Undersecured",Loans[[#This Row],[RiskCategory]]="High Risk"),"High Risk Exposure","Normal")</f>
        <v>Normal</v>
      </c>
      <c r="T1850" t="str" cm="1">
        <f t="array" ref="T1850">_xlfn.IFS(
Loans[[#This Row],[LoanStatus]]="Default","Critical",
OR(Loans[[#This Row],[LoanStatus]]="Watchlist",Loans[[#This Row],[CollateralRisk]]="Undersecured",Loans[[#This Row],[RiskCategory]]="High Risk"),"High",
TRUE,"Normal"
)</f>
        <v>Normal</v>
      </c>
    </row>
    <row r="1851" spans="1:20" x14ac:dyDescent="0.35">
      <c r="A1851" t="s">
        <v>2678</v>
      </c>
      <c r="B1851" t="s">
        <v>667</v>
      </c>
      <c r="C1851" t="s">
        <v>187</v>
      </c>
      <c r="D1851" t="s">
        <v>155</v>
      </c>
      <c r="E1851" s="34">
        <v>250000</v>
      </c>
      <c r="F1851" s="29">
        <v>0.2107</v>
      </c>
      <c r="G1851" s="30">
        <v>44325</v>
      </c>
      <c r="H1851">
        <v>24</v>
      </c>
      <c r="I1851">
        <v>0</v>
      </c>
      <c r="J1851" s="34">
        <v>0</v>
      </c>
      <c r="K1851" t="s">
        <v>171</v>
      </c>
      <c r="L1851" s="34">
        <f>PMT(Loans[[#This Row],[InterestRate]]/12,Loans[[#This Row],[LoanTenureMonths]],-Loans[[#This Row],[LoanAmount]])</f>
        <v>12855.00996826785</v>
      </c>
      <c r="M1851" s="30">
        <f>EDATE(Loans[[#This Row],[LoanStartDate]],Loans[[#This Row],[LoanTenureMonths]])</f>
        <v>45055</v>
      </c>
      <c r="N1851" s="33">
        <f>IF(Loans[[#This Row],[LoanAmount]]=0,0,Loans[[#This Row],[CollateralValue]]/Loans[[#This Row],[LoanAmount]])</f>
        <v>0</v>
      </c>
      <c r="O1851" t="str">
        <f>IF(Loans[[#This Row],[CollateralCoverageRatio]]&lt;1,"Undersecured","Secured")</f>
        <v>Undersecured</v>
      </c>
      <c r="P1851" t="str">
        <f>_xlfn.XLOOKUP(Loans[[#This Row],[BranchCode]],BranchesTbl[BranchCode],BranchesTbl[BranchName])</f>
        <v>Eldoret</v>
      </c>
      <c r="Q1851">
        <f>_xlfn.XLOOKUP(Loans[[#This Row],[CustomerID]],CustomerTbl[CustomerID],CustomerTbl[RiskScore])</f>
        <v>690</v>
      </c>
      <c r="R1851" t="str">
        <f>IFERROR(INDEX(RiskTbl[Risk_Category],MATCH(Loans[[#This Row],[RiskScore]],RiskTbl[Score_Min],1)),"Unknown")</f>
        <v>Low Risk</v>
      </c>
      <c r="S1851" t="str">
        <f>IF(OR(Loans[[#This Row],[LoanStatus]]="Default",Loans[[#This Row],[LoanStatus]]="Watchlist",Loans[[#This Row],[CollateralRisk]]="Undersecured",Loans[[#This Row],[RiskCategory]]="High Risk"),"High Risk Exposure","Normal")</f>
        <v>High Risk Exposure</v>
      </c>
      <c r="T1851" t="str" cm="1">
        <f t="array" ref="T1851">_xlfn.IFS(
Loans[[#This Row],[LoanStatus]]="Default","Critical",
OR(Loans[[#This Row],[LoanStatus]]="Watchlist",Loans[[#This Row],[CollateralRisk]]="Undersecured",Loans[[#This Row],[RiskCategory]]="High Risk"),"High",
TRUE,"Normal"
)</f>
        <v>High</v>
      </c>
    </row>
    <row r="1852" spans="1:20" x14ac:dyDescent="0.35">
      <c r="A1852" t="s">
        <v>2679</v>
      </c>
      <c r="B1852" t="s">
        <v>2680</v>
      </c>
      <c r="C1852" t="s">
        <v>270</v>
      </c>
      <c r="D1852" t="s">
        <v>156</v>
      </c>
      <c r="E1852" s="34">
        <v>25000000</v>
      </c>
      <c r="F1852" s="29">
        <v>0.1421</v>
      </c>
      <c r="G1852" s="30">
        <v>45951</v>
      </c>
      <c r="H1852">
        <v>36</v>
      </c>
      <c r="I1852">
        <v>0</v>
      </c>
      <c r="J1852" s="34">
        <v>25750000</v>
      </c>
      <c r="K1852" t="s">
        <v>171</v>
      </c>
      <c r="L1852" s="34">
        <f>PMT(Loans[[#This Row],[InterestRate]]/12,Loans[[#This Row],[LoanTenureMonths]],-Loans[[#This Row],[LoanAmount]])</f>
        <v>856992.83631996729</v>
      </c>
      <c r="M1852" s="30">
        <f>EDATE(Loans[[#This Row],[LoanStartDate]],Loans[[#This Row],[LoanTenureMonths]])</f>
        <v>47047</v>
      </c>
      <c r="N1852" s="33">
        <f>IF(Loans[[#This Row],[LoanAmount]]=0,0,Loans[[#This Row],[CollateralValue]]/Loans[[#This Row],[LoanAmount]])</f>
        <v>1.03</v>
      </c>
      <c r="O1852" t="str">
        <f>IF(Loans[[#This Row],[CollateralCoverageRatio]]&lt;1,"Undersecured","Secured")</f>
        <v>Secured</v>
      </c>
      <c r="P1852" t="str">
        <f>_xlfn.XLOOKUP(Loans[[#This Row],[BranchCode]],BranchesTbl[BranchCode],BranchesTbl[BranchName])</f>
        <v>Nakuru</v>
      </c>
      <c r="Q1852">
        <f>_xlfn.XLOOKUP(Loans[[#This Row],[CustomerID]],CustomerTbl[CustomerID],CustomerTbl[RiskScore])</f>
        <v>541</v>
      </c>
      <c r="R1852" t="str">
        <f>IFERROR(INDEX(RiskTbl[Risk_Category],MATCH(Loans[[#This Row],[RiskScore]],RiskTbl[Score_Min],1)),"Unknown")</f>
        <v>High Risk</v>
      </c>
      <c r="S1852" t="str">
        <f>IF(OR(Loans[[#This Row],[LoanStatus]]="Default",Loans[[#This Row],[LoanStatus]]="Watchlist",Loans[[#This Row],[CollateralRisk]]="Undersecured",Loans[[#This Row],[RiskCategory]]="High Risk"),"High Risk Exposure","Normal")</f>
        <v>High Risk Exposure</v>
      </c>
      <c r="T1852" t="str" cm="1">
        <f t="array" ref="T1852">_xlfn.IFS(
Loans[[#This Row],[LoanStatus]]="Default","Critical",
OR(Loans[[#This Row],[LoanStatus]]="Watchlist",Loans[[#This Row],[CollateralRisk]]="Undersecured",Loans[[#This Row],[RiskCategory]]="High Risk"),"High",
TRUE,"Normal"
)</f>
        <v>High</v>
      </c>
    </row>
    <row r="1853" spans="1:20" x14ac:dyDescent="0.35">
      <c r="A1853" t="s">
        <v>2681</v>
      </c>
      <c r="B1853" t="s">
        <v>1615</v>
      </c>
      <c r="C1853" t="s">
        <v>181</v>
      </c>
      <c r="D1853" t="s">
        <v>157</v>
      </c>
      <c r="E1853" s="34">
        <v>6000000</v>
      </c>
      <c r="F1853" s="29">
        <v>0.1129</v>
      </c>
      <c r="G1853" s="30">
        <v>45159</v>
      </c>
      <c r="H1853">
        <v>36</v>
      </c>
      <c r="I1853">
        <v>0</v>
      </c>
      <c r="J1853" s="34">
        <v>4920000</v>
      </c>
      <c r="K1853" t="s">
        <v>171</v>
      </c>
      <c r="L1853" s="34">
        <f>PMT(Loans[[#This Row],[InterestRate]]/12,Loans[[#This Row],[LoanTenureMonths]],-Loans[[#This Row],[LoanAmount]])</f>
        <v>197257.3278702723</v>
      </c>
      <c r="M1853" s="30">
        <f>EDATE(Loans[[#This Row],[LoanStartDate]],Loans[[#This Row],[LoanTenureMonths]])</f>
        <v>46255</v>
      </c>
      <c r="N1853" s="33">
        <f>IF(Loans[[#This Row],[LoanAmount]]=0,0,Loans[[#This Row],[CollateralValue]]/Loans[[#This Row],[LoanAmount]])</f>
        <v>0.82</v>
      </c>
      <c r="O1853" t="str">
        <f>IF(Loans[[#This Row],[CollateralCoverageRatio]]&lt;1,"Undersecured","Secured")</f>
        <v>Undersecured</v>
      </c>
      <c r="P1853" t="str">
        <f>_xlfn.XLOOKUP(Loans[[#This Row],[BranchCode]],BranchesTbl[BranchCode],BranchesTbl[BranchName])</f>
        <v>Kitale</v>
      </c>
      <c r="Q1853">
        <f>_xlfn.XLOOKUP(Loans[[#This Row],[CustomerID]],CustomerTbl[CustomerID],CustomerTbl[RiskScore])</f>
        <v>834</v>
      </c>
      <c r="R1853" t="str">
        <f>IFERROR(INDEX(RiskTbl[Risk_Category],MATCH(Loans[[#This Row],[RiskScore]],RiskTbl[Score_Min],1)),"Unknown")</f>
        <v>Prime</v>
      </c>
      <c r="S1853" t="str">
        <f>IF(OR(Loans[[#This Row],[LoanStatus]]="Default",Loans[[#This Row],[LoanStatus]]="Watchlist",Loans[[#This Row],[CollateralRisk]]="Undersecured",Loans[[#This Row],[RiskCategory]]="High Risk"),"High Risk Exposure","Normal")</f>
        <v>High Risk Exposure</v>
      </c>
      <c r="T1853" t="str" cm="1">
        <f t="array" ref="T1853">_xlfn.IFS(
Loans[[#This Row],[LoanStatus]]="Default","Critical",
OR(Loans[[#This Row],[LoanStatus]]="Watchlist",Loans[[#This Row],[CollateralRisk]]="Undersecured",Loans[[#This Row],[RiskCategory]]="High Risk"),"High",
TRUE,"Normal"
)</f>
        <v>High</v>
      </c>
    </row>
    <row r="1854" spans="1:20" x14ac:dyDescent="0.35">
      <c r="A1854" t="s">
        <v>2682</v>
      </c>
      <c r="B1854" t="s">
        <v>663</v>
      </c>
      <c r="C1854" t="s">
        <v>170</v>
      </c>
      <c r="D1854" t="s">
        <v>155</v>
      </c>
      <c r="E1854" s="34">
        <v>250000</v>
      </c>
      <c r="F1854" s="29">
        <v>0.27979999999999999</v>
      </c>
      <c r="G1854" s="30">
        <v>44750</v>
      </c>
      <c r="H1854">
        <v>12</v>
      </c>
      <c r="I1854">
        <v>20</v>
      </c>
      <c r="J1854" s="34">
        <v>0</v>
      </c>
      <c r="K1854" t="s">
        <v>171</v>
      </c>
      <c r="L1854" s="34">
        <f>PMT(Loans[[#This Row],[InterestRate]]/12,Loans[[#This Row],[LoanTenureMonths]],-Loans[[#This Row],[LoanAmount]])</f>
        <v>24124.050975914059</v>
      </c>
      <c r="M1854" s="30">
        <f>EDATE(Loans[[#This Row],[LoanStartDate]],Loans[[#This Row],[LoanTenureMonths]])</f>
        <v>45115</v>
      </c>
      <c r="N1854" s="33">
        <f>IF(Loans[[#This Row],[LoanAmount]]=0,0,Loans[[#This Row],[CollateralValue]]/Loans[[#This Row],[LoanAmount]])</f>
        <v>0</v>
      </c>
      <c r="O1854" t="str">
        <f>IF(Loans[[#This Row],[CollateralCoverageRatio]]&lt;1,"Undersecured","Secured")</f>
        <v>Undersecured</v>
      </c>
      <c r="P1854" t="str">
        <f>_xlfn.XLOOKUP(Loans[[#This Row],[BranchCode]],BranchesTbl[BranchCode],BranchesTbl[BranchName])</f>
        <v>Thika</v>
      </c>
      <c r="Q1854">
        <f>_xlfn.XLOOKUP(Loans[[#This Row],[CustomerID]],CustomerTbl[CustomerID],CustomerTbl[RiskScore])</f>
        <v>823</v>
      </c>
      <c r="R1854" t="str">
        <f>IFERROR(INDEX(RiskTbl[Risk_Category],MATCH(Loans[[#This Row],[RiskScore]],RiskTbl[Score_Min],1)),"Unknown")</f>
        <v>Prime</v>
      </c>
      <c r="S1854" t="str">
        <f>IF(OR(Loans[[#This Row],[LoanStatus]]="Default",Loans[[#This Row],[LoanStatus]]="Watchlist",Loans[[#This Row],[CollateralRisk]]="Undersecured",Loans[[#This Row],[RiskCategory]]="High Risk"),"High Risk Exposure","Normal")</f>
        <v>High Risk Exposure</v>
      </c>
      <c r="T1854" t="str" cm="1">
        <f t="array" ref="T1854">_xlfn.IFS(
Loans[[#This Row],[LoanStatus]]="Default","Critical",
OR(Loans[[#This Row],[LoanStatus]]="Watchlist",Loans[[#This Row],[CollateralRisk]]="Undersecured",Loans[[#This Row],[RiskCategory]]="High Risk"),"High",
TRUE,"Normal"
)</f>
        <v>High</v>
      </c>
    </row>
    <row r="1855" spans="1:20" x14ac:dyDescent="0.35">
      <c r="A1855" t="s">
        <v>2683</v>
      </c>
      <c r="B1855" t="s">
        <v>1400</v>
      </c>
      <c r="C1855" t="s">
        <v>267</v>
      </c>
      <c r="D1855" t="s">
        <v>157</v>
      </c>
      <c r="E1855" s="34">
        <v>25000000</v>
      </c>
      <c r="F1855" s="29">
        <v>0.1066</v>
      </c>
      <c r="G1855" s="30">
        <v>44394</v>
      </c>
      <c r="H1855">
        <v>36</v>
      </c>
      <c r="I1855">
        <v>5</v>
      </c>
      <c r="J1855" s="34">
        <v>18250000</v>
      </c>
      <c r="K1855" t="s">
        <v>171</v>
      </c>
      <c r="L1855" s="34">
        <f>PMT(Loans[[#This Row],[InterestRate]]/12,Loans[[#This Row],[LoanTenureMonths]],-Loans[[#This Row],[LoanAmount]])</f>
        <v>814448.51134728326</v>
      </c>
      <c r="M1855" s="30">
        <f>EDATE(Loans[[#This Row],[LoanStartDate]],Loans[[#This Row],[LoanTenureMonths]])</f>
        <v>45490</v>
      </c>
      <c r="N1855" s="33">
        <f>IF(Loans[[#This Row],[LoanAmount]]=0,0,Loans[[#This Row],[CollateralValue]]/Loans[[#This Row],[LoanAmount]])</f>
        <v>0.73</v>
      </c>
      <c r="O1855" t="str">
        <f>IF(Loans[[#This Row],[CollateralCoverageRatio]]&lt;1,"Undersecured","Secured")</f>
        <v>Undersecured</v>
      </c>
      <c r="P1855" t="str">
        <f>_xlfn.XLOOKUP(Loans[[#This Row],[BranchCode]],BranchesTbl[BranchCode],BranchesTbl[BranchName])</f>
        <v>Malindi</v>
      </c>
      <c r="Q1855">
        <f>_xlfn.XLOOKUP(Loans[[#This Row],[CustomerID]],CustomerTbl[CustomerID],CustomerTbl[RiskScore])</f>
        <v>673</v>
      </c>
      <c r="R1855" t="str">
        <f>IFERROR(INDEX(RiskTbl[Risk_Category],MATCH(Loans[[#This Row],[RiskScore]],RiskTbl[Score_Min],1)),"Unknown")</f>
        <v>Low Risk</v>
      </c>
      <c r="S1855" t="str">
        <f>IF(OR(Loans[[#This Row],[LoanStatus]]="Default",Loans[[#This Row],[LoanStatus]]="Watchlist",Loans[[#This Row],[CollateralRisk]]="Undersecured",Loans[[#This Row],[RiskCategory]]="High Risk"),"High Risk Exposure","Normal")</f>
        <v>High Risk Exposure</v>
      </c>
      <c r="T1855" t="str" cm="1">
        <f t="array" ref="T1855">_xlfn.IFS(
Loans[[#This Row],[LoanStatus]]="Default","Critical",
OR(Loans[[#This Row],[LoanStatus]]="Watchlist",Loans[[#This Row],[CollateralRisk]]="Undersecured",Loans[[#This Row],[RiskCategory]]="High Risk"),"High",
TRUE,"Normal"
)</f>
        <v>High</v>
      </c>
    </row>
    <row r="1856" spans="1:20" x14ac:dyDescent="0.35">
      <c r="A1856" t="s">
        <v>2684</v>
      </c>
      <c r="B1856" t="s">
        <v>1037</v>
      </c>
      <c r="C1856" t="s">
        <v>174</v>
      </c>
      <c r="D1856" t="s">
        <v>155</v>
      </c>
      <c r="E1856" s="34">
        <v>100000</v>
      </c>
      <c r="F1856" s="29">
        <v>0.25969999999999999</v>
      </c>
      <c r="G1856" s="30">
        <v>45905</v>
      </c>
      <c r="H1856">
        <v>72</v>
      </c>
      <c r="I1856">
        <v>5</v>
      </c>
      <c r="J1856" s="34">
        <v>0</v>
      </c>
      <c r="K1856" t="s">
        <v>171</v>
      </c>
      <c r="L1856" s="34">
        <f>PMT(Loans[[#This Row],[InterestRate]]/12,Loans[[#This Row],[LoanTenureMonths]],-Loans[[#This Row],[LoanAmount]])</f>
        <v>2753.5433345917641</v>
      </c>
      <c r="M1856" s="30">
        <f>EDATE(Loans[[#This Row],[LoanStartDate]],Loans[[#This Row],[LoanTenureMonths]])</f>
        <v>48096</v>
      </c>
      <c r="N1856" s="33">
        <f>IF(Loans[[#This Row],[LoanAmount]]=0,0,Loans[[#This Row],[CollateralValue]]/Loans[[#This Row],[LoanAmount]])</f>
        <v>0</v>
      </c>
      <c r="O1856" t="str">
        <f>IF(Loans[[#This Row],[CollateralCoverageRatio]]&lt;1,"Undersecured","Secured")</f>
        <v>Undersecured</v>
      </c>
      <c r="P1856" t="str">
        <f>_xlfn.XLOOKUP(Loans[[#This Row],[BranchCode]],BranchesTbl[BranchCode],BranchesTbl[BranchName])</f>
        <v>Westlands</v>
      </c>
      <c r="Q1856">
        <f>_xlfn.XLOOKUP(Loans[[#This Row],[CustomerID]],CustomerTbl[CustomerID],CustomerTbl[RiskScore])</f>
        <v>444</v>
      </c>
      <c r="R1856" t="str">
        <f>IFERROR(INDEX(RiskTbl[Risk_Category],MATCH(Loans[[#This Row],[RiskScore]],RiskTbl[Score_Min],1)),"Unknown")</f>
        <v>High Risk</v>
      </c>
      <c r="S1856" t="str">
        <f>IF(OR(Loans[[#This Row],[LoanStatus]]="Default",Loans[[#This Row],[LoanStatus]]="Watchlist",Loans[[#This Row],[CollateralRisk]]="Undersecured",Loans[[#This Row],[RiskCategory]]="High Risk"),"High Risk Exposure","Normal")</f>
        <v>High Risk Exposure</v>
      </c>
      <c r="T1856" t="str" cm="1">
        <f t="array" ref="T1856">_xlfn.IFS(
Loans[[#This Row],[LoanStatus]]="Default","Critical",
OR(Loans[[#This Row],[LoanStatus]]="Watchlist",Loans[[#This Row],[CollateralRisk]]="Undersecured",Loans[[#This Row],[RiskCategory]]="High Risk"),"High",
TRUE,"Normal"
)</f>
        <v>High</v>
      </c>
    </row>
    <row r="1857" spans="1:20" x14ac:dyDescent="0.35">
      <c r="A1857" t="s">
        <v>2685</v>
      </c>
      <c r="B1857" t="s">
        <v>173</v>
      </c>
      <c r="C1857" t="s">
        <v>196</v>
      </c>
      <c r="D1857" t="s">
        <v>156</v>
      </c>
      <c r="E1857" s="34">
        <v>3000000</v>
      </c>
      <c r="F1857" s="29">
        <v>0.19409999999999999</v>
      </c>
      <c r="G1857" s="30">
        <v>44569</v>
      </c>
      <c r="H1857">
        <v>12</v>
      </c>
      <c r="I1857">
        <v>10</v>
      </c>
      <c r="J1857" s="34">
        <v>4230000</v>
      </c>
      <c r="K1857" t="s">
        <v>171</v>
      </c>
      <c r="L1857" s="34">
        <f>PMT(Loans[[#This Row],[InterestRate]]/12,Loans[[#This Row],[LoanTenureMonths]],-Loans[[#This Row],[LoanAmount]])</f>
        <v>277057.09900622931</v>
      </c>
      <c r="M1857" s="30">
        <f>EDATE(Loans[[#This Row],[LoanStartDate]],Loans[[#This Row],[LoanTenureMonths]])</f>
        <v>44934</v>
      </c>
      <c r="N1857" s="33">
        <f>IF(Loans[[#This Row],[LoanAmount]]=0,0,Loans[[#This Row],[CollateralValue]]/Loans[[#This Row],[LoanAmount]])</f>
        <v>1.41</v>
      </c>
      <c r="O1857" t="str">
        <f>IF(Loans[[#This Row],[CollateralCoverageRatio]]&lt;1,"Undersecured","Secured")</f>
        <v>Secured</v>
      </c>
      <c r="P1857" t="str">
        <f>_xlfn.XLOOKUP(Loans[[#This Row],[BranchCode]],BranchesTbl[BranchCode],BranchesTbl[BranchName])</f>
        <v>Karen</v>
      </c>
      <c r="Q1857">
        <f>_xlfn.XLOOKUP(Loans[[#This Row],[CustomerID]],CustomerTbl[CustomerID],CustomerTbl[RiskScore])</f>
        <v>490</v>
      </c>
      <c r="R1857" t="str">
        <f>IFERROR(INDEX(RiskTbl[Risk_Category],MATCH(Loans[[#This Row],[RiskScore]],RiskTbl[Score_Min],1)),"Unknown")</f>
        <v>High Risk</v>
      </c>
      <c r="S1857" t="str">
        <f>IF(OR(Loans[[#This Row],[LoanStatus]]="Default",Loans[[#This Row],[LoanStatus]]="Watchlist",Loans[[#This Row],[CollateralRisk]]="Undersecured",Loans[[#This Row],[RiskCategory]]="High Risk"),"High Risk Exposure","Normal")</f>
        <v>High Risk Exposure</v>
      </c>
      <c r="T1857" t="str" cm="1">
        <f t="array" ref="T1857">_xlfn.IFS(
Loans[[#This Row],[LoanStatus]]="Default","Critical",
OR(Loans[[#This Row],[LoanStatus]]="Watchlist",Loans[[#This Row],[CollateralRisk]]="Undersecured",Loans[[#This Row],[RiskCategory]]="High Risk"),"High",
TRUE,"Normal"
)</f>
        <v>High</v>
      </c>
    </row>
    <row r="1858" spans="1:20" x14ac:dyDescent="0.35">
      <c r="A1858" t="s">
        <v>2686</v>
      </c>
      <c r="B1858" t="s">
        <v>602</v>
      </c>
      <c r="C1858" t="s">
        <v>206</v>
      </c>
      <c r="D1858" t="s">
        <v>155</v>
      </c>
      <c r="E1858" s="34">
        <v>500000</v>
      </c>
      <c r="F1858" s="29">
        <v>0.23530000000000001</v>
      </c>
      <c r="G1858" s="30">
        <v>43992</v>
      </c>
      <c r="H1858">
        <v>12</v>
      </c>
      <c r="I1858">
        <v>120</v>
      </c>
      <c r="J1858" s="34">
        <v>0</v>
      </c>
      <c r="K1858" t="s">
        <v>178</v>
      </c>
      <c r="L1858" s="34">
        <f>PMT(Loans[[#This Row],[InterestRate]]/12,Loans[[#This Row],[LoanTenureMonths]],-Loans[[#This Row],[LoanAmount]])</f>
        <v>47166.145640312621</v>
      </c>
      <c r="M1858" s="30">
        <f>EDATE(Loans[[#This Row],[LoanStartDate]],Loans[[#This Row],[LoanTenureMonths]])</f>
        <v>44357</v>
      </c>
      <c r="N1858" s="33">
        <f>IF(Loans[[#This Row],[LoanAmount]]=0,0,Loans[[#This Row],[CollateralValue]]/Loans[[#This Row],[LoanAmount]])</f>
        <v>0</v>
      </c>
      <c r="O1858" t="str">
        <f>IF(Loans[[#This Row],[CollateralCoverageRatio]]&lt;1,"Undersecured","Secured")</f>
        <v>Undersecured</v>
      </c>
      <c r="P1858" t="str">
        <f>_xlfn.XLOOKUP(Loans[[#This Row],[BranchCode]],BranchesTbl[BranchCode],BranchesTbl[BranchName])</f>
        <v>Nyahururu</v>
      </c>
      <c r="Q1858">
        <f>_xlfn.XLOOKUP(Loans[[#This Row],[CustomerID]],CustomerTbl[CustomerID],CustomerTbl[RiskScore])</f>
        <v>469</v>
      </c>
      <c r="R1858" t="str">
        <f>IFERROR(INDEX(RiskTbl[Risk_Category],MATCH(Loans[[#This Row],[RiskScore]],RiskTbl[Score_Min],1)),"Unknown")</f>
        <v>High Risk</v>
      </c>
      <c r="S1858" t="str">
        <f>IF(OR(Loans[[#This Row],[LoanStatus]]="Default",Loans[[#This Row],[LoanStatus]]="Watchlist",Loans[[#This Row],[CollateralRisk]]="Undersecured",Loans[[#This Row],[RiskCategory]]="High Risk"),"High Risk Exposure","Normal")</f>
        <v>High Risk Exposure</v>
      </c>
      <c r="T1858" t="str" cm="1">
        <f t="array" ref="T1858">_xlfn.IFS(
Loans[[#This Row],[LoanStatus]]="Default","Critical",
OR(Loans[[#This Row],[LoanStatus]]="Watchlist",Loans[[#This Row],[CollateralRisk]]="Undersecured",Loans[[#This Row],[RiskCategory]]="High Risk"),"High",
TRUE,"Normal"
)</f>
        <v>Critical</v>
      </c>
    </row>
    <row r="1859" spans="1:20" x14ac:dyDescent="0.35">
      <c r="A1859" t="s">
        <v>2687</v>
      </c>
      <c r="B1859" t="s">
        <v>1744</v>
      </c>
      <c r="C1859" t="s">
        <v>184</v>
      </c>
      <c r="D1859" t="s">
        <v>155</v>
      </c>
      <c r="E1859" s="34">
        <v>250000</v>
      </c>
      <c r="F1859" s="29">
        <v>0.21199999999999999</v>
      </c>
      <c r="G1859" s="30">
        <v>44403</v>
      </c>
      <c r="H1859">
        <v>48</v>
      </c>
      <c r="I1859">
        <v>5</v>
      </c>
      <c r="J1859" s="34">
        <v>0</v>
      </c>
      <c r="K1859" t="s">
        <v>171</v>
      </c>
      <c r="L1859" s="34">
        <f>PMT(Loans[[#This Row],[InterestRate]]/12,Loans[[#This Row],[LoanTenureMonths]],-Loans[[#This Row],[LoanAmount]])</f>
        <v>7768.3421910192392</v>
      </c>
      <c r="M1859" s="30">
        <f>EDATE(Loans[[#This Row],[LoanStartDate]],Loans[[#This Row],[LoanTenureMonths]])</f>
        <v>45864</v>
      </c>
      <c r="N1859" s="33">
        <f>IF(Loans[[#This Row],[LoanAmount]]=0,0,Loans[[#This Row],[CollateralValue]]/Loans[[#This Row],[LoanAmount]])</f>
        <v>0</v>
      </c>
      <c r="O1859" t="str">
        <f>IF(Loans[[#This Row],[CollateralCoverageRatio]]&lt;1,"Undersecured","Secured")</f>
        <v>Undersecured</v>
      </c>
      <c r="P1859" t="str">
        <f>_xlfn.XLOOKUP(Loans[[#This Row],[BranchCode]],BranchesTbl[BranchCode],BranchesTbl[BranchName])</f>
        <v>Kisumu</v>
      </c>
      <c r="Q1859">
        <f>_xlfn.XLOOKUP(Loans[[#This Row],[CustomerID]],CustomerTbl[CustomerID],CustomerTbl[RiskScore])</f>
        <v>726</v>
      </c>
      <c r="R1859" t="str">
        <f>IFERROR(INDEX(RiskTbl[Risk_Category],MATCH(Loans[[#This Row],[RiskScore]],RiskTbl[Score_Min],1)),"Unknown")</f>
        <v>Low Risk</v>
      </c>
      <c r="S1859" t="str">
        <f>IF(OR(Loans[[#This Row],[LoanStatus]]="Default",Loans[[#This Row],[LoanStatus]]="Watchlist",Loans[[#This Row],[CollateralRisk]]="Undersecured",Loans[[#This Row],[RiskCategory]]="High Risk"),"High Risk Exposure","Normal")</f>
        <v>High Risk Exposure</v>
      </c>
      <c r="T1859" t="str" cm="1">
        <f t="array" ref="T1859">_xlfn.IFS(
Loans[[#This Row],[LoanStatus]]="Default","Critical",
OR(Loans[[#This Row],[LoanStatus]]="Watchlist",Loans[[#This Row],[CollateralRisk]]="Undersecured",Loans[[#This Row],[RiskCategory]]="High Risk"),"High",
TRUE,"Normal"
)</f>
        <v>High</v>
      </c>
    </row>
    <row r="1860" spans="1:20" x14ac:dyDescent="0.35">
      <c r="A1860" t="s">
        <v>2688</v>
      </c>
      <c r="B1860" t="s">
        <v>2229</v>
      </c>
      <c r="C1860" t="s">
        <v>267</v>
      </c>
      <c r="D1860" t="s">
        <v>155</v>
      </c>
      <c r="E1860" s="34">
        <v>500000</v>
      </c>
      <c r="F1860" s="29">
        <v>0.22500000000000001</v>
      </c>
      <c r="G1860" s="30">
        <v>44234</v>
      </c>
      <c r="H1860">
        <v>12</v>
      </c>
      <c r="I1860">
        <v>120</v>
      </c>
      <c r="J1860" s="34">
        <v>0</v>
      </c>
      <c r="K1860" t="s">
        <v>178</v>
      </c>
      <c r="L1860" s="34">
        <f>PMT(Loans[[#This Row],[InterestRate]]/12,Loans[[#This Row],[LoanTenureMonths]],-Loans[[#This Row],[LoanAmount]])</f>
        <v>46917.591825194046</v>
      </c>
      <c r="M1860" s="30">
        <f>EDATE(Loans[[#This Row],[LoanStartDate]],Loans[[#This Row],[LoanTenureMonths]])</f>
        <v>44599</v>
      </c>
      <c r="N1860" s="33">
        <f>IF(Loans[[#This Row],[LoanAmount]]=0,0,Loans[[#This Row],[CollateralValue]]/Loans[[#This Row],[LoanAmount]])</f>
        <v>0</v>
      </c>
      <c r="O1860" t="str">
        <f>IF(Loans[[#This Row],[CollateralCoverageRatio]]&lt;1,"Undersecured","Secured")</f>
        <v>Undersecured</v>
      </c>
      <c r="P1860" t="str">
        <f>_xlfn.XLOOKUP(Loans[[#This Row],[BranchCode]],BranchesTbl[BranchCode],BranchesTbl[BranchName])</f>
        <v>Malindi</v>
      </c>
      <c r="Q1860">
        <f>_xlfn.XLOOKUP(Loans[[#This Row],[CustomerID]],CustomerTbl[CustomerID],CustomerTbl[RiskScore])</f>
        <v>777</v>
      </c>
      <c r="R1860" t="str">
        <f>IFERROR(INDEX(RiskTbl[Risk_Category],MATCH(Loans[[#This Row],[RiskScore]],RiskTbl[Score_Min],1)),"Unknown")</f>
        <v>Very Low Risk</v>
      </c>
      <c r="S1860" t="str">
        <f>IF(OR(Loans[[#This Row],[LoanStatus]]="Default",Loans[[#This Row],[LoanStatus]]="Watchlist",Loans[[#This Row],[CollateralRisk]]="Undersecured",Loans[[#This Row],[RiskCategory]]="High Risk"),"High Risk Exposure","Normal")</f>
        <v>High Risk Exposure</v>
      </c>
      <c r="T1860" t="str" cm="1">
        <f t="array" ref="T1860">_xlfn.IFS(
Loans[[#This Row],[LoanStatus]]="Default","Critical",
OR(Loans[[#This Row],[LoanStatus]]="Watchlist",Loans[[#This Row],[CollateralRisk]]="Undersecured",Loans[[#This Row],[RiskCategory]]="High Risk"),"High",
TRUE,"Normal"
)</f>
        <v>Critical</v>
      </c>
    </row>
    <row r="1861" spans="1:20" x14ac:dyDescent="0.35">
      <c r="A1861" t="s">
        <v>2689</v>
      </c>
      <c r="B1861" t="s">
        <v>859</v>
      </c>
      <c r="C1861" t="s">
        <v>181</v>
      </c>
      <c r="D1861" t="s">
        <v>158</v>
      </c>
      <c r="E1861" s="34">
        <v>3000000</v>
      </c>
      <c r="F1861" s="29">
        <v>0.14449999999999999</v>
      </c>
      <c r="G1861" s="30">
        <v>45757</v>
      </c>
      <c r="H1861">
        <v>72</v>
      </c>
      <c r="I1861">
        <v>20</v>
      </c>
      <c r="J1861" s="34">
        <v>4290000</v>
      </c>
      <c r="K1861" t="s">
        <v>171</v>
      </c>
      <c r="L1861" s="34">
        <f>PMT(Loans[[#This Row],[InterestRate]]/12,Loans[[#This Row],[LoanTenureMonths]],-Loans[[#This Row],[LoanAmount]])</f>
        <v>62542.417133776798</v>
      </c>
      <c r="M1861" s="30">
        <f>EDATE(Loans[[#This Row],[LoanStartDate]],Loans[[#This Row],[LoanTenureMonths]])</f>
        <v>47948</v>
      </c>
      <c r="N1861" s="33">
        <f>IF(Loans[[#This Row],[LoanAmount]]=0,0,Loans[[#This Row],[CollateralValue]]/Loans[[#This Row],[LoanAmount]])</f>
        <v>1.43</v>
      </c>
      <c r="O1861" t="str">
        <f>IF(Loans[[#This Row],[CollateralCoverageRatio]]&lt;1,"Undersecured","Secured")</f>
        <v>Secured</v>
      </c>
      <c r="P1861" t="str">
        <f>_xlfn.XLOOKUP(Loans[[#This Row],[BranchCode]],BranchesTbl[BranchCode],BranchesTbl[BranchName])</f>
        <v>Kitale</v>
      </c>
      <c r="Q1861">
        <f>_xlfn.XLOOKUP(Loans[[#This Row],[CustomerID]],CustomerTbl[CustomerID],CustomerTbl[RiskScore])</f>
        <v>816</v>
      </c>
      <c r="R1861" t="str">
        <f>IFERROR(INDEX(RiskTbl[Risk_Category],MATCH(Loans[[#This Row],[RiskScore]],RiskTbl[Score_Min],1)),"Unknown")</f>
        <v>Prime</v>
      </c>
      <c r="S1861" t="str">
        <f>IF(OR(Loans[[#This Row],[LoanStatus]]="Default",Loans[[#This Row],[LoanStatus]]="Watchlist",Loans[[#This Row],[CollateralRisk]]="Undersecured",Loans[[#This Row],[RiskCategory]]="High Risk"),"High Risk Exposure","Normal")</f>
        <v>Normal</v>
      </c>
      <c r="T1861" t="str" cm="1">
        <f t="array" ref="T1861">_xlfn.IFS(
Loans[[#This Row],[LoanStatus]]="Default","Critical",
OR(Loans[[#This Row],[LoanStatus]]="Watchlist",Loans[[#This Row],[CollateralRisk]]="Undersecured",Loans[[#This Row],[RiskCategory]]="High Risk"),"High",
TRUE,"Normal"
)</f>
        <v>Normal</v>
      </c>
    </row>
    <row r="1862" spans="1:20" x14ac:dyDescent="0.35">
      <c r="A1862" t="s">
        <v>2690</v>
      </c>
      <c r="B1862" t="s">
        <v>1867</v>
      </c>
      <c r="C1862" t="s">
        <v>206</v>
      </c>
      <c r="D1862" t="s">
        <v>158</v>
      </c>
      <c r="E1862" s="34">
        <v>3000000</v>
      </c>
      <c r="F1862" s="29">
        <v>0.13159999999999999</v>
      </c>
      <c r="G1862" s="30">
        <v>44283</v>
      </c>
      <c r="H1862">
        <v>36</v>
      </c>
      <c r="I1862">
        <v>45</v>
      </c>
      <c r="J1862" s="34">
        <v>2220000</v>
      </c>
      <c r="K1862" t="s">
        <v>199</v>
      </c>
      <c r="L1862" s="34">
        <f>PMT(Loans[[#This Row],[InterestRate]]/12,Loans[[#This Row],[LoanTenureMonths]],-Loans[[#This Row],[LoanAmount]])</f>
        <v>101313.20887548072</v>
      </c>
      <c r="M1862" s="30">
        <f>EDATE(Loans[[#This Row],[LoanStartDate]],Loans[[#This Row],[LoanTenureMonths]])</f>
        <v>45379</v>
      </c>
      <c r="N1862" s="33">
        <f>IF(Loans[[#This Row],[LoanAmount]]=0,0,Loans[[#This Row],[CollateralValue]]/Loans[[#This Row],[LoanAmount]])</f>
        <v>0.74</v>
      </c>
      <c r="O1862" t="str">
        <f>IF(Loans[[#This Row],[CollateralCoverageRatio]]&lt;1,"Undersecured","Secured")</f>
        <v>Undersecured</v>
      </c>
      <c r="P1862" t="str">
        <f>_xlfn.XLOOKUP(Loans[[#This Row],[BranchCode]],BranchesTbl[BranchCode],BranchesTbl[BranchName])</f>
        <v>Nyahururu</v>
      </c>
      <c r="Q1862">
        <f>_xlfn.XLOOKUP(Loans[[#This Row],[CustomerID]],CustomerTbl[CustomerID],CustomerTbl[RiskScore])</f>
        <v>825</v>
      </c>
      <c r="R1862" t="str">
        <f>IFERROR(INDEX(RiskTbl[Risk_Category],MATCH(Loans[[#This Row],[RiskScore]],RiskTbl[Score_Min],1)),"Unknown")</f>
        <v>Prime</v>
      </c>
      <c r="S1862" t="str">
        <f>IF(OR(Loans[[#This Row],[LoanStatus]]="Default",Loans[[#This Row],[LoanStatus]]="Watchlist",Loans[[#This Row],[CollateralRisk]]="Undersecured",Loans[[#This Row],[RiskCategory]]="High Risk"),"High Risk Exposure","Normal")</f>
        <v>High Risk Exposure</v>
      </c>
      <c r="T1862" t="str" cm="1">
        <f t="array" ref="T1862">_xlfn.IFS(
Loans[[#This Row],[LoanStatus]]="Default","Critical",
OR(Loans[[#This Row],[LoanStatus]]="Watchlist",Loans[[#This Row],[CollateralRisk]]="Undersecured",Loans[[#This Row],[RiskCategory]]="High Risk"),"High",
TRUE,"Normal"
)</f>
        <v>High</v>
      </c>
    </row>
    <row r="1863" spans="1:20" x14ac:dyDescent="0.35">
      <c r="A1863" t="s">
        <v>2691</v>
      </c>
      <c r="B1863" t="s">
        <v>517</v>
      </c>
      <c r="C1863" t="s">
        <v>190</v>
      </c>
      <c r="D1863" t="s">
        <v>156</v>
      </c>
      <c r="E1863" s="34">
        <v>3000000</v>
      </c>
      <c r="F1863" s="29">
        <v>0.23569999999999999</v>
      </c>
      <c r="G1863" s="30">
        <v>44023</v>
      </c>
      <c r="H1863">
        <v>24</v>
      </c>
      <c r="I1863">
        <v>0</v>
      </c>
      <c r="J1863" s="34">
        <v>1500000</v>
      </c>
      <c r="K1863" t="s">
        <v>171</v>
      </c>
      <c r="L1863" s="34">
        <f>PMT(Loans[[#This Row],[InterestRate]]/12,Loans[[#This Row],[LoanTenureMonths]],-Loans[[#This Row],[LoanAmount]])</f>
        <v>157970.17207588232</v>
      </c>
      <c r="M1863" s="30">
        <f>EDATE(Loans[[#This Row],[LoanStartDate]],Loans[[#This Row],[LoanTenureMonths]])</f>
        <v>44753</v>
      </c>
      <c r="N1863" s="33">
        <f>IF(Loans[[#This Row],[LoanAmount]]=0,0,Loans[[#This Row],[CollateralValue]]/Loans[[#This Row],[LoanAmount]])</f>
        <v>0.5</v>
      </c>
      <c r="O1863" t="str">
        <f>IF(Loans[[#This Row],[CollateralCoverageRatio]]&lt;1,"Undersecured","Secured")</f>
        <v>Undersecured</v>
      </c>
      <c r="P1863" t="str">
        <f>_xlfn.XLOOKUP(Loans[[#This Row],[BranchCode]],BranchesTbl[BranchCode],BranchesTbl[BranchName])</f>
        <v>Nyeri</v>
      </c>
      <c r="Q1863">
        <f>_xlfn.XLOOKUP(Loans[[#This Row],[CustomerID]],CustomerTbl[CustomerID],CustomerTbl[RiskScore])</f>
        <v>474</v>
      </c>
      <c r="R1863" t="str">
        <f>IFERROR(INDEX(RiskTbl[Risk_Category],MATCH(Loans[[#This Row],[RiskScore]],RiskTbl[Score_Min],1)),"Unknown")</f>
        <v>High Risk</v>
      </c>
      <c r="S1863" t="str">
        <f>IF(OR(Loans[[#This Row],[LoanStatus]]="Default",Loans[[#This Row],[LoanStatus]]="Watchlist",Loans[[#This Row],[CollateralRisk]]="Undersecured",Loans[[#This Row],[RiskCategory]]="High Risk"),"High Risk Exposure","Normal")</f>
        <v>High Risk Exposure</v>
      </c>
      <c r="T1863" t="str" cm="1">
        <f t="array" ref="T1863">_xlfn.IFS(
Loans[[#This Row],[LoanStatus]]="Default","Critical",
OR(Loans[[#This Row],[LoanStatus]]="Watchlist",Loans[[#This Row],[CollateralRisk]]="Undersecured",Loans[[#This Row],[RiskCategory]]="High Risk"),"High",
TRUE,"Normal"
)</f>
        <v>High</v>
      </c>
    </row>
    <row r="1864" spans="1:20" x14ac:dyDescent="0.35">
      <c r="A1864" t="s">
        <v>2692</v>
      </c>
      <c r="B1864" t="s">
        <v>528</v>
      </c>
      <c r="C1864" t="s">
        <v>184</v>
      </c>
      <c r="D1864" t="s">
        <v>156</v>
      </c>
      <c r="E1864" s="34">
        <v>6000000</v>
      </c>
      <c r="F1864" s="29">
        <v>0.22589999999999999</v>
      </c>
      <c r="G1864" s="30">
        <v>43845</v>
      </c>
      <c r="H1864">
        <v>12</v>
      </c>
      <c r="I1864">
        <v>10</v>
      </c>
      <c r="J1864" s="34">
        <v>4920000</v>
      </c>
      <c r="K1864" t="s">
        <v>171</v>
      </c>
      <c r="L1864" s="34">
        <f>PMT(Loans[[#This Row],[InterestRate]]/12,Loans[[#This Row],[LoanTenureMonths]],-Loans[[#This Row],[LoanAmount]])</f>
        <v>563271.38289857481</v>
      </c>
      <c r="M1864" s="30">
        <f>EDATE(Loans[[#This Row],[LoanStartDate]],Loans[[#This Row],[LoanTenureMonths]])</f>
        <v>44211</v>
      </c>
      <c r="N1864" s="33">
        <f>IF(Loans[[#This Row],[LoanAmount]]=0,0,Loans[[#This Row],[CollateralValue]]/Loans[[#This Row],[LoanAmount]])</f>
        <v>0.82</v>
      </c>
      <c r="O1864" t="str">
        <f>IF(Loans[[#This Row],[CollateralCoverageRatio]]&lt;1,"Undersecured","Secured")</f>
        <v>Undersecured</v>
      </c>
      <c r="P1864" t="str">
        <f>_xlfn.XLOOKUP(Loans[[#This Row],[BranchCode]],BranchesTbl[BranchCode],BranchesTbl[BranchName])</f>
        <v>Kisumu</v>
      </c>
      <c r="Q1864">
        <f>_xlfn.XLOOKUP(Loans[[#This Row],[CustomerID]],CustomerTbl[CustomerID],CustomerTbl[RiskScore])</f>
        <v>737</v>
      </c>
      <c r="R1864" t="str">
        <f>IFERROR(INDEX(RiskTbl[Risk_Category],MATCH(Loans[[#This Row],[RiskScore]],RiskTbl[Score_Min],1)),"Unknown")</f>
        <v>Low Risk</v>
      </c>
      <c r="S1864" t="str">
        <f>IF(OR(Loans[[#This Row],[LoanStatus]]="Default",Loans[[#This Row],[LoanStatus]]="Watchlist",Loans[[#This Row],[CollateralRisk]]="Undersecured",Loans[[#This Row],[RiskCategory]]="High Risk"),"High Risk Exposure","Normal")</f>
        <v>High Risk Exposure</v>
      </c>
      <c r="T1864" t="str" cm="1">
        <f t="array" ref="T1864">_xlfn.IFS(
Loans[[#This Row],[LoanStatus]]="Default","Critical",
OR(Loans[[#This Row],[LoanStatus]]="Watchlist",Loans[[#This Row],[CollateralRisk]]="Undersecured",Loans[[#This Row],[RiskCategory]]="High Risk"),"High",
TRUE,"Normal"
)</f>
        <v>High</v>
      </c>
    </row>
    <row r="1865" spans="1:20" x14ac:dyDescent="0.35">
      <c r="A1865" t="s">
        <v>2693</v>
      </c>
      <c r="B1865" t="s">
        <v>1746</v>
      </c>
      <c r="C1865" t="s">
        <v>219</v>
      </c>
      <c r="D1865" t="s">
        <v>157</v>
      </c>
      <c r="E1865" s="34">
        <v>25000000</v>
      </c>
      <c r="F1865" s="29">
        <v>0.1285</v>
      </c>
      <c r="G1865" s="30">
        <v>45082</v>
      </c>
      <c r="H1865">
        <v>36</v>
      </c>
      <c r="I1865">
        <v>120</v>
      </c>
      <c r="J1865" s="34">
        <v>23000000</v>
      </c>
      <c r="K1865" t="s">
        <v>178</v>
      </c>
      <c r="L1865" s="34">
        <f>PMT(Loans[[#This Row],[InterestRate]]/12,Loans[[#This Row],[LoanTenureMonths]],-Loans[[#This Row],[LoanAmount]])</f>
        <v>840543.70149425627</v>
      </c>
      <c r="M1865" s="30">
        <f>EDATE(Loans[[#This Row],[LoanStartDate]],Loans[[#This Row],[LoanTenureMonths]])</f>
        <v>46178</v>
      </c>
      <c r="N1865" s="33">
        <f>IF(Loans[[#This Row],[LoanAmount]]=0,0,Loans[[#This Row],[CollateralValue]]/Loans[[#This Row],[LoanAmount]])</f>
        <v>0.92</v>
      </c>
      <c r="O1865" t="str">
        <f>IF(Loans[[#This Row],[CollateralCoverageRatio]]&lt;1,"Undersecured","Secured")</f>
        <v>Undersecured</v>
      </c>
      <c r="P1865" t="str">
        <f>_xlfn.XLOOKUP(Loans[[#This Row],[BranchCode]],BranchesTbl[BranchCode],BranchesTbl[BranchName])</f>
        <v>Meru</v>
      </c>
      <c r="Q1865">
        <f>_xlfn.XLOOKUP(Loans[[#This Row],[CustomerID]],CustomerTbl[CustomerID],CustomerTbl[RiskScore])</f>
        <v>616</v>
      </c>
      <c r="R1865" t="str">
        <f>IFERROR(INDEX(RiskTbl[Risk_Category],MATCH(Loans[[#This Row],[RiskScore]],RiskTbl[Score_Min],1)),"Unknown")</f>
        <v>Medium Risk</v>
      </c>
      <c r="S1865" t="str">
        <f>IF(OR(Loans[[#This Row],[LoanStatus]]="Default",Loans[[#This Row],[LoanStatus]]="Watchlist",Loans[[#This Row],[CollateralRisk]]="Undersecured",Loans[[#This Row],[RiskCategory]]="High Risk"),"High Risk Exposure","Normal")</f>
        <v>High Risk Exposure</v>
      </c>
      <c r="T1865" t="str" cm="1">
        <f t="array" ref="T1865">_xlfn.IFS(
Loans[[#This Row],[LoanStatus]]="Default","Critical",
OR(Loans[[#This Row],[LoanStatus]]="Watchlist",Loans[[#This Row],[CollateralRisk]]="Undersecured",Loans[[#This Row],[RiskCategory]]="High Risk"),"High",
TRUE,"Normal"
)</f>
        <v>Critical</v>
      </c>
    </row>
    <row r="1866" spans="1:20" x14ac:dyDescent="0.35">
      <c r="A1866" t="s">
        <v>2694</v>
      </c>
      <c r="B1866" t="s">
        <v>1846</v>
      </c>
      <c r="C1866" t="s">
        <v>174</v>
      </c>
      <c r="D1866" t="s">
        <v>158</v>
      </c>
      <c r="E1866" s="34">
        <v>3000000</v>
      </c>
      <c r="F1866" s="29">
        <v>0.12759999999999999</v>
      </c>
      <c r="G1866" s="30">
        <v>45426</v>
      </c>
      <c r="H1866">
        <v>12</v>
      </c>
      <c r="I1866">
        <v>45</v>
      </c>
      <c r="J1866" s="34">
        <v>1650000</v>
      </c>
      <c r="K1866" t="s">
        <v>199</v>
      </c>
      <c r="L1866" s="34">
        <f>PMT(Loans[[#This Row],[InterestRate]]/12,Loans[[#This Row],[LoanTenureMonths]],-Loans[[#This Row],[LoanAmount]])</f>
        <v>267614.14555134531</v>
      </c>
      <c r="M1866" s="30">
        <f>EDATE(Loans[[#This Row],[LoanStartDate]],Loans[[#This Row],[LoanTenureMonths]])</f>
        <v>45791</v>
      </c>
      <c r="N1866" s="33">
        <f>IF(Loans[[#This Row],[LoanAmount]]=0,0,Loans[[#This Row],[CollateralValue]]/Loans[[#This Row],[LoanAmount]])</f>
        <v>0.55000000000000004</v>
      </c>
      <c r="O1866" t="str">
        <f>IF(Loans[[#This Row],[CollateralCoverageRatio]]&lt;1,"Undersecured","Secured")</f>
        <v>Undersecured</v>
      </c>
      <c r="P1866" t="str">
        <f>_xlfn.XLOOKUP(Loans[[#This Row],[BranchCode]],BranchesTbl[BranchCode],BranchesTbl[BranchName])</f>
        <v>Westlands</v>
      </c>
      <c r="Q1866">
        <f>_xlfn.XLOOKUP(Loans[[#This Row],[CustomerID]],CustomerTbl[CustomerID],CustomerTbl[RiskScore])</f>
        <v>354</v>
      </c>
      <c r="R1866" t="str">
        <f>IFERROR(INDEX(RiskTbl[Risk_Category],MATCH(Loans[[#This Row],[RiskScore]],RiskTbl[Score_Min],1)),"Unknown")</f>
        <v>High Risk</v>
      </c>
      <c r="S1866" t="str">
        <f>IF(OR(Loans[[#This Row],[LoanStatus]]="Default",Loans[[#This Row],[LoanStatus]]="Watchlist",Loans[[#This Row],[CollateralRisk]]="Undersecured",Loans[[#This Row],[RiskCategory]]="High Risk"),"High Risk Exposure","Normal")</f>
        <v>High Risk Exposure</v>
      </c>
      <c r="T1866" t="str" cm="1">
        <f t="array" ref="T1866">_xlfn.IFS(
Loans[[#This Row],[LoanStatus]]="Default","Critical",
OR(Loans[[#This Row],[LoanStatus]]="Watchlist",Loans[[#This Row],[CollateralRisk]]="Undersecured",Loans[[#This Row],[RiskCategory]]="High Risk"),"High",
TRUE,"Normal"
)</f>
        <v>High</v>
      </c>
    </row>
    <row r="1867" spans="1:20" x14ac:dyDescent="0.35">
      <c r="A1867" t="s">
        <v>2695</v>
      </c>
      <c r="B1867" t="s">
        <v>670</v>
      </c>
      <c r="C1867" t="s">
        <v>219</v>
      </c>
      <c r="D1867" t="s">
        <v>157</v>
      </c>
      <c r="E1867" s="34">
        <v>6000000</v>
      </c>
      <c r="F1867" s="29">
        <v>0.1193</v>
      </c>
      <c r="G1867" s="30">
        <v>45233</v>
      </c>
      <c r="H1867">
        <v>72</v>
      </c>
      <c r="I1867">
        <v>45</v>
      </c>
      <c r="J1867" s="34">
        <v>5340000</v>
      </c>
      <c r="K1867" t="s">
        <v>199</v>
      </c>
      <c r="L1867" s="34">
        <f>PMT(Loans[[#This Row],[InterestRate]]/12,Loans[[#This Row],[LoanTenureMonths]],-Loans[[#This Row],[LoanAmount]])</f>
        <v>117082.85891541028</v>
      </c>
      <c r="M1867" s="30">
        <f>EDATE(Loans[[#This Row],[LoanStartDate]],Loans[[#This Row],[LoanTenureMonths]])</f>
        <v>47425</v>
      </c>
      <c r="N1867" s="33">
        <f>IF(Loans[[#This Row],[LoanAmount]]=0,0,Loans[[#This Row],[CollateralValue]]/Loans[[#This Row],[LoanAmount]])</f>
        <v>0.89</v>
      </c>
      <c r="O1867" t="str">
        <f>IF(Loans[[#This Row],[CollateralCoverageRatio]]&lt;1,"Undersecured","Secured")</f>
        <v>Undersecured</v>
      </c>
      <c r="P1867" t="str">
        <f>_xlfn.XLOOKUP(Loans[[#This Row],[BranchCode]],BranchesTbl[BranchCode],BranchesTbl[BranchName])</f>
        <v>Meru</v>
      </c>
      <c r="Q1867">
        <f>_xlfn.XLOOKUP(Loans[[#This Row],[CustomerID]],CustomerTbl[CustomerID],CustomerTbl[RiskScore])</f>
        <v>595</v>
      </c>
      <c r="R1867" t="str">
        <f>IFERROR(INDEX(RiskTbl[Risk_Category],MATCH(Loans[[#This Row],[RiskScore]],RiskTbl[Score_Min],1)),"Unknown")</f>
        <v>Medium Risk</v>
      </c>
      <c r="S1867" t="str">
        <f>IF(OR(Loans[[#This Row],[LoanStatus]]="Default",Loans[[#This Row],[LoanStatus]]="Watchlist",Loans[[#This Row],[CollateralRisk]]="Undersecured",Loans[[#This Row],[RiskCategory]]="High Risk"),"High Risk Exposure","Normal")</f>
        <v>High Risk Exposure</v>
      </c>
      <c r="T1867" t="str" cm="1">
        <f t="array" ref="T1867">_xlfn.IFS(
Loans[[#This Row],[LoanStatus]]="Default","Critical",
OR(Loans[[#This Row],[LoanStatus]]="Watchlist",Loans[[#This Row],[CollateralRisk]]="Undersecured",Loans[[#This Row],[RiskCategory]]="High Risk"),"High",
TRUE,"Normal"
)</f>
        <v>High</v>
      </c>
    </row>
    <row r="1868" spans="1:20" x14ac:dyDescent="0.35">
      <c r="A1868" t="s">
        <v>2696</v>
      </c>
      <c r="B1868" t="s">
        <v>740</v>
      </c>
      <c r="C1868" t="s">
        <v>219</v>
      </c>
      <c r="D1868" t="s">
        <v>155</v>
      </c>
      <c r="E1868" s="34">
        <v>100000</v>
      </c>
      <c r="F1868" s="29">
        <v>0.21790000000000001</v>
      </c>
      <c r="G1868" s="30">
        <v>43842</v>
      </c>
      <c r="H1868">
        <v>36</v>
      </c>
      <c r="I1868">
        <v>90</v>
      </c>
      <c r="J1868" s="34">
        <v>0</v>
      </c>
      <c r="K1868" t="s">
        <v>199</v>
      </c>
      <c r="L1868" s="34">
        <f>PMT(Loans[[#This Row],[InterestRate]]/12,Loans[[#This Row],[LoanTenureMonths]],-Loans[[#This Row],[LoanAmount]])</f>
        <v>3808.1899440046964</v>
      </c>
      <c r="M1868" s="30">
        <f>EDATE(Loans[[#This Row],[LoanStartDate]],Loans[[#This Row],[LoanTenureMonths]])</f>
        <v>44938</v>
      </c>
      <c r="N1868" s="33">
        <f>IF(Loans[[#This Row],[LoanAmount]]=0,0,Loans[[#This Row],[CollateralValue]]/Loans[[#This Row],[LoanAmount]])</f>
        <v>0</v>
      </c>
      <c r="O1868" t="str">
        <f>IF(Loans[[#This Row],[CollateralCoverageRatio]]&lt;1,"Undersecured","Secured")</f>
        <v>Undersecured</v>
      </c>
      <c r="P1868" t="str">
        <f>_xlfn.XLOOKUP(Loans[[#This Row],[BranchCode]],BranchesTbl[BranchCode],BranchesTbl[BranchName])</f>
        <v>Meru</v>
      </c>
      <c r="Q1868">
        <f>_xlfn.XLOOKUP(Loans[[#This Row],[CustomerID]],CustomerTbl[CustomerID],CustomerTbl[RiskScore])</f>
        <v>614</v>
      </c>
      <c r="R1868" t="str">
        <f>IFERROR(INDEX(RiskTbl[Risk_Category],MATCH(Loans[[#This Row],[RiskScore]],RiskTbl[Score_Min],1)),"Unknown")</f>
        <v>Medium Risk</v>
      </c>
      <c r="S1868" t="str">
        <f>IF(OR(Loans[[#This Row],[LoanStatus]]="Default",Loans[[#This Row],[LoanStatus]]="Watchlist",Loans[[#This Row],[CollateralRisk]]="Undersecured",Loans[[#This Row],[RiskCategory]]="High Risk"),"High Risk Exposure","Normal")</f>
        <v>High Risk Exposure</v>
      </c>
      <c r="T1868" t="str" cm="1">
        <f t="array" ref="T1868">_xlfn.IFS(
Loans[[#This Row],[LoanStatus]]="Default","Critical",
OR(Loans[[#This Row],[LoanStatus]]="Watchlist",Loans[[#This Row],[CollateralRisk]]="Undersecured",Loans[[#This Row],[RiskCategory]]="High Risk"),"High",
TRUE,"Normal"
)</f>
        <v>High</v>
      </c>
    </row>
    <row r="1869" spans="1:20" x14ac:dyDescent="0.35">
      <c r="A1869" t="s">
        <v>2697</v>
      </c>
      <c r="B1869" t="s">
        <v>1000</v>
      </c>
      <c r="C1869" t="s">
        <v>196</v>
      </c>
      <c r="D1869" t="s">
        <v>157</v>
      </c>
      <c r="E1869" s="34">
        <v>6000000</v>
      </c>
      <c r="F1869" s="29">
        <v>0.13730000000000001</v>
      </c>
      <c r="G1869" s="30">
        <v>44188</v>
      </c>
      <c r="H1869">
        <v>72</v>
      </c>
      <c r="I1869">
        <v>90</v>
      </c>
      <c r="J1869" s="34">
        <v>4740000</v>
      </c>
      <c r="K1869" t="s">
        <v>199</v>
      </c>
      <c r="L1869" s="34">
        <f>PMT(Loans[[#This Row],[InterestRate]]/12,Loans[[#This Row],[LoanTenureMonths]],-Loans[[#This Row],[LoanAmount]])</f>
        <v>122768.65109933759</v>
      </c>
      <c r="M1869" s="30">
        <f>EDATE(Loans[[#This Row],[LoanStartDate]],Loans[[#This Row],[LoanTenureMonths]])</f>
        <v>46379</v>
      </c>
      <c r="N1869" s="33">
        <f>IF(Loans[[#This Row],[LoanAmount]]=0,0,Loans[[#This Row],[CollateralValue]]/Loans[[#This Row],[LoanAmount]])</f>
        <v>0.79</v>
      </c>
      <c r="O1869" t="str">
        <f>IF(Loans[[#This Row],[CollateralCoverageRatio]]&lt;1,"Undersecured","Secured")</f>
        <v>Undersecured</v>
      </c>
      <c r="P1869" t="str">
        <f>_xlfn.XLOOKUP(Loans[[#This Row],[BranchCode]],BranchesTbl[BranchCode],BranchesTbl[BranchName])</f>
        <v>Karen</v>
      </c>
      <c r="Q1869">
        <f>_xlfn.XLOOKUP(Loans[[#This Row],[CustomerID]],CustomerTbl[CustomerID],CustomerTbl[RiskScore])</f>
        <v>500</v>
      </c>
      <c r="R1869" t="str">
        <f>IFERROR(INDEX(RiskTbl[Risk_Category],MATCH(Loans[[#This Row],[RiskScore]],RiskTbl[Score_Min],1)),"Unknown")</f>
        <v>High Risk</v>
      </c>
      <c r="S1869" t="str">
        <f>IF(OR(Loans[[#This Row],[LoanStatus]]="Default",Loans[[#This Row],[LoanStatus]]="Watchlist",Loans[[#This Row],[CollateralRisk]]="Undersecured",Loans[[#This Row],[RiskCategory]]="High Risk"),"High Risk Exposure","Normal")</f>
        <v>High Risk Exposure</v>
      </c>
      <c r="T1869" t="str" cm="1">
        <f t="array" ref="T1869">_xlfn.IFS(
Loans[[#This Row],[LoanStatus]]="Default","Critical",
OR(Loans[[#This Row],[LoanStatus]]="Watchlist",Loans[[#This Row],[CollateralRisk]]="Undersecured",Loans[[#This Row],[RiskCategory]]="High Risk"),"High",
TRUE,"Normal"
)</f>
        <v>High</v>
      </c>
    </row>
    <row r="1870" spans="1:20" x14ac:dyDescent="0.35">
      <c r="A1870" t="s">
        <v>2698</v>
      </c>
      <c r="B1870" t="s">
        <v>2538</v>
      </c>
      <c r="C1870" t="s">
        <v>267</v>
      </c>
      <c r="D1870" t="s">
        <v>155</v>
      </c>
      <c r="E1870" s="34">
        <v>250000</v>
      </c>
      <c r="F1870" s="29">
        <v>0.16669999999999999</v>
      </c>
      <c r="G1870" s="30">
        <v>44792</v>
      </c>
      <c r="H1870">
        <v>72</v>
      </c>
      <c r="I1870">
        <v>45</v>
      </c>
      <c r="J1870" s="34">
        <v>0</v>
      </c>
      <c r="K1870" t="s">
        <v>199</v>
      </c>
      <c r="L1870" s="34">
        <f>PMT(Loans[[#This Row],[InterestRate]]/12,Loans[[#This Row],[LoanTenureMonths]],-Loans[[#This Row],[LoanAmount]])</f>
        <v>5515.5989763048256</v>
      </c>
      <c r="M1870" s="30">
        <f>EDATE(Loans[[#This Row],[LoanStartDate]],Loans[[#This Row],[LoanTenureMonths]])</f>
        <v>46984</v>
      </c>
      <c r="N1870" s="33">
        <f>IF(Loans[[#This Row],[LoanAmount]]=0,0,Loans[[#This Row],[CollateralValue]]/Loans[[#This Row],[LoanAmount]])</f>
        <v>0</v>
      </c>
      <c r="O1870" t="str">
        <f>IF(Loans[[#This Row],[CollateralCoverageRatio]]&lt;1,"Undersecured","Secured")</f>
        <v>Undersecured</v>
      </c>
      <c r="P1870" t="str">
        <f>_xlfn.XLOOKUP(Loans[[#This Row],[BranchCode]],BranchesTbl[BranchCode],BranchesTbl[BranchName])</f>
        <v>Malindi</v>
      </c>
      <c r="Q1870">
        <f>_xlfn.XLOOKUP(Loans[[#This Row],[CustomerID]],CustomerTbl[CustomerID],CustomerTbl[RiskScore])</f>
        <v>585</v>
      </c>
      <c r="R1870" t="str">
        <f>IFERROR(INDEX(RiskTbl[Risk_Category],MATCH(Loans[[#This Row],[RiskScore]],RiskTbl[Score_Min],1)),"Unknown")</f>
        <v>Medium Risk</v>
      </c>
      <c r="S1870" t="str">
        <f>IF(OR(Loans[[#This Row],[LoanStatus]]="Default",Loans[[#This Row],[LoanStatus]]="Watchlist",Loans[[#This Row],[CollateralRisk]]="Undersecured",Loans[[#This Row],[RiskCategory]]="High Risk"),"High Risk Exposure","Normal")</f>
        <v>High Risk Exposure</v>
      </c>
      <c r="T1870" t="str" cm="1">
        <f t="array" ref="T1870">_xlfn.IFS(
Loans[[#This Row],[LoanStatus]]="Default","Critical",
OR(Loans[[#This Row],[LoanStatus]]="Watchlist",Loans[[#This Row],[CollateralRisk]]="Undersecured",Loans[[#This Row],[RiskCategory]]="High Risk"),"High",
TRUE,"Normal"
)</f>
        <v>High</v>
      </c>
    </row>
    <row r="1871" spans="1:20" x14ac:dyDescent="0.35">
      <c r="A1871" t="s">
        <v>2699</v>
      </c>
      <c r="B1871" t="s">
        <v>245</v>
      </c>
      <c r="C1871" t="s">
        <v>190</v>
      </c>
      <c r="D1871" t="s">
        <v>157</v>
      </c>
      <c r="E1871" s="34">
        <v>6000000</v>
      </c>
      <c r="F1871" s="29">
        <v>0.1031</v>
      </c>
      <c r="G1871" s="30">
        <v>44882</v>
      </c>
      <c r="H1871">
        <v>48</v>
      </c>
      <c r="I1871">
        <v>45</v>
      </c>
      <c r="J1871" s="34">
        <v>4560000</v>
      </c>
      <c r="K1871" t="s">
        <v>199</v>
      </c>
      <c r="L1871" s="34">
        <f>PMT(Loans[[#This Row],[InterestRate]]/12,Loans[[#This Row],[LoanTenureMonths]],-Loans[[#This Row],[LoanAmount]])</f>
        <v>153070.31018042358</v>
      </c>
      <c r="M1871" s="30">
        <f>EDATE(Loans[[#This Row],[LoanStartDate]],Loans[[#This Row],[LoanTenureMonths]])</f>
        <v>46343</v>
      </c>
      <c r="N1871" s="33">
        <f>IF(Loans[[#This Row],[LoanAmount]]=0,0,Loans[[#This Row],[CollateralValue]]/Loans[[#This Row],[LoanAmount]])</f>
        <v>0.76</v>
      </c>
      <c r="O1871" t="str">
        <f>IF(Loans[[#This Row],[CollateralCoverageRatio]]&lt;1,"Undersecured","Secured")</f>
        <v>Undersecured</v>
      </c>
      <c r="P1871" t="str">
        <f>_xlfn.XLOOKUP(Loans[[#This Row],[BranchCode]],BranchesTbl[BranchCode],BranchesTbl[BranchName])</f>
        <v>Nyeri</v>
      </c>
      <c r="Q1871">
        <f>_xlfn.XLOOKUP(Loans[[#This Row],[CustomerID]],CustomerTbl[CustomerID],CustomerTbl[RiskScore])</f>
        <v>763</v>
      </c>
      <c r="R1871" t="str">
        <f>IFERROR(INDEX(RiskTbl[Risk_Category],MATCH(Loans[[#This Row],[RiskScore]],RiskTbl[Score_Min],1)),"Unknown")</f>
        <v>Very Low Risk</v>
      </c>
      <c r="S1871" t="str">
        <f>IF(OR(Loans[[#This Row],[LoanStatus]]="Default",Loans[[#This Row],[LoanStatus]]="Watchlist",Loans[[#This Row],[CollateralRisk]]="Undersecured",Loans[[#This Row],[RiskCategory]]="High Risk"),"High Risk Exposure","Normal")</f>
        <v>High Risk Exposure</v>
      </c>
      <c r="T1871" t="str" cm="1">
        <f t="array" ref="T1871">_xlfn.IFS(
Loans[[#This Row],[LoanStatus]]="Default","Critical",
OR(Loans[[#This Row],[LoanStatus]]="Watchlist",Loans[[#This Row],[CollateralRisk]]="Undersecured",Loans[[#This Row],[RiskCategory]]="High Risk"),"High",
TRUE,"Normal"
)</f>
        <v>High</v>
      </c>
    </row>
    <row r="1872" spans="1:20" x14ac:dyDescent="0.35">
      <c r="A1872" t="s">
        <v>2700</v>
      </c>
      <c r="B1872" t="s">
        <v>738</v>
      </c>
      <c r="C1872" t="s">
        <v>181</v>
      </c>
      <c r="D1872" t="s">
        <v>155</v>
      </c>
      <c r="E1872" s="34">
        <v>1000000</v>
      </c>
      <c r="F1872" s="29">
        <v>0.17449999999999999</v>
      </c>
      <c r="G1872" s="30">
        <v>45563</v>
      </c>
      <c r="H1872">
        <v>36</v>
      </c>
      <c r="I1872">
        <v>0</v>
      </c>
      <c r="J1872" s="34">
        <v>0</v>
      </c>
      <c r="K1872" t="s">
        <v>171</v>
      </c>
      <c r="L1872" s="34">
        <f>PMT(Loans[[#This Row],[InterestRate]]/12,Loans[[#This Row],[LoanTenureMonths]],-Loans[[#This Row],[LoanAmount]])</f>
        <v>35877.087413345689</v>
      </c>
      <c r="M1872" s="30">
        <f>EDATE(Loans[[#This Row],[LoanStartDate]],Loans[[#This Row],[LoanTenureMonths]])</f>
        <v>46658</v>
      </c>
      <c r="N1872" s="33">
        <f>IF(Loans[[#This Row],[LoanAmount]]=0,0,Loans[[#This Row],[CollateralValue]]/Loans[[#This Row],[LoanAmount]])</f>
        <v>0</v>
      </c>
      <c r="O1872" t="str">
        <f>IF(Loans[[#This Row],[CollateralCoverageRatio]]&lt;1,"Undersecured","Secured")</f>
        <v>Undersecured</v>
      </c>
      <c r="P1872" t="str">
        <f>_xlfn.XLOOKUP(Loans[[#This Row],[BranchCode]],BranchesTbl[BranchCode],BranchesTbl[BranchName])</f>
        <v>Kitale</v>
      </c>
      <c r="Q1872">
        <f>_xlfn.XLOOKUP(Loans[[#This Row],[CustomerID]],CustomerTbl[CustomerID],CustomerTbl[RiskScore])</f>
        <v>654</v>
      </c>
      <c r="R1872" t="str">
        <f>IFERROR(INDEX(RiskTbl[Risk_Category],MATCH(Loans[[#This Row],[RiskScore]],RiskTbl[Score_Min],1)),"Unknown")</f>
        <v>Medium Risk</v>
      </c>
      <c r="S1872" t="str">
        <f>IF(OR(Loans[[#This Row],[LoanStatus]]="Default",Loans[[#This Row],[LoanStatus]]="Watchlist",Loans[[#This Row],[CollateralRisk]]="Undersecured",Loans[[#This Row],[RiskCategory]]="High Risk"),"High Risk Exposure","Normal")</f>
        <v>High Risk Exposure</v>
      </c>
      <c r="T1872" t="str" cm="1">
        <f t="array" ref="T1872">_xlfn.IFS(
Loans[[#This Row],[LoanStatus]]="Default","Critical",
OR(Loans[[#This Row],[LoanStatus]]="Watchlist",Loans[[#This Row],[CollateralRisk]]="Undersecured",Loans[[#This Row],[RiskCategory]]="High Risk"),"High",
TRUE,"Normal"
)</f>
        <v>High</v>
      </c>
    </row>
    <row r="1873" spans="1:20" x14ac:dyDescent="0.35">
      <c r="A1873" t="s">
        <v>2701</v>
      </c>
      <c r="B1873" t="s">
        <v>365</v>
      </c>
      <c r="C1873" t="s">
        <v>193</v>
      </c>
      <c r="D1873" t="s">
        <v>157</v>
      </c>
      <c r="E1873" s="34">
        <v>80000000</v>
      </c>
      <c r="F1873" s="29">
        <v>0.1227</v>
      </c>
      <c r="G1873" s="30">
        <v>44136</v>
      </c>
      <c r="H1873">
        <v>72</v>
      </c>
      <c r="I1873">
        <v>45</v>
      </c>
      <c r="J1873" s="34">
        <v>99200000</v>
      </c>
      <c r="K1873" t="s">
        <v>199</v>
      </c>
      <c r="L1873" s="34">
        <f>PMT(Loans[[#This Row],[InterestRate]]/12,Loans[[#This Row],[LoanTenureMonths]],-Loans[[#This Row],[LoanAmount]])</f>
        <v>1575270.6783509185</v>
      </c>
      <c r="M1873" s="30">
        <f>EDATE(Loans[[#This Row],[LoanStartDate]],Loans[[#This Row],[LoanTenureMonths]])</f>
        <v>46327</v>
      </c>
      <c r="N1873" s="33">
        <f>IF(Loans[[#This Row],[LoanAmount]]=0,0,Loans[[#This Row],[CollateralValue]]/Loans[[#This Row],[LoanAmount]])</f>
        <v>1.24</v>
      </c>
      <c r="O1873" t="str">
        <f>IF(Loans[[#This Row],[CollateralCoverageRatio]]&lt;1,"Undersecured","Secured")</f>
        <v>Secured</v>
      </c>
      <c r="P1873" t="str">
        <f>_xlfn.XLOOKUP(Loans[[#This Row],[BranchCode]],BranchesTbl[BranchCode],BranchesTbl[BranchName])</f>
        <v>Mombasa</v>
      </c>
      <c r="Q1873">
        <f>_xlfn.XLOOKUP(Loans[[#This Row],[CustomerID]],CustomerTbl[CustomerID],CustomerTbl[RiskScore])</f>
        <v>347</v>
      </c>
      <c r="R1873" t="str">
        <f>IFERROR(INDEX(RiskTbl[Risk_Category],MATCH(Loans[[#This Row],[RiskScore]],RiskTbl[Score_Min],1)),"Unknown")</f>
        <v>High Risk</v>
      </c>
      <c r="S1873" t="str">
        <f>IF(OR(Loans[[#This Row],[LoanStatus]]="Default",Loans[[#This Row],[LoanStatus]]="Watchlist",Loans[[#This Row],[CollateralRisk]]="Undersecured",Loans[[#This Row],[RiskCategory]]="High Risk"),"High Risk Exposure","Normal")</f>
        <v>High Risk Exposure</v>
      </c>
      <c r="T1873" t="str" cm="1">
        <f t="array" ref="T1873">_xlfn.IFS(
Loans[[#This Row],[LoanStatus]]="Default","Critical",
OR(Loans[[#This Row],[LoanStatus]]="Watchlist",Loans[[#This Row],[CollateralRisk]]="Undersecured",Loans[[#This Row],[RiskCategory]]="High Risk"),"High",
TRUE,"Normal"
)</f>
        <v>High</v>
      </c>
    </row>
    <row r="1874" spans="1:20" x14ac:dyDescent="0.35">
      <c r="A1874" t="s">
        <v>2702</v>
      </c>
      <c r="B1874" t="s">
        <v>526</v>
      </c>
      <c r="C1874" t="s">
        <v>206</v>
      </c>
      <c r="D1874" t="s">
        <v>156</v>
      </c>
      <c r="E1874" s="34">
        <v>1000000</v>
      </c>
      <c r="F1874" s="29">
        <v>0.17100000000000001</v>
      </c>
      <c r="G1874" s="30">
        <v>44546</v>
      </c>
      <c r="H1874">
        <v>72</v>
      </c>
      <c r="I1874">
        <v>0</v>
      </c>
      <c r="J1874" s="34">
        <v>1450000</v>
      </c>
      <c r="K1874" t="s">
        <v>171</v>
      </c>
      <c r="L1874" s="34">
        <f>PMT(Loans[[#This Row],[InterestRate]]/12,Loans[[#This Row],[LoanTenureMonths]],-Loans[[#This Row],[LoanAmount]])</f>
        <v>22301.967099899684</v>
      </c>
      <c r="M1874" s="30">
        <f>EDATE(Loans[[#This Row],[LoanStartDate]],Loans[[#This Row],[LoanTenureMonths]])</f>
        <v>46737</v>
      </c>
      <c r="N1874" s="33">
        <f>IF(Loans[[#This Row],[LoanAmount]]=0,0,Loans[[#This Row],[CollateralValue]]/Loans[[#This Row],[LoanAmount]])</f>
        <v>1.45</v>
      </c>
      <c r="O1874" t="str">
        <f>IF(Loans[[#This Row],[CollateralCoverageRatio]]&lt;1,"Undersecured","Secured")</f>
        <v>Secured</v>
      </c>
      <c r="P1874" t="str">
        <f>_xlfn.XLOOKUP(Loans[[#This Row],[BranchCode]],BranchesTbl[BranchCode],BranchesTbl[BranchName])</f>
        <v>Nyahururu</v>
      </c>
      <c r="Q1874">
        <f>_xlfn.XLOOKUP(Loans[[#This Row],[CustomerID]],CustomerTbl[CustomerID],CustomerTbl[RiskScore])</f>
        <v>467</v>
      </c>
      <c r="R1874" t="str">
        <f>IFERROR(INDEX(RiskTbl[Risk_Category],MATCH(Loans[[#This Row],[RiskScore]],RiskTbl[Score_Min],1)),"Unknown")</f>
        <v>High Risk</v>
      </c>
      <c r="S1874" t="str">
        <f>IF(OR(Loans[[#This Row],[LoanStatus]]="Default",Loans[[#This Row],[LoanStatus]]="Watchlist",Loans[[#This Row],[CollateralRisk]]="Undersecured",Loans[[#This Row],[RiskCategory]]="High Risk"),"High Risk Exposure","Normal")</f>
        <v>High Risk Exposure</v>
      </c>
      <c r="T1874" t="str" cm="1">
        <f t="array" ref="T1874">_xlfn.IFS(
Loans[[#This Row],[LoanStatus]]="Default","Critical",
OR(Loans[[#This Row],[LoanStatus]]="Watchlist",Loans[[#This Row],[CollateralRisk]]="Undersecured",Loans[[#This Row],[RiskCategory]]="High Risk"),"High",
TRUE,"Normal"
)</f>
        <v>High</v>
      </c>
    </row>
    <row r="1875" spans="1:20" x14ac:dyDescent="0.35">
      <c r="A1875" t="s">
        <v>2703</v>
      </c>
      <c r="B1875" t="s">
        <v>310</v>
      </c>
      <c r="C1875" t="s">
        <v>177</v>
      </c>
      <c r="D1875" t="s">
        <v>158</v>
      </c>
      <c r="E1875" s="34">
        <v>3000000</v>
      </c>
      <c r="F1875" s="29">
        <v>0.1366</v>
      </c>
      <c r="G1875" s="30">
        <v>44241</v>
      </c>
      <c r="H1875">
        <v>24</v>
      </c>
      <c r="I1875">
        <v>90</v>
      </c>
      <c r="J1875" s="34">
        <v>3150000</v>
      </c>
      <c r="K1875" t="s">
        <v>199</v>
      </c>
      <c r="L1875" s="34">
        <f>PMT(Loans[[#This Row],[InterestRate]]/12,Loans[[#This Row],[LoanTenureMonths]],-Loans[[#This Row],[LoanAmount]])</f>
        <v>143557.25676550926</v>
      </c>
      <c r="M1875" s="30">
        <f>EDATE(Loans[[#This Row],[LoanStartDate]],Loans[[#This Row],[LoanTenureMonths]])</f>
        <v>44971</v>
      </c>
      <c r="N1875" s="33">
        <f>IF(Loans[[#This Row],[LoanAmount]]=0,0,Loans[[#This Row],[CollateralValue]]/Loans[[#This Row],[LoanAmount]])</f>
        <v>1.05</v>
      </c>
      <c r="O1875" t="str">
        <f>IF(Loans[[#This Row],[CollateralCoverageRatio]]&lt;1,"Undersecured","Secured")</f>
        <v>Secured</v>
      </c>
      <c r="P1875" t="str">
        <f>_xlfn.XLOOKUP(Loans[[#This Row],[BranchCode]],BranchesTbl[BranchCode],BranchesTbl[BranchName])</f>
        <v>Naivasha</v>
      </c>
      <c r="Q1875">
        <f>_xlfn.XLOOKUP(Loans[[#This Row],[CustomerID]],CustomerTbl[CustomerID],CustomerTbl[RiskScore])</f>
        <v>681</v>
      </c>
      <c r="R1875" t="str">
        <f>IFERROR(INDEX(RiskTbl[Risk_Category],MATCH(Loans[[#This Row],[RiskScore]],RiskTbl[Score_Min],1)),"Unknown")</f>
        <v>Low Risk</v>
      </c>
      <c r="S1875" t="str">
        <f>IF(OR(Loans[[#This Row],[LoanStatus]]="Default",Loans[[#This Row],[LoanStatus]]="Watchlist",Loans[[#This Row],[CollateralRisk]]="Undersecured",Loans[[#This Row],[RiskCategory]]="High Risk"),"High Risk Exposure","Normal")</f>
        <v>High Risk Exposure</v>
      </c>
      <c r="T1875" t="str" cm="1">
        <f t="array" ref="T1875">_xlfn.IFS(
Loans[[#This Row],[LoanStatus]]="Default","Critical",
OR(Loans[[#This Row],[LoanStatus]]="Watchlist",Loans[[#This Row],[CollateralRisk]]="Undersecured",Loans[[#This Row],[RiskCategory]]="High Risk"),"High",
TRUE,"Normal"
)</f>
        <v>High</v>
      </c>
    </row>
    <row r="1876" spans="1:20" x14ac:dyDescent="0.35">
      <c r="A1876" t="s">
        <v>2704</v>
      </c>
      <c r="B1876" t="s">
        <v>1567</v>
      </c>
      <c r="C1876" t="s">
        <v>206</v>
      </c>
      <c r="D1876" t="s">
        <v>158</v>
      </c>
      <c r="E1876" s="34">
        <v>6000000</v>
      </c>
      <c r="F1876" s="29">
        <v>0.16289999999999999</v>
      </c>
      <c r="G1876" s="30">
        <v>45703</v>
      </c>
      <c r="H1876">
        <v>24</v>
      </c>
      <c r="I1876">
        <v>120</v>
      </c>
      <c r="J1876" s="34">
        <v>7680000</v>
      </c>
      <c r="K1876" t="s">
        <v>178</v>
      </c>
      <c r="L1876" s="34">
        <f>PMT(Loans[[#This Row],[InterestRate]]/12,Loans[[#This Row],[LoanTenureMonths]],-Loans[[#This Row],[LoanAmount]])</f>
        <v>294610.72980312479</v>
      </c>
      <c r="M1876" s="30">
        <f>EDATE(Loans[[#This Row],[LoanStartDate]],Loans[[#This Row],[LoanTenureMonths]])</f>
        <v>46433</v>
      </c>
      <c r="N1876" s="33">
        <f>IF(Loans[[#This Row],[LoanAmount]]=0,0,Loans[[#This Row],[CollateralValue]]/Loans[[#This Row],[LoanAmount]])</f>
        <v>1.28</v>
      </c>
      <c r="O1876" t="str">
        <f>IF(Loans[[#This Row],[CollateralCoverageRatio]]&lt;1,"Undersecured","Secured")</f>
        <v>Secured</v>
      </c>
      <c r="P1876" t="str">
        <f>_xlfn.XLOOKUP(Loans[[#This Row],[BranchCode]],BranchesTbl[BranchCode],BranchesTbl[BranchName])</f>
        <v>Nyahururu</v>
      </c>
      <c r="Q1876">
        <f>_xlfn.XLOOKUP(Loans[[#This Row],[CustomerID]],CustomerTbl[CustomerID],CustomerTbl[RiskScore])</f>
        <v>502</v>
      </c>
      <c r="R1876" t="str">
        <f>IFERROR(INDEX(RiskTbl[Risk_Category],MATCH(Loans[[#This Row],[RiskScore]],RiskTbl[Score_Min],1)),"Unknown")</f>
        <v>High Risk</v>
      </c>
      <c r="S1876" t="str">
        <f>IF(OR(Loans[[#This Row],[LoanStatus]]="Default",Loans[[#This Row],[LoanStatus]]="Watchlist",Loans[[#This Row],[CollateralRisk]]="Undersecured",Loans[[#This Row],[RiskCategory]]="High Risk"),"High Risk Exposure","Normal")</f>
        <v>High Risk Exposure</v>
      </c>
      <c r="T1876" t="str" cm="1">
        <f t="array" ref="T1876">_xlfn.IFS(
Loans[[#This Row],[LoanStatus]]="Default","Critical",
OR(Loans[[#This Row],[LoanStatus]]="Watchlist",Loans[[#This Row],[CollateralRisk]]="Undersecured",Loans[[#This Row],[RiskCategory]]="High Risk"),"High",
TRUE,"Normal"
)</f>
        <v>Critical</v>
      </c>
    </row>
    <row r="1877" spans="1:20" x14ac:dyDescent="0.35">
      <c r="A1877" t="s">
        <v>2705</v>
      </c>
      <c r="B1877" t="s">
        <v>694</v>
      </c>
      <c r="C1877" t="s">
        <v>190</v>
      </c>
      <c r="D1877" t="s">
        <v>157</v>
      </c>
      <c r="E1877" s="34">
        <v>80000000</v>
      </c>
      <c r="F1877" s="29">
        <v>0.1346</v>
      </c>
      <c r="G1877" s="30">
        <v>45155</v>
      </c>
      <c r="H1877">
        <v>48</v>
      </c>
      <c r="I1877">
        <v>10</v>
      </c>
      <c r="J1877" s="34">
        <v>97600000</v>
      </c>
      <c r="K1877" t="s">
        <v>171</v>
      </c>
      <c r="L1877" s="34">
        <f>PMT(Loans[[#This Row],[InterestRate]]/12,Loans[[#This Row],[LoanTenureMonths]],-Loans[[#This Row],[LoanAmount]])</f>
        <v>2164509.4341028002</v>
      </c>
      <c r="M1877" s="30">
        <f>EDATE(Loans[[#This Row],[LoanStartDate]],Loans[[#This Row],[LoanTenureMonths]])</f>
        <v>46616</v>
      </c>
      <c r="N1877" s="33">
        <f>IF(Loans[[#This Row],[LoanAmount]]=0,0,Loans[[#This Row],[CollateralValue]]/Loans[[#This Row],[LoanAmount]])</f>
        <v>1.22</v>
      </c>
      <c r="O1877" t="str">
        <f>IF(Loans[[#This Row],[CollateralCoverageRatio]]&lt;1,"Undersecured","Secured")</f>
        <v>Secured</v>
      </c>
      <c r="P1877" t="str">
        <f>_xlfn.XLOOKUP(Loans[[#This Row],[BranchCode]],BranchesTbl[BranchCode],BranchesTbl[BranchName])</f>
        <v>Nyeri</v>
      </c>
      <c r="Q1877">
        <f>_xlfn.XLOOKUP(Loans[[#This Row],[CustomerID]],CustomerTbl[CustomerID],CustomerTbl[RiskScore])</f>
        <v>828</v>
      </c>
      <c r="R1877" t="str">
        <f>IFERROR(INDEX(RiskTbl[Risk_Category],MATCH(Loans[[#This Row],[RiskScore]],RiskTbl[Score_Min],1)),"Unknown")</f>
        <v>Prime</v>
      </c>
      <c r="S1877" t="str">
        <f>IF(OR(Loans[[#This Row],[LoanStatus]]="Default",Loans[[#This Row],[LoanStatus]]="Watchlist",Loans[[#This Row],[CollateralRisk]]="Undersecured",Loans[[#This Row],[RiskCategory]]="High Risk"),"High Risk Exposure","Normal")</f>
        <v>Normal</v>
      </c>
      <c r="T1877" t="str" cm="1">
        <f t="array" ref="T1877">_xlfn.IFS(
Loans[[#This Row],[LoanStatus]]="Default","Critical",
OR(Loans[[#This Row],[LoanStatus]]="Watchlist",Loans[[#This Row],[CollateralRisk]]="Undersecured",Loans[[#This Row],[RiskCategory]]="High Risk"),"High",
TRUE,"Normal"
)</f>
        <v>Normal</v>
      </c>
    </row>
    <row r="1878" spans="1:20" x14ac:dyDescent="0.35">
      <c r="A1878" t="s">
        <v>2706</v>
      </c>
      <c r="B1878" t="s">
        <v>1873</v>
      </c>
      <c r="C1878" t="s">
        <v>219</v>
      </c>
      <c r="D1878" t="s">
        <v>155</v>
      </c>
      <c r="E1878" s="34">
        <v>100000</v>
      </c>
      <c r="F1878" s="29">
        <v>0.1978</v>
      </c>
      <c r="G1878" s="30">
        <v>45093</v>
      </c>
      <c r="H1878">
        <v>48</v>
      </c>
      <c r="I1878">
        <v>0</v>
      </c>
      <c r="J1878" s="34">
        <v>0</v>
      </c>
      <c r="K1878" t="s">
        <v>171</v>
      </c>
      <c r="L1878" s="34">
        <f>PMT(Loans[[#This Row],[InterestRate]]/12,Loans[[#This Row],[LoanTenureMonths]],-Loans[[#This Row],[LoanAmount]])</f>
        <v>3031.3270731559292</v>
      </c>
      <c r="M1878" s="30">
        <f>EDATE(Loans[[#This Row],[LoanStartDate]],Loans[[#This Row],[LoanTenureMonths]])</f>
        <v>46554</v>
      </c>
      <c r="N1878" s="33">
        <f>IF(Loans[[#This Row],[LoanAmount]]=0,0,Loans[[#This Row],[CollateralValue]]/Loans[[#This Row],[LoanAmount]])</f>
        <v>0</v>
      </c>
      <c r="O1878" t="str">
        <f>IF(Loans[[#This Row],[CollateralCoverageRatio]]&lt;1,"Undersecured","Secured")</f>
        <v>Undersecured</v>
      </c>
      <c r="P1878" t="str">
        <f>_xlfn.XLOOKUP(Loans[[#This Row],[BranchCode]],BranchesTbl[BranchCode],BranchesTbl[BranchName])</f>
        <v>Meru</v>
      </c>
      <c r="Q1878">
        <f>_xlfn.XLOOKUP(Loans[[#This Row],[CustomerID]],CustomerTbl[CustomerID],CustomerTbl[RiskScore])</f>
        <v>389</v>
      </c>
      <c r="R1878" t="str">
        <f>IFERROR(INDEX(RiskTbl[Risk_Category],MATCH(Loans[[#This Row],[RiskScore]],RiskTbl[Score_Min],1)),"Unknown")</f>
        <v>High Risk</v>
      </c>
      <c r="S1878" t="str">
        <f>IF(OR(Loans[[#This Row],[LoanStatus]]="Default",Loans[[#This Row],[LoanStatus]]="Watchlist",Loans[[#This Row],[CollateralRisk]]="Undersecured",Loans[[#This Row],[RiskCategory]]="High Risk"),"High Risk Exposure","Normal")</f>
        <v>High Risk Exposure</v>
      </c>
      <c r="T1878" t="str" cm="1">
        <f t="array" ref="T1878">_xlfn.IFS(
Loans[[#This Row],[LoanStatus]]="Default","Critical",
OR(Loans[[#This Row],[LoanStatus]]="Watchlist",Loans[[#This Row],[CollateralRisk]]="Undersecured",Loans[[#This Row],[RiskCategory]]="High Risk"),"High",
TRUE,"Normal"
)</f>
        <v>High</v>
      </c>
    </row>
    <row r="1879" spans="1:20" x14ac:dyDescent="0.35">
      <c r="A1879" t="s">
        <v>2707</v>
      </c>
      <c r="B1879" t="s">
        <v>1878</v>
      </c>
      <c r="C1879" t="s">
        <v>196</v>
      </c>
      <c r="D1879" t="s">
        <v>156</v>
      </c>
      <c r="E1879" s="34">
        <v>1000000</v>
      </c>
      <c r="F1879" s="29">
        <v>0.21529999999999999</v>
      </c>
      <c r="G1879" s="30">
        <v>44015</v>
      </c>
      <c r="H1879">
        <v>60</v>
      </c>
      <c r="I1879">
        <v>45</v>
      </c>
      <c r="J1879" s="34">
        <v>780000</v>
      </c>
      <c r="K1879" t="s">
        <v>199</v>
      </c>
      <c r="L1879" s="34">
        <f>PMT(Loans[[#This Row],[InterestRate]]/12,Loans[[#This Row],[LoanTenureMonths]],-Loans[[#This Row],[LoanAmount]])</f>
        <v>27352.350063257021</v>
      </c>
      <c r="M1879" s="30">
        <f>EDATE(Loans[[#This Row],[LoanStartDate]],Loans[[#This Row],[LoanTenureMonths]])</f>
        <v>45841</v>
      </c>
      <c r="N1879" s="33">
        <f>IF(Loans[[#This Row],[LoanAmount]]=0,0,Loans[[#This Row],[CollateralValue]]/Loans[[#This Row],[LoanAmount]])</f>
        <v>0.78</v>
      </c>
      <c r="O1879" t="str">
        <f>IF(Loans[[#This Row],[CollateralCoverageRatio]]&lt;1,"Undersecured","Secured")</f>
        <v>Undersecured</v>
      </c>
      <c r="P1879" t="str">
        <f>_xlfn.XLOOKUP(Loans[[#This Row],[BranchCode]],BranchesTbl[BranchCode],BranchesTbl[BranchName])</f>
        <v>Karen</v>
      </c>
      <c r="Q1879">
        <f>_xlfn.XLOOKUP(Loans[[#This Row],[CustomerID]],CustomerTbl[CustomerID],CustomerTbl[RiskScore])</f>
        <v>444</v>
      </c>
      <c r="R1879" t="str">
        <f>IFERROR(INDEX(RiskTbl[Risk_Category],MATCH(Loans[[#This Row],[RiskScore]],RiskTbl[Score_Min],1)),"Unknown")</f>
        <v>High Risk</v>
      </c>
      <c r="S1879" t="str">
        <f>IF(OR(Loans[[#This Row],[LoanStatus]]="Default",Loans[[#This Row],[LoanStatus]]="Watchlist",Loans[[#This Row],[CollateralRisk]]="Undersecured",Loans[[#This Row],[RiskCategory]]="High Risk"),"High Risk Exposure","Normal")</f>
        <v>High Risk Exposure</v>
      </c>
      <c r="T1879" t="str" cm="1">
        <f t="array" ref="T1879">_xlfn.IFS(
Loans[[#This Row],[LoanStatus]]="Default","Critical",
OR(Loans[[#This Row],[LoanStatus]]="Watchlist",Loans[[#This Row],[CollateralRisk]]="Undersecured",Loans[[#This Row],[RiskCategory]]="High Risk"),"High",
TRUE,"Normal"
)</f>
        <v>High</v>
      </c>
    </row>
    <row r="1880" spans="1:20" x14ac:dyDescent="0.35">
      <c r="A1880" t="s">
        <v>2708</v>
      </c>
      <c r="B1880" t="s">
        <v>457</v>
      </c>
      <c r="C1880" t="s">
        <v>177</v>
      </c>
      <c r="D1880" t="s">
        <v>155</v>
      </c>
      <c r="E1880" s="34">
        <v>250000</v>
      </c>
      <c r="F1880" s="29">
        <v>0.24129999999999999</v>
      </c>
      <c r="G1880" s="30">
        <v>45758</v>
      </c>
      <c r="H1880">
        <v>60</v>
      </c>
      <c r="I1880">
        <v>5</v>
      </c>
      <c r="J1880" s="34">
        <v>0</v>
      </c>
      <c r="K1880" t="s">
        <v>171</v>
      </c>
      <c r="L1880" s="34">
        <f>PMT(Loans[[#This Row],[InterestRate]]/12,Loans[[#This Row],[LoanTenureMonths]],-Loans[[#This Row],[LoanAmount]])</f>
        <v>7210.8680840251054</v>
      </c>
      <c r="M1880" s="30">
        <f>EDATE(Loans[[#This Row],[LoanStartDate]],Loans[[#This Row],[LoanTenureMonths]])</f>
        <v>47584</v>
      </c>
      <c r="N1880" s="33">
        <f>IF(Loans[[#This Row],[LoanAmount]]=0,0,Loans[[#This Row],[CollateralValue]]/Loans[[#This Row],[LoanAmount]])</f>
        <v>0</v>
      </c>
      <c r="O1880" t="str">
        <f>IF(Loans[[#This Row],[CollateralCoverageRatio]]&lt;1,"Undersecured","Secured")</f>
        <v>Undersecured</v>
      </c>
      <c r="P1880" t="str">
        <f>_xlfn.XLOOKUP(Loans[[#This Row],[BranchCode]],BranchesTbl[BranchCode],BranchesTbl[BranchName])</f>
        <v>Naivasha</v>
      </c>
      <c r="Q1880">
        <f>_xlfn.XLOOKUP(Loans[[#This Row],[CustomerID]],CustomerTbl[CustomerID],CustomerTbl[RiskScore])</f>
        <v>802</v>
      </c>
      <c r="R1880" t="str">
        <f>IFERROR(INDEX(RiskTbl[Risk_Category],MATCH(Loans[[#This Row],[RiskScore]],RiskTbl[Score_Min],1)),"Unknown")</f>
        <v>Prime</v>
      </c>
      <c r="S1880" t="str">
        <f>IF(OR(Loans[[#This Row],[LoanStatus]]="Default",Loans[[#This Row],[LoanStatus]]="Watchlist",Loans[[#This Row],[CollateralRisk]]="Undersecured",Loans[[#This Row],[RiskCategory]]="High Risk"),"High Risk Exposure","Normal")</f>
        <v>High Risk Exposure</v>
      </c>
      <c r="T1880" t="str" cm="1">
        <f t="array" ref="T1880">_xlfn.IFS(
Loans[[#This Row],[LoanStatus]]="Default","Critical",
OR(Loans[[#This Row],[LoanStatus]]="Watchlist",Loans[[#This Row],[CollateralRisk]]="Undersecured",Loans[[#This Row],[RiskCategory]]="High Risk"),"High",
TRUE,"Normal"
)</f>
        <v>High</v>
      </c>
    </row>
    <row r="1881" spans="1:20" x14ac:dyDescent="0.35">
      <c r="A1881" t="s">
        <v>2709</v>
      </c>
      <c r="B1881" t="s">
        <v>2710</v>
      </c>
      <c r="C1881" t="s">
        <v>174</v>
      </c>
      <c r="D1881" t="s">
        <v>156</v>
      </c>
      <c r="E1881" s="34">
        <v>3000000</v>
      </c>
      <c r="F1881" s="29">
        <v>0.16309999999999999</v>
      </c>
      <c r="G1881" s="30">
        <v>44520</v>
      </c>
      <c r="H1881">
        <v>24</v>
      </c>
      <c r="I1881">
        <v>20</v>
      </c>
      <c r="J1881" s="34">
        <v>3870000</v>
      </c>
      <c r="K1881" t="s">
        <v>171</v>
      </c>
      <c r="L1881" s="34">
        <f>PMT(Loans[[#This Row],[InterestRate]]/12,Loans[[#This Row],[LoanTenureMonths]],-Loans[[#This Row],[LoanAmount]])</f>
        <v>147334.08187151633</v>
      </c>
      <c r="M1881" s="30">
        <f>EDATE(Loans[[#This Row],[LoanStartDate]],Loans[[#This Row],[LoanTenureMonths]])</f>
        <v>45250</v>
      </c>
      <c r="N1881" s="33">
        <f>IF(Loans[[#This Row],[LoanAmount]]=0,0,Loans[[#This Row],[CollateralValue]]/Loans[[#This Row],[LoanAmount]])</f>
        <v>1.29</v>
      </c>
      <c r="O1881" t="str">
        <f>IF(Loans[[#This Row],[CollateralCoverageRatio]]&lt;1,"Undersecured","Secured")</f>
        <v>Secured</v>
      </c>
      <c r="P1881" t="str">
        <f>_xlfn.XLOOKUP(Loans[[#This Row],[BranchCode]],BranchesTbl[BranchCode],BranchesTbl[BranchName])</f>
        <v>Westlands</v>
      </c>
      <c r="Q1881">
        <f>_xlfn.XLOOKUP(Loans[[#This Row],[CustomerID]],CustomerTbl[CustomerID],CustomerTbl[RiskScore])</f>
        <v>712</v>
      </c>
      <c r="R1881" t="str">
        <f>IFERROR(INDEX(RiskTbl[Risk_Category],MATCH(Loans[[#This Row],[RiskScore]],RiskTbl[Score_Min],1)),"Unknown")</f>
        <v>Low Risk</v>
      </c>
      <c r="S1881" t="str">
        <f>IF(OR(Loans[[#This Row],[LoanStatus]]="Default",Loans[[#This Row],[LoanStatus]]="Watchlist",Loans[[#This Row],[CollateralRisk]]="Undersecured",Loans[[#This Row],[RiskCategory]]="High Risk"),"High Risk Exposure","Normal")</f>
        <v>Normal</v>
      </c>
      <c r="T1881" t="str" cm="1">
        <f t="array" ref="T1881">_xlfn.IFS(
Loans[[#This Row],[LoanStatus]]="Default","Critical",
OR(Loans[[#This Row],[LoanStatus]]="Watchlist",Loans[[#This Row],[CollateralRisk]]="Undersecured",Loans[[#This Row],[RiskCategory]]="High Risk"),"High",
TRUE,"Normal"
)</f>
        <v>Normal</v>
      </c>
    </row>
    <row r="1882" spans="1:20" x14ac:dyDescent="0.35">
      <c r="A1882" t="s">
        <v>2711</v>
      </c>
      <c r="B1882" t="s">
        <v>659</v>
      </c>
      <c r="C1882" t="s">
        <v>270</v>
      </c>
      <c r="D1882" t="s">
        <v>158</v>
      </c>
      <c r="E1882" s="34">
        <v>3000000</v>
      </c>
      <c r="F1882" s="29">
        <v>0.1817</v>
      </c>
      <c r="G1882" s="30">
        <v>45674</v>
      </c>
      <c r="H1882">
        <v>24</v>
      </c>
      <c r="I1882">
        <v>90</v>
      </c>
      <c r="J1882" s="34">
        <v>2460000</v>
      </c>
      <c r="K1882" t="s">
        <v>199</v>
      </c>
      <c r="L1882" s="34">
        <f>PMT(Loans[[#This Row],[InterestRate]]/12,Loans[[#This Row],[LoanTenureMonths]],-Loans[[#This Row],[LoanAmount]])</f>
        <v>150018.84260013676</v>
      </c>
      <c r="M1882" s="30">
        <f>EDATE(Loans[[#This Row],[LoanStartDate]],Loans[[#This Row],[LoanTenureMonths]])</f>
        <v>46404</v>
      </c>
      <c r="N1882" s="33">
        <f>IF(Loans[[#This Row],[LoanAmount]]=0,0,Loans[[#This Row],[CollateralValue]]/Loans[[#This Row],[LoanAmount]])</f>
        <v>0.82</v>
      </c>
      <c r="O1882" t="str">
        <f>IF(Loans[[#This Row],[CollateralCoverageRatio]]&lt;1,"Undersecured","Secured")</f>
        <v>Undersecured</v>
      </c>
      <c r="P1882" t="str">
        <f>_xlfn.XLOOKUP(Loans[[#This Row],[BranchCode]],BranchesTbl[BranchCode],BranchesTbl[BranchName])</f>
        <v>Nakuru</v>
      </c>
      <c r="Q1882">
        <f>_xlfn.XLOOKUP(Loans[[#This Row],[CustomerID]],CustomerTbl[CustomerID],CustomerTbl[RiskScore])</f>
        <v>320</v>
      </c>
      <c r="R1882" t="str">
        <f>IFERROR(INDEX(RiskTbl[Risk_Category],MATCH(Loans[[#This Row],[RiskScore]],RiskTbl[Score_Min],1)),"Unknown")</f>
        <v>High Risk</v>
      </c>
      <c r="S1882" t="str">
        <f>IF(OR(Loans[[#This Row],[LoanStatus]]="Default",Loans[[#This Row],[LoanStatus]]="Watchlist",Loans[[#This Row],[CollateralRisk]]="Undersecured",Loans[[#This Row],[RiskCategory]]="High Risk"),"High Risk Exposure","Normal")</f>
        <v>High Risk Exposure</v>
      </c>
      <c r="T1882" t="str" cm="1">
        <f t="array" ref="T1882">_xlfn.IFS(
Loans[[#This Row],[LoanStatus]]="Default","Critical",
OR(Loans[[#This Row],[LoanStatus]]="Watchlist",Loans[[#This Row],[CollateralRisk]]="Undersecured",Loans[[#This Row],[RiskCategory]]="High Risk"),"High",
TRUE,"Normal"
)</f>
        <v>High</v>
      </c>
    </row>
    <row r="1883" spans="1:20" x14ac:dyDescent="0.35">
      <c r="A1883" t="s">
        <v>2712</v>
      </c>
      <c r="B1883" t="s">
        <v>1123</v>
      </c>
      <c r="C1883" t="s">
        <v>170</v>
      </c>
      <c r="D1883" t="s">
        <v>155</v>
      </c>
      <c r="E1883" s="34">
        <v>500000</v>
      </c>
      <c r="F1883" s="29">
        <v>0.16450000000000001</v>
      </c>
      <c r="G1883" s="30">
        <v>45813</v>
      </c>
      <c r="H1883">
        <v>12</v>
      </c>
      <c r="I1883">
        <v>10</v>
      </c>
      <c r="J1883" s="34">
        <v>0</v>
      </c>
      <c r="K1883" t="s">
        <v>171</v>
      </c>
      <c r="L1883" s="34">
        <f>PMT(Loans[[#This Row],[InterestRate]]/12,Loans[[#This Row],[LoanTenureMonths]],-Loans[[#This Row],[LoanAmount]])</f>
        <v>45471.971740239089</v>
      </c>
      <c r="M1883" s="30">
        <f>EDATE(Loans[[#This Row],[LoanStartDate]],Loans[[#This Row],[LoanTenureMonths]])</f>
        <v>46178</v>
      </c>
      <c r="N1883" s="33">
        <f>IF(Loans[[#This Row],[LoanAmount]]=0,0,Loans[[#This Row],[CollateralValue]]/Loans[[#This Row],[LoanAmount]])</f>
        <v>0</v>
      </c>
      <c r="O1883" t="str">
        <f>IF(Loans[[#This Row],[CollateralCoverageRatio]]&lt;1,"Undersecured","Secured")</f>
        <v>Undersecured</v>
      </c>
      <c r="P1883" t="str">
        <f>_xlfn.XLOOKUP(Loans[[#This Row],[BranchCode]],BranchesTbl[BranchCode],BranchesTbl[BranchName])</f>
        <v>Thika</v>
      </c>
      <c r="Q1883">
        <f>_xlfn.XLOOKUP(Loans[[#This Row],[CustomerID]],CustomerTbl[CustomerID],CustomerTbl[RiskScore])</f>
        <v>545</v>
      </c>
      <c r="R1883" t="str">
        <f>IFERROR(INDEX(RiskTbl[Risk_Category],MATCH(Loans[[#This Row],[RiskScore]],RiskTbl[Score_Min],1)),"Unknown")</f>
        <v>High Risk</v>
      </c>
      <c r="S1883" t="str">
        <f>IF(OR(Loans[[#This Row],[LoanStatus]]="Default",Loans[[#This Row],[LoanStatus]]="Watchlist",Loans[[#This Row],[CollateralRisk]]="Undersecured",Loans[[#This Row],[RiskCategory]]="High Risk"),"High Risk Exposure","Normal")</f>
        <v>High Risk Exposure</v>
      </c>
      <c r="T1883" t="str" cm="1">
        <f t="array" ref="T1883">_xlfn.IFS(
Loans[[#This Row],[LoanStatus]]="Default","Critical",
OR(Loans[[#This Row],[LoanStatus]]="Watchlist",Loans[[#This Row],[CollateralRisk]]="Undersecured",Loans[[#This Row],[RiskCategory]]="High Risk"),"High",
TRUE,"Normal"
)</f>
        <v>High</v>
      </c>
    </row>
    <row r="1884" spans="1:20" x14ac:dyDescent="0.35">
      <c r="A1884" t="s">
        <v>2713</v>
      </c>
      <c r="B1884" t="s">
        <v>738</v>
      </c>
      <c r="C1884" t="s">
        <v>170</v>
      </c>
      <c r="D1884" t="s">
        <v>156</v>
      </c>
      <c r="E1884" s="34">
        <v>3000000</v>
      </c>
      <c r="F1884" s="29">
        <v>0.1401</v>
      </c>
      <c r="G1884" s="30">
        <v>45699</v>
      </c>
      <c r="H1884">
        <v>36</v>
      </c>
      <c r="I1884">
        <v>0</v>
      </c>
      <c r="J1884" s="34">
        <v>1890000</v>
      </c>
      <c r="K1884" t="s">
        <v>171</v>
      </c>
      <c r="L1884" s="34">
        <f>PMT(Loans[[#This Row],[InterestRate]]/12,Loans[[#This Row],[LoanTenureMonths]],-Loans[[#This Row],[LoanAmount]])</f>
        <v>102547.46059919546</v>
      </c>
      <c r="M1884" s="30">
        <f>EDATE(Loans[[#This Row],[LoanStartDate]],Loans[[#This Row],[LoanTenureMonths]])</f>
        <v>46794</v>
      </c>
      <c r="N1884" s="33">
        <f>IF(Loans[[#This Row],[LoanAmount]]=0,0,Loans[[#This Row],[CollateralValue]]/Loans[[#This Row],[LoanAmount]])</f>
        <v>0.63</v>
      </c>
      <c r="O1884" t="str">
        <f>IF(Loans[[#This Row],[CollateralCoverageRatio]]&lt;1,"Undersecured","Secured")</f>
        <v>Undersecured</v>
      </c>
      <c r="P1884" t="str">
        <f>_xlfn.XLOOKUP(Loans[[#This Row],[BranchCode]],BranchesTbl[BranchCode],BranchesTbl[BranchName])</f>
        <v>Thika</v>
      </c>
      <c r="Q1884">
        <f>_xlfn.XLOOKUP(Loans[[#This Row],[CustomerID]],CustomerTbl[CustomerID],CustomerTbl[RiskScore])</f>
        <v>654</v>
      </c>
      <c r="R1884" t="str">
        <f>IFERROR(INDEX(RiskTbl[Risk_Category],MATCH(Loans[[#This Row],[RiskScore]],RiskTbl[Score_Min],1)),"Unknown")</f>
        <v>Medium Risk</v>
      </c>
      <c r="S1884" t="str">
        <f>IF(OR(Loans[[#This Row],[LoanStatus]]="Default",Loans[[#This Row],[LoanStatus]]="Watchlist",Loans[[#This Row],[CollateralRisk]]="Undersecured",Loans[[#This Row],[RiskCategory]]="High Risk"),"High Risk Exposure","Normal")</f>
        <v>High Risk Exposure</v>
      </c>
      <c r="T1884" t="str" cm="1">
        <f t="array" ref="T1884">_xlfn.IFS(
Loans[[#This Row],[LoanStatus]]="Default","Critical",
OR(Loans[[#This Row],[LoanStatus]]="Watchlist",Loans[[#This Row],[CollateralRisk]]="Undersecured",Loans[[#This Row],[RiskCategory]]="High Risk"),"High",
TRUE,"Normal"
)</f>
        <v>High</v>
      </c>
    </row>
    <row r="1885" spans="1:20" x14ac:dyDescent="0.35">
      <c r="A1885" t="s">
        <v>2714</v>
      </c>
      <c r="B1885" t="s">
        <v>355</v>
      </c>
      <c r="C1885" t="s">
        <v>190</v>
      </c>
      <c r="D1885" t="s">
        <v>155</v>
      </c>
      <c r="E1885" s="34">
        <v>500000</v>
      </c>
      <c r="F1885" s="29">
        <v>0.16889999999999999</v>
      </c>
      <c r="G1885" s="30">
        <v>44429</v>
      </c>
      <c r="H1885">
        <v>60</v>
      </c>
      <c r="I1885">
        <v>0</v>
      </c>
      <c r="J1885" s="34">
        <v>0</v>
      </c>
      <c r="K1885" t="s">
        <v>171</v>
      </c>
      <c r="L1885" s="34">
        <f>PMT(Loans[[#This Row],[InterestRate]]/12,Loans[[#This Row],[LoanTenureMonths]],-Loans[[#This Row],[LoanAmount]])</f>
        <v>12396.733816400778</v>
      </c>
      <c r="M1885" s="30">
        <f>EDATE(Loans[[#This Row],[LoanStartDate]],Loans[[#This Row],[LoanTenureMonths]])</f>
        <v>46255</v>
      </c>
      <c r="N1885" s="33">
        <f>IF(Loans[[#This Row],[LoanAmount]]=0,0,Loans[[#This Row],[CollateralValue]]/Loans[[#This Row],[LoanAmount]])</f>
        <v>0</v>
      </c>
      <c r="O1885" t="str">
        <f>IF(Loans[[#This Row],[CollateralCoverageRatio]]&lt;1,"Undersecured","Secured")</f>
        <v>Undersecured</v>
      </c>
      <c r="P1885" t="str">
        <f>_xlfn.XLOOKUP(Loans[[#This Row],[BranchCode]],BranchesTbl[BranchCode],BranchesTbl[BranchName])</f>
        <v>Nyeri</v>
      </c>
      <c r="Q1885">
        <f>_xlfn.XLOOKUP(Loans[[#This Row],[CustomerID]],CustomerTbl[CustomerID],CustomerTbl[RiskScore])</f>
        <v>712</v>
      </c>
      <c r="R1885" t="str">
        <f>IFERROR(INDEX(RiskTbl[Risk_Category],MATCH(Loans[[#This Row],[RiskScore]],RiskTbl[Score_Min],1)),"Unknown")</f>
        <v>Low Risk</v>
      </c>
      <c r="S1885" t="str">
        <f>IF(OR(Loans[[#This Row],[LoanStatus]]="Default",Loans[[#This Row],[LoanStatus]]="Watchlist",Loans[[#This Row],[CollateralRisk]]="Undersecured",Loans[[#This Row],[RiskCategory]]="High Risk"),"High Risk Exposure","Normal")</f>
        <v>High Risk Exposure</v>
      </c>
      <c r="T1885" t="str" cm="1">
        <f t="array" ref="T1885">_xlfn.IFS(
Loans[[#This Row],[LoanStatus]]="Default","Critical",
OR(Loans[[#This Row],[LoanStatus]]="Watchlist",Loans[[#This Row],[CollateralRisk]]="Undersecured",Loans[[#This Row],[RiskCategory]]="High Risk"),"High",
TRUE,"Normal"
)</f>
        <v>High</v>
      </c>
    </row>
    <row r="1886" spans="1:20" x14ac:dyDescent="0.35">
      <c r="A1886" t="s">
        <v>2715</v>
      </c>
      <c r="B1886" t="s">
        <v>264</v>
      </c>
      <c r="C1886" t="s">
        <v>181</v>
      </c>
      <c r="D1886" t="s">
        <v>157</v>
      </c>
      <c r="E1886" s="34">
        <v>80000000</v>
      </c>
      <c r="F1886" s="29">
        <v>0.1361</v>
      </c>
      <c r="G1886" s="30">
        <v>45699</v>
      </c>
      <c r="H1886">
        <v>24</v>
      </c>
      <c r="I1886">
        <v>0</v>
      </c>
      <c r="J1886" s="34">
        <v>105600000</v>
      </c>
      <c r="K1886" t="s">
        <v>171</v>
      </c>
      <c r="L1886" s="34">
        <f>PMT(Loans[[#This Row],[InterestRate]]/12,Loans[[#This Row],[LoanTenureMonths]],-Loans[[#This Row],[LoanAmount]])</f>
        <v>3826307.808307461</v>
      </c>
      <c r="M1886" s="30">
        <f>EDATE(Loans[[#This Row],[LoanStartDate]],Loans[[#This Row],[LoanTenureMonths]])</f>
        <v>46429</v>
      </c>
      <c r="N1886" s="33">
        <f>IF(Loans[[#This Row],[LoanAmount]]=0,0,Loans[[#This Row],[CollateralValue]]/Loans[[#This Row],[LoanAmount]])</f>
        <v>1.32</v>
      </c>
      <c r="O1886" t="str">
        <f>IF(Loans[[#This Row],[CollateralCoverageRatio]]&lt;1,"Undersecured","Secured")</f>
        <v>Secured</v>
      </c>
      <c r="P1886" t="str">
        <f>_xlfn.XLOOKUP(Loans[[#This Row],[BranchCode]],BranchesTbl[BranchCode],BranchesTbl[BranchName])</f>
        <v>Kitale</v>
      </c>
      <c r="Q1886">
        <f>_xlfn.XLOOKUP(Loans[[#This Row],[CustomerID]],CustomerTbl[CustomerID],CustomerTbl[RiskScore])</f>
        <v>316</v>
      </c>
      <c r="R1886" t="str">
        <f>IFERROR(INDEX(RiskTbl[Risk_Category],MATCH(Loans[[#This Row],[RiskScore]],RiskTbl[Score_Min],1)),"Unknown")</f>
        <v>High Risk</v>
      </c>
      <c r="S1886" t="str">
        <f>IF(OR(Loans[[#This Row],[LoanStatus]]="Default",Loans[[#This Row],[LoanStatus]]="Watchlist",Loans[[#This Row],[CollateralRisk]]="Undersecured",Loans[[#This Row],[RiskCategory]]="High Risk"),"High Risk Exposure","Normal")</f>
        <v>High Risk Exposure</v>
      </c>
      <c r="T1886" t="str" cm="1">
        <f t="array" ref="T1886">_xlfn.IFS(
Loans[[#This Row],[LoanStatus]]="Default","Critical",
OR(Loans[[#This Row],[LoanStatus]]="Watchlist",Loans[[#This Row],[CollateralRisk]]="Undersecured",Loans[[#This Row],[RiskCategory]]="High Risk"),"High",
TRUE,"Normal"
)</f>
        <v>High</v>
      </c>
    </row>
    <row r="1887" spans="1:20" x14ac:dyDescent="0.35">
      <c r="A1887" t="s">
        <v>2716</v>
      </c>
      <c r="B1887" t="s">
        <v>377</v>
      </c>
      <c r="C1887" t="s">
        <v>232</v>
      </c>
      <c r="D1887" t="s">
        <v>157</v>
      </c>
      <c r="E1887" s="34">
        <v>6000000</v>
      </c>
      <c r="F1887" s="29">
        <v>0.1057</v>
      </c>
      <c r="G1887" s="30">
        <v>44522</v>
      </c>
      <c r="H1887">
        <v>12</v>
      </c>
      <c r="I1887">
        <v>0</v>
      </c>
      <c r="J1887" s="34">
        <v>3180000</v>
      </c>
      <c r="K1887" t="s">
        <v>171</v>
      </c>
      <c r="L1887" s="34">
        <f>PMT(Loans[[#This Row],[InterestRate]]/12,Loans[[#This Row],[LoanTenureMonths]],-Loans[[#This Row],[LoanAmount]])</f>
        <v>529087.26133152132</v>
      </c>
      <c r="M1887" s="30">
        <f>EDATE(Loans[[#This Row],[LoanStartDate]],Loans[[#This Row],[LoanTenureMonths]])</f>
        <v>44887</v>
      </c>
      <c r="N1887" s="33">
        <f>IF(Loans[[#This Row],[LoanAmount]]=0,0,Loans[[#This Row],[CollateralValue]]/Loans[[#This Row],[LoanAmount]])</f>
        <v>0.53</v>
      </c>
      <c r="O1887" t="str">
        <f>IF(Loans[[#This Row],[CollateralCoverageRatio]]&lt;1,"Undersecured","Secured")</f>
        <v>Undersecured</v>
      </c>
      <c r="P1887" t="str">
        <f>_xlfn.XLOOKUP(Loans[[#This Row],[BranchCode]],BranchesTbl[BranchCode],BranchesTbl[BranchName])</f>
        <v>Upper Hill</v>
      </c>
      <c r="Q1887">
        <f>_xlfn.XLOOKUP(Loans[[#This Row],[CustomerID]],CustomerTbl[CustomerID],CustomerTbl[RiskScore])</f>
        <v>850</v>
      </c>
      <c r="R1887" t="str">
        <f>IFERROR(INDEX(RiskTbl[Risk_Category],MATCH(Loans[[#This Row],[RiskScore]],RiskTbl[Score_Min],1)),"Unknown")</f>
        <v>Prime</v>
      </c>
      <c r="S1887" t="str">
        <f>IF(OR(Loans[[#This Row],[LoanStatus]]="Default",Loans[[#This Row],[LoanStatus]]="Watchlist",Loans[[#This Row],[CollateralRisk]]="Undersecured",Loans[[#This Row],[RiskCategory]]="High Risk"),"High Risk Exposure","Normal")</f>
        <v>High Risk Exposure</v>
      </c>
      <c r="T1887" t="str" cm="1">
        <f t="array" ref="T1887">_xlfn.IFS(
Loans[[#This Row],[LoanStatus]]="Default","Critical",
OR(Loans[[#This Row],[LoanStatus]]="Watchlist",Loans[[#This Row],[CollateralRisk]]="Undersecured",Loans[[#This Row],[RiskCategory]]="High Risk"),"High",
TRUE,"Normal"
)</f>
        <v>High</v>
      </c>
    </row>
    <row r="1888" spans="1:20" x14ac:dyDescent="0.35">
      <c r="A1888" t="s">
        <v>2717</v>
      </c>
      <c r="B1888" t="s">
        <v>324</v>
      </c>
      <c r="C1888" t="s">
        <v>239</v>
      </c>
      <c r="D1888" t="s">
        <v>155</v>
      </c>
      <c r="E1888" s="34">
        <v>250000</v>
      </c>
      <c r="F1888" s="29">
        <v>0.27860000000000001</v>
      </c>
      <c r="G1888" s="30">
        <v>45567</v>
      </c>
      <c r="H1888">
        <v>36</v>
      </c>
      <c r="I1888">
        <v>0</v>
      </c>
      <c r="J1888" s="34">
        <v>0</v>
      </c>
      <c r="K1888" t="s">
        <v>171</v>
      </c>
      <c r="L1888" s="34">
        <f>PMT(Loans[[#This Row],[InterestRate]]/12,Loans[[#This Row],[LoanTenureMonths]],-Loans[[#This Row],[LoanAmount]])</f>
        <v>10321.997226719501</v>
      </c>
      <c r="M1888" s="30">
        <f>EDATE(Loans[[#This Row],[LoanStartDate]],Loans[[#This Row],[LoanTenureMonths]])</f>
        <v>46662</v>
      </c>
      <c r="N1888" s="33">
        <f>IF(Loans[[#This Row],[LoanAmount]]=0,0,Loans[[#This Row],[CollateralValue]]/Loans[[#This Row],[LoanAmount]])</f>
        <v>0</v>
      </c>
      <c r="O1888" t="str">
        <f>IF(Loans[[#This Row],[CollateralCoverageRatio]]&lt;1,"Undersecured","Secured")</f>
        <v>Undersecured</v>
      </c>
      <c r="P1888" t="str">
        <f>_xlfn.XLOOKUP(Loans[[#This Row],[BranchCode]],BranchesTbl[BranchCode],BranchesTbl[BranchName])</f>
        <v>Machakos</v>
      </c>
      <c r="Q1888">
        <f>_xlfn.XLOOKUP(Loans[[#This Row],[CustomerID]],CustomerTbl[CustomerID],CustomerTbl[RiskScore])</f>
        <v>696</v>
      </c>
      <c r="R1888" t="str">
        <f>IFERROR(INDEX(RiskTbl[Risk_Category],MATCH(Loans[[#This Row],[RiskScore]],RiskTbl[Score_Min],1)),"Unknown")</f>
        <v>Low Risk</v>
      </c>
      <c r="S1888" t="str">
        <f>IF(OR(Loans[[#This Row],[LoanStatus]]="Default",Loans[[#This Row],[LoanStatus]]="Watchlist",Loans[[#This Row],[CollateralRisk]]="Undersecured",Loans[[#This Row],[RiskCategory]]="High Risk"),"High Risk Exposure","Normal")</f>
        <v>High Risk Exposure</v>
      </c>
      <c r="T1888" t="str" cm="1">
        <f t="array" ref="T1888">_xlfn.IFS(
Loans[[#This Row],[LoanStatus]]="Default","Critical",
OR(Loans[[#This Row],[LoanStatus]]="Watchlist",Loans[[#This Row],[CollateralRisk]]="Undersecured",Loans[[#This Row],[RiskCategory]]="High Risk"),"High",
TRUE,"Normal"
)</f>
        <v>High</v>
      </c>
    </row>
    <row r="1889" spans="1:20" x14ac:dyDescent="0.35">
      <c r="A1889" t="s">
        <v>2718</v>
      </c>
      <c r="B1889" t="s">
        <v>260</v>
      </c>
      <c r="C1889" t="s">
        <v>177</v>
      </c>
      <c r="D1889" t="s">
        <v>158</v>
      </c>
      <c r="E1889" s="34">
        <v>6000000</v>
      </c>
      <c r="F1889" s="29">
        <v>0.19570000000000001</v>
      </c>
      <c r="G1889" s="30">
        <v>44336</v>
      </c>
      <c r="H1889">
        <v>60</v>
      </c>
      <c r="I1889">
        <v>90</v>
      </c>
      <c r="J1889" s="34">
        <v>8460000</v>
      </c>
      <c r="K1889" t="s">
        <v>199</v>
      </c>
      <c r="L1889" s="34">
        <f>PMT(Loans[[#This Row],[InterestRate]]/12,Loans[[#This Row],[LoanTenureMonths]],-Loans[[#This Row],[LoanAmount]])</f>
        <v>157531.16373483496</v>
      </c>
      <c r="M1889" s="30">
        <f>EDATE(Loans[[#This Row],[LoanStartDate]],Loans[[#This Row],[LoanTenureMonths]])</f>
        <v>46162</v>
      </c>
      <c r="N1889" s="33">
        <f>IF(Loans[[#This Row],[LoanAmount]]=0,0,Loans[[#This Row],[CollateralValue]]/Loans[[#This Row],[LoanAmount]])</f>
        <v>1.41</v>
      </c>
      <c r="O1889" t="str">
        <f>IF(Loans[[#This Row],[CollateralCoverageRatio]]&lt;1,"Undersecured","Secured")</f>
        <v>Secured</v>
      </c>
      <c r="P1889" t="str">
        <f>_xlfn.XLOOKUP(Loans[[#This Row],[BranchCode]],BranchesTbl[BranchCode],BranchesTbl[BranchName])</f>
        <v>Naivasha</v>
      </c>
      <c r="Q1889">
        <f>_xlfn.XLOOKUP(Loans[[#This Row],[CustomerID]],CustomerTbl[CustomerID],CustomerTbl[RiskScore])</f>
        <v>350</v>
      </c>
      <c r="R1889" t="str">
        <f>IFERROR(INDEX(RiskTbl[Risk_Category],MATCH(Loans[[#This Row],[RiskScore]],RiskTbl[Score_Min],1)),"Unknown")</f>
        <v>High Risk</v>
      </c>
      <c r="S1889" t="str">
        <f>IF(OR(Loans[[#This Row],[LoanStatus]]="Default",Loans[[#This Row],[LoanStatus]]="Watchlist",Loans[[#This Row],[CollateralRisk]]="Undersecured",Loans[[#This Row],[RiskCategory]]="High Risk"),"High Risk Exposure","Normal")</f>
        <v>High Risk Exposure</v>
      </c>
      <c r="T1889" t="str" cm="1">
        <f t="array" ref="T1889">_xlfn.IFS(
Loans[[#This Row],[LoanStatus]]="Default","Critical",
OR(Loans[[#This Row],[LoanStatus]]="Watchlist",Loans[[#This Row],[CollateralRisk]]="Undersecured",Loans[[#This Row],[RiskCategory]]="High Risk"),"High",
TRUE,"Normal"
)</f>
        <v>High</v>
      </c>
    </row>
    <row r="1890" spans="1:20" x14ac:dyDescent="0.35">
      <c r="A1890" t="s">
        <v>2719</v>
      </c>
      <c r="B1890" t="s">
        <v>1846</v>
      </c>
      <c r="C1890" t="s">
        <v>219</v>
      </c>
      <c r="D1890" t="s">
        <v>158</v>
      </c>
      <c r="E1890" s="34">
        <v>3000000</v>
      </c>
      <c r="F1890" s="29">
        <v>0.15690000000000001</v>
      </c>
      <c r="G1890" s="30">
        <v>45218</v>
      </c>
      <c r="H1890">
        <v>36</v>
      </c>
      <c r="I1890">
        <v>90</v>
      </c>
      <c r="J1890" s="34">
        <v>2580000</v>
      </c>
      <c r="K1890" t="s">
        <v>199</v>
      </c>
      <c r="L1890" s="34">
        <f>PMT(Loans[[#This Row],[InterestRate]]/12,Loans[[#This Row],[LoanTenureMonths]],-Loans[[#This Row],[LoanAmount]])</f>
        <v>105012.53146200255</v>
      </c>
      <c r="M1890" s="30">
        <f>EDATE(Loans[[#This Row],[LoanStartDate]],Loans[[#This Row],[LoanTenureMonths]])</f>
        <v>46314</v>
      </c>
      <c r="N1890" s="33">
        <f>IF(Loans[[#This Row],[LoanAmount]]=0,0,Loans[[#This Row],[CollateralValue]]/Loans[[#This Row],[LoanAmount]])</f>
        <v>0.86</v>
      </c>
      <c r="O1890" t="str">
        <f>IF(Loans[[#This Row],[CollateralCoverageRatio]]&lt;1,"Undersecured","Secured")</f>
        <v>Undersecured</v>
      </c>
      <c r="P1890" t="str">
        <f>_xlfn.XLOOKUP(Loans[[#This Row],[BranchCode]],BranchesTbl[BranchCode],BranchesTbl[BranchName])</f>
        <v>Meru</v>
      </c>
      <c r="Q1890">
        <f>_xlfn.XLOOKUP(Loans[[#This Row],[CustomerID]],CustomerTbl[CustomerID],CustomerTbl[RiskScore])</f>
        <v>354</v>
      </c>
      <c r="R1890" t="str">
        <f>IFERROR(INDEX(RiskTbl[Risk_Category],MATCH(Loans[[#This Row],[RiskScore]],RiskTbl[Score_Min],1)),"Unknown")</f>
        <v>High Risk</v>
      </c>
      <c r="S1890" t="str">
        <f>IF(OR(Loans[[#This Row],[LoanStatus]]="Default",Loans[[#This Row],[LoanStatus]]="Watchlist",Loans[[#This Row],[CollateralRisk]]="Undersecured",Loans[[#This Row],[RiskCategory]]="High Risk"),"High Risk Exposure","Normal")</f>
        <v>High Risk Exposure</v>
      </c>
      <c r="T1890" t="str" cm="1">
        <f t="array" ref="T1890">_xlfn.IFS(
Loans[[#This Row],[LoanStatus]]="Default","Critical",
OR(Loans[[#This Row],[LoanStatus]]="Watchlist",Loans[[#This Row],[CollateralRisk]]="Undersecured",Loans[[#This Row],[RiskCategory]]="High Risk"),"High",
TRUE,"Normal"
)</f>
        <v>High</v>
      </c>
    </row>
    <row r="1891" spans="1:20" x14ac:dyDescent="0.35">
      <c r="A1891" t="s">
        <v>2720</v>
      </c>
      <c r="B1891" t="s">
        <v>2721</v>
      </c>
      <c r="C1891" t="s">
        <v>190</v>
      </c>
      <c r="D1891" t="s">
        <v>155</v>
      </c>
      <c r="E1891" s="34">
        <v>100000</v>
      </c>
      <c r="F1891" s="29">
        <v>0.27889999999999998</v>
      </c>
      <c r="G1891" s="30">
        <v>43833</v>
      </c>
      <c r="H1891">
        <v>72</v>
      </c>
      <c r="I1891">
        <v>0</v>
      </c>
      <c r="J1891" s="34">
        <v>0</v>
      </c>
      <c r="K1891" t="s">
        <v>171</v>
      </c>
      <c r="L1891" s="34">
        <f>PMT(Loans[[#This Row],[InterestRate]]/12,Loans[[#This Row],[LoanTenureMonths]],-Loans[[#This Row],[LoanAmount]])</f>
        <v>2873.7247285599788</v>
      </c>
      <c r="M1891" s="30">
        <f>EDATE(Loans[[#This Row],[LoanStartDate]],Loans[[#This Row],[LoanTenureMonths]])</f>
        <v>46025</v>
      </c>
      <c r="N1891" s="33">
        <f>IF(Loans[[#This Row],[LoanAmount]]=0,0,Loans[[#This Row],[CollateralValue]]/Loans[[#This Row],[LoanAmount]])</f>
        <v>0</v>
      </c>
      <c r="O1891" t="str">
        <f>IF(Loans[[#This Row],[CollateralCoverageRatio]]&lt;1,"Undersecured","Secured")</f>
        <v>Undersecured</v>
      </c>
      <c r="P1891" t="str">
        <f>_xlfn.XLOOKUP(Loans[[#This Row],[BranchCode]],BranchesTbl[BranchCode],BranchesTbl[BranchName])</f>
        <v>Nyeri</v>
      </c>
      <c r="Q1891">
        <f>_xlfn.XLOOKUP(Loans[[#This Row],[CustomerID]],CustomerTbl[CustomerID],CustomerTbl[RiskScore])</f>
        <v>390</v>
      </c>
      <c r="R1891" t="str">
        <f>IFERROR(INDEX(RiskTbl[Risk_Category],MATCH(Loans[[#This Row],[RiskScore]],RiskTbl[Score_Min],1)),"Unknown")</f>
        <v>High Risk</v>
      </c>
      <c r="S1891" t="str">
        <f>IF(OR(Loans[[#This Row],[LoanStatus]]="Default",Loans[[#This Row],[LoanStatus]]="Watchlist",Loans[[#This Row],[CollateralRisk]]="Undersecured",Loans[[#This Row],[RiskCategory]]="High Risk"),"High Risk Exposure","Normal")</f>
        <v>High Risk Exposure</v>
      </c>
      <c r="T1891" t="str" cm="1">
        <f t="array" ref="T1891">_xlfn.IFS(
Loans[[#This Row],[LoanStatus]]="Default","Critical",
OR(Loans[[#This Row],[LoanStatus]]="Watchlist",Loans[[#This Row],[CollateralRisk]]="Undersecured",Loans[[#This Row],[RiskCategory]]="High Risk"),"High",
TRUE,"Normal"
)</f>
        <v>High</v>
      </c>
    </row>
    <row r="1892" spans="1:20" x14ac:dyDescent="0.35">
      <c r="A1892" t="s">
        <v>2722</v>
      </c>
      <c r="B1892" t="s">
        <v>1133</v>
      </c>
      <c r="C1892" t="s">
        <v>174</v>
      </c>
      <c r="D1892" t="s">
        <v>158</v>
      </c>
      <c r="E1892" s="34">
        <v>3000000</v>
      </c>
      <c r="F1892" s="29">
        <v>0.16089999999999999</v>
      </c>
      <c r="G1892" s="30">
        <v>43998</v>
      </c>
      <c r="H1892">
        <v>24</v>
      </c>
      <c r="I1892">
        <v>5</v>
      </c>
      <c r="J1892" s="34">
        <v>3510000</v>
      </c>
      <c r="K1892" t="s">
        <v>171</v>
      </c>
      <c r="L1892" s="34">
        <f>PMT(Loans[[#This Row],[InterestRate]]/12,Loans[[#This Row],[LoanTenureMonths]],-Loans[[#This Row],[LoanAmount]])</f>
        <v>147018.37271359266</v>
      </c>
      <c r="M1892" s="30">
        <f>EDATE(Loans[[#This Row],[LoanStartDate]],Loans[[#This Row],[LoanTenureMonths]])</f>
        <v>44728</v>
      </c>
      <c r="N1892" s="33">
        <f>IF(Loans[[#This Row],[LoanAmount]]=0,0,Loans[[#This Row],[CollateralValue]]/Loans[[#This Row],[LoanAmount]])</f>
        <v>1.17</v>
      </c>
      <c r="O1892" t="str">
        <f>IF(Loans[[#This Row],[CollateralCoverageRatio]]&lt;1,"Undersecured","Secured")</f>
        <v>Secured</v>
      </c>
      <c r="P1892" t="str">
        <f>_xlfn.XLOOKUP(Loans[[#This Row],[BranchCode]],BranchesTbl[BranchCode],BranchesTbl[BranchName])</f>
        <v>Westlands</v>
      </c>
      <c r="Q1892">
        <f>_xlfn.XLOOKUP(Loans[[#This Row],[CustomerID]],CustomerTbl[CustomerID],CustomerTbl[RiskScore])</f>
        <v>450</v>
      </c>
      <c r="R1892" t="str">
        <f>IFERROR(INDEX(RiskTbl[Risk_Category],MATCH(Loans[[#This Row],[RiskScore]],RiskTbl[Score_Min],1)),"Unknown")</f>
        <v>High Risk</v>
      </c>
      <c r="S1892" t="str">
        <f>IF(OR(Loans[[#This Row],[LoanStatus]]="Default",Loans[[#This Row],[LoanStatus]]="Watchlist",Loans[[#This Row],[CollateralRisk]]="Undersecured",Loans[[#This Row],[RiskCategory]]="High Risk"),"High Risk Exposure","Normal")</f>
        <v>High Risk Exposure</v>
      </c>
      <c r="T1892" t="str" cm="1">
        <f t="array" ref="T1892">_xlfn.IFS(
Loans[[#This Row],[LoanStatus]]="Default","Critical",
OR(Loans[[#This Row],[LoanStatus]]="Watchlist",Loans[[#This Row],[CollateralRisk]]="Undersecured",Loans[[#This Row],[RiskCategory]]="High Risk"),"High",
TRUE,"Normal"
)</f>
        <v>High</v>
      </c>
    </row>
    <row r="1893" spans="1:20" x14ac:dyDescent="0.35">
      <c r="A1893" t="s">
        <v>2723</v>
      </c>
      <c r="B1893" t="s">
        <v>1055</v>
      </c>
      <c r="C1893" t="s">
        <v>219</v>
      </c>
      <c r="D1893" t="s">
        <v>156</v>
      </c>
      <c r="E1893" s="34">
        <v>3000000</v>
      </c>
      <c r="F1893" s="29">
        <v>0.20319999999999999</v>
      </c>
      <c r="G1893" s="30">
        <v>45266</v>
      </c>
      <c r="H1893">
        <v>12</v>
      </c>
      <c r="I1893">
        <v>0</v>
      </c>
      <c r="J1893" s="34">
        <v>2010000</v>
      </c>
      <c r="K1893" t="s">
        <v>171</v>
      </c>
      <c r="L1893" s="34">
        <f>PMT(Loans[[#This Row],[InterestRate]]/12,Loans[[#This Row],[LoanTenureMonths]],-Loans[[#This Row],[LoanAmount]])</f>
        <v>278363.17771469575</v>
      </c>
      <c r="M1893" s="30">
        <f>EDATE(Loans[[#This Row],[LoanStartDate]],Loans[[#This Row],[LoanTenureMonths]])</f>
        <v>45632</v>
      </c>
      <c r="N1893" s="33">
        <f>IF(Loans[[#This Row],[LoanAmount]]=0,0,Loans[[#This Row],[CollateralValue]]/Loans[[#This Row],[LoanAmount]])</f>
        <v>0.67</v>
      </c>
      <c r="O1893" t="str">
        <f>IF(Loans[[#This Row],[CollateralCoverageRatio]]&lt;1,"Undersecured","Secured")</f>
        <v>Undersecured</v>
      </c>
      <c r="P1893" t="str">
        <f>_xlfn.XLOOKUP(Loans[[#This Row],[BranchCode]],BranchesTbl[BranchCode],BranchesTbl[BranchName])</f>
        <v>Meru</v>
      </c>
      <c r="Q1893">
        <f>_xlfn.XLOOKUP(Loans[[#This Row],[CustomerID]],CustomerTbl[CustomerID],CustomerTbl[RiskScore])</f>
        <v>805</v>
      </c>
      <c r="R1893" t="str">
        <f>IFERROR(INDEX(RiskTbl[Risk_Category],MATCH(Loans[[#This Row],[RiskScore]],RiskTbl[Score_Min],1)),"Unknown")</f>
        <v>Prime</v>
      </c>
      <c r="S1893" t="str">
        <f>IF(OR(Loans[[#This Row],[LoanStatus]]="Default",Loans[[#This Row],[LoanStatus]]="Watchlist",Loans[[#This Row],[CollateralRisk]]="Undersecured",Loans[[#This Row],[RiskCategory]]="High Risk"),"High Risk Exposure","Normal")</f>
        <v>High Risk Exposure</v>
      </c>
      <c r="T1893" t="str" cm="1">
        <f t="array" ref="T1893">_xlfn.IFS(
Loans[[#This Row],[LoanStatus]]="Default","Critical",
OR(Loans[[#This Row],[LoanStatus]]="Watchlist",Loans[[#This Row],[CollateralRisk]]="Undersecured",Loans[[#This Row],[RiskCategory]]="High Risk"),"High",
TRUE,"Normal"
)</f>
        <v>High</v>
      </c>
    </row>
    <row r="1894" spans="1:20" x14ac:dyDescent="0.35">
      <c r="A1894" t="s">
        <v>2724</v>
      </c>
      <c r="B1894" t="s">
        <v>1649</v>
      </c>
      <c r="C1894" t="s">
        <v>206</v>
      </c>
      <c r="D1894" t="s">
        <v>155</v>
      </c>
      <c r="E1894" s="34">
        <v>100000</v>
      </c>
      <c r="F1894" s="29">
        <v>0.19689999999999999</v>
      </c>
      <c r="G1894" s="30">
        <v>45694</v>
      </c>
      <c r="H1894">
        <v>60</v>
      </c>
      <c r="I1894">
        <v>120</v>
      </c>
      <c r="J1894" s="34">
        <v>0</v>
      </c>
      <c r="K1894" t="s">
        <v>178</v>
      </c>
      <c r="L1894" s="34">
        <f>PMT(Loans[[#This Row],[InterestRate]]/12,Loans[[#This Row],[LoanTenureMonths]],-Loans[[#This Row],[LoanAmount]])</f>
        <v>2632.1690475536411</v>
      </c>
      <c r="M1894" s="30">
        <f>EDATE(Loans[[#This Row],[LoanStartDate]],Loans[[#This Row],[LoanTenureMonths]])</f>
        <v>47520</v>
      </c>
      <c r="N1894" s="33">
        <f>IF(Loans[[#This Row],[LoanAmount]]=0,0,Loans[[#This Row],[CollateralValue]]/Loans[[#This Row],[LoanAmount]])</f>
        <v>0</v>
      </c>
      <c r="O1894" t="str">
        <f>IF(Loans[[#This Row],[CollateralCoverageRatio]]&lt;1,"Undersecured","Secured")</f>
        <v>Undersecured</v>
      </c>
      <c r="P1894" t="str">
        <f>_xlfn.XLOOKUP(Loans[[#This Row],[BranchCode]],BranchesTbl[BranchCode],BranchesTbl[BranchName])</f>
        <v>Nyahururu</v>
      </c>
      <c r="Q1894">
        <f>_xlfn.XLOOKUP(Loans[[#This Row],[CustomerID]],CustomerTbl[CustomerID],CustomerTbl[RiskScore])</f>
        <v>578</v>
      </c>
      <c r="R1894" t="str">
        <f>IFERROR(INDEX(RiskTbl[Risk_Category],MATCH(Loans[[#This Row],[RiskScore]],RiskTbl[Score_Min],1)),"Unknown")</f>
        <v>High Risk</v>
      </c>
      <c r="S1894" t="str">
        <f>IF(OR(Loans[[#This Row],[LoanStatus]]="Default",Loans[[#This Row],[LoanStatus]]="Watchlist",Loans[[#This Row],[CollateralRisk]]="Undersecured",Loans[[#This Row],[RiskCategory]]="High Risk"),"High Risk Exposure","Normal")</f>
        <v>High Risk Exposure</v>
      </c>
      <c r="T1894" t="str" cm="1">
        <f t="array" ref="T1894">_xlfn.IFS(
Loans[[#This Row],[LoanStatus]]="Default","Critical",
OR(Loans[[#This Row],[LoanStatus]]="Watchlist",Loans[[#This Row],[CollateralRisk]]="Undersecured",Loans[[#This Row],[RiskCategory]]="High Risk"),"High",
TRUE,"Normal"
)</f>
        <v>Critical</v>
      </c>
    </row>
    <row r="1895" spans="1:20" x14ac:dyDescent="0.35">
      <c r="A1895" t="s">
        <v>2725</v>
      </c>
      <c r="B1895" t="s">
        <v>1423</v>
      </c>
      <c r="C1895" t="s">
        <v>190</v>
      </c>
      <c r="D1895" t="s">
        <v>157</v>
      </c>
      <c r="E1895" s="34">
        <v>80000000</v>
      </c>
      <c r="F1895" s="29">
        <v>0.1108</v>
      </c>
      <c r="G1895" s="30">
        <v>45394</v>
      </c>
      <c r="H1895">
        <v>24</v>
      </c>
      <c r="I1895">
        <v>0</v>
      </c>
      <c r="J1895" s="34">
        <v>112000000</v>
      </c>
      <c r="K1895" t="s">
        <v>171</v>
      </c>
      <c r="L1895" s="34">
        <f>PMT(Loans[[#This Row],[InterestRate]]/12,Loans[[#This Row],[LoanTenureMonths]],-Loans[[#This Row],[LoanAmount]])</f>
        <v>3731599.1055099652</v>
      </c>
      <c r="M1895" s="30">
        <f>EDATE(Loans[[#This Row],[LoanStartDate]],Loans[[#This Row],[LoanTenureMonths]])</f>
        <v>46124</v>
      </c>
      <c r="N1895" s="33">
        <f>IF(Loans[[#This Row],[LoanAmount]]=0,0,Loans[[#This Row],[CollateralValue]]/Loans[[#This Row],[LoanAmount]])</f>
        <v>1.4</v>
      </c>
      <c r="O1895" t="str">
        <f>IF(Loans[[#This Row],[CollateralCoverageRatio]]&lt;1,"Undersecured","Secured")</f>
        <v>Secured</v>
      </c>
      <c r="P1895" t="str">
        <f>_xlfn.XLOOKUP(Loans[[#This Row],[BranchCode]],BranchesTbl[BranchCode],BranchesTbl[BranchName])</f>
        <v>Nyeri</v>
      </c>
      <c r="Q1895">
        <f>_xlfn.XLOOKUP(Loans[[#This Row],[CustomerID]],CustomerTbl[CustomerID],CustomerTbl[RiskScore])</f>
        <v>823</v>
      </c>
      <c r="R1895" t="str">
        <f>IFERROR(INDEX(RiskTbl[Risk_Category],MATCH(Loans[[#This Row],[RiskScore]],RiskTbl[Score_Min],1)),"Unknown")</f>
        <v>Prime</v>
      </c>
      <c r="S1895" t="str">
        <f>IF(OR(Loans[[#This Row],[LoanStatus]]="Default",Loans[[#This Row],[LoanStatus]]="Watchlist",Loans[[#This Row],[CollateralRisk]]="Undersecured",Loans[[#This Row],[RiskCategory]]="High Risk"),"High Risk Exposure","Normal")</f>
        <v>Normal</v>
      </c>
      <c r="T1895" t="str" cm="1">
        <f t="array" ref="T1895">_xlfn.IFS(
Loans[[#This Row],[LoanStatus]]="Default","Critical",
OR(Loans[[#This Row],[LoanStatus]]="Watchlist",Loans[[#This Row],[CollateralRisk]]="Undersecured",Loans[[#This Row],[RiskCategory]]="High Risk"),"High",
TRUE,"Normal"
)</f>
        <v>Normal</v>
      </c>
    </row>
    <row r="1896" spans="1:20" x14ac:dyDescent="0.35">
      <c r="A1896" t="s">
        <v>2726</v>
      </c>
      <c r="B1896" t="s">
        <v>2108</v>
      </c>
      <c r="C1896" t="s">
        <v>196</v>
      </c>
      <c r="D1896" t="s">
        <v>155</v>
      </c>
      <c r="E1896" s="34">
        <v>100000</v>
      </c>
      <c r="F1896" s="29">
        <v>0.2092</v>
      </c>
      <c r="G1896" s="30">
        <v>45578</v>
      </c>
      <c r="H1896">
        <v>24</v>
      </c>
      <c r="I1896">
        <v>20</v>
      </c>
      <c r="J1896" s="34">
        <v>0</v>
      </c>
      <c r="K1896" t="s">
        <v>171</v>
      </c>
      <c r="L1896" s="34">
        <f>PMT(Loans[[#This Row],[InterestRate]]/12,Loans[[#This Row],[LoanTenureMonths]],-Loans[[#This Row],[LoanAmount]])</f>
        <v>5134.6365275550115</v>
      </c>
      <c r="M1896" s="30">
        <f>EDATE(Loans[[#This Row],[LoanStartDate]],Loans[[#This Row],[LoanTenureMonths]])</f>
        <v>46308</v>
      </c>
      <c r="N1896" s="33">
        <f>IF(Loans[[#This Row],[LoanAmount]]=0,0,Loans[[#This Row],[CollateralValue]]/Loans[[#This Row],[LoanAmount]])</f>
        <v>0</v>
      </c>
      <c r="O1896" t="str">
        <f>IF(Loans[[#This Row],[CollateralCoverageRatio]]&lt;1,"Undersecured","Secured")</f>
        <v>Undersecured</v>
      </c>
      <c r="P1896" t="str">
        <f>_xlfn.XLOOKUP(Loans[[#This Row],[BranchCode]],BranchesTbl[BranchCode],BranchesTbl[BranchName])</f>
        <v>Karen</v>
      </c>
      <c r="Q1896">
        <f>_xlfn.XLOOKUP(Loans[[#This Row],[CustomerID]],CustomerTbl[CustomerID],CustomerTbl[RiskScore])</f>
        <v>760</v>
      </c>
      <c r="R1896" t="str">
        <f>IFERROR(INDEX(RiskTbl[Risk_Category],MATCH(Loans[[#This Row],[RiskScore]],RiskTbl[Score_Min],1)),"Unknown")</f>
        <v>Very Low Risk</v>
      </c>
      <c r="S1896" t="str">
        <f>IF(OR(Loans[[#This Row],[LoanStatus]]="Default",Loans[[#This Row],[LoanStatus]]="Watchlist",Loans[[#This Row],[CollateralRisk]]="Undersecured",Loans[[#This Row],[RiskCategory]]="High Risk"),"High Risk Exposure","Normal")</f>
        <v>High Risk Exposure</v>
      </c>
      <c r="T1896" t="str" cm="1">
        <f t="array" ref="T1896">_xlfn.IFS(
Loans[[#This Row],[LoanStatus]]="Default","Critical",
OR(Loans[[#This Row],[LoanStatus]]="Watchlist",Loans[[#This Row],[CollateralRisk]]="Undersecured",Loans[[#This Row],[RiskCategory]]="High Risk"),"High",
TRUE,"Normal"
)</f>
        <v>High</v>
      </c>
    </row>
    <row r="1897" spans="1:20" x14ac:dyDescent="0.35">
      <c r="A1897" t="s">
        <v>2727</v>
      </c>
      <c r="B1897" t="s">
        <v>2728</v>
      </c>
      <c r="C1897" t="s">
        <v>196</v>
      </c>
      <c r="D1897" t="s">
        <v>155</v>
      </c>
      <c r="E1897" s="34">
        <v>1000000</v>
      </c>
      <c r="F1897" s="29">
        <v>0.22889999999999999</v>
      </c>
      <c r="G1897" s="30">
        <v>44127</v>
      </c>
      <c r="H1897">
        <v>72</v>
      </c>
      <c r="I1897">
        <v>0</v>
      </c>
      <c r="J1897" s="34">
        <v>0</v>
      </c>
      <c r="K1897" t="s">
        <v>171</v>
      </c>
      <c r="L1897" s="34">
        <f>PMT(Loans[[#This Row],[InterestRate]]/12,Loans[[#This Row],[LoanTenureMonths]],-Loans[[#This Row],[LoanAmount]])</f>
        <v>25657.109470536278</v>
      </c>
      <c r="M1897" s="30">
        <f>EDATE(Loans[[#This Row],[LoanStartDate]],Loans[[#This Row],[LoanTenureMonths]])</f>
        <v>46318</v>
      </c>
      <c r="N1897" s="33">
        <f>IF(Loans[[#This Row],[LoanAmount]]=0,0,Loans[[#This Row],[CollateralValue]]/Loans[[#This Row],[LoanAmount]])</f>
        <v>0</v>
      </c>
      <c r="O1897" t="str">
        <f>IF(Loans[[#This Row],[CollateralCoverageRatio]]&lt;1,"Undersecured","Secured")</f>
        <v>Undersecured</v>
      </c>
      <c r="P1897" t="str">
        <f>_xlfn.XLOOKUP(Loans[[#This Row],[BranchCode]],BranchesTbl[BranchCode],BranchesTbl[BranchName])</f>
        <v>Karen</v>
      </c>
      <c r="Q1897">
        <f>_xlfn.XLOOKUP(Loans[[#This Row],[CustomerID]],CustomerTbl[CustomerID],CustomerTbl[RiskScore])</f>
        <v>665</v>
      </c>
      <c r="R1897" t="str">
        <f>IFERROR(INDEX(RiskTbl[Risk_Category],MATCH(Loans[[#This Row],[RiskScore]],RiskTbl[Score_Min],1)),"Unknown")</f>
        <v>Medium Risk</v>
      </c>
      <c r="S1897" t="str">
        <f>IF(OR(Loans[[#This Row],[LoanStatus]]="Default",Loans[[#This Row],[LoanStatus]]="Watchlist",Loans[[#This Row],[CollateralRisk]]="Undersecured",Loans[[#This Row],[RiskCategory]]="High Risk"),"High Risk Exposure","Normal")</f>
        <v>High Risk Exposure</v>
      </c>
      <c r="T1897" t="str" cm="1">
        <f t="array" ref="T1897">_xlfn.IFS(
Loans[[#This Row],[LoanStatus]]="Default","Critical",
OR(Loans[[#This Row],[LoanStatus]]="Watchlist",Loans[[#This Row],[CollateralRisk]]="Undersecured",Loans[[#This Row],[RiskCategory]]="High Risk"),"High",
TRUE,"Normal"
)</f>
        <v>High</v>
      </c>
    </row>
    <row r="1898" spans="1:20" x14ac:dyDescent="0.35">
      <c r="A1898" t="s">
        <v>2729</v>
      </c>
      <c r="B1898" t="s">
        <v>2443</v>
      </c>
      <c r="C1898" t="s">
        <v>184</v>
      </c>
      <c r="D1898" t="s">
        <v>155</v>
      </c>
      <c r="E1898" s="34">
        <v>250000</v>
      </c>
      <c r="F1898" s="29">
        <v>0.2424</v>
      </c>
      <c r="G1898" s="30">
        <v>44480</v>
      </c>
      <c r="H1898">
        <v>60</v>
      </c>
      <c r="I1898">
        <v>90</v>
      </c>
      <c r="J1898" s="34">
        <v>0</v>
      </c>
      <c r="K1898" t="s">
        <v>199</v>
      </c>
      <c r="L1898" s="34">
        <f>PMT(Loans[[#This Row],[InterestRate]]/12,Loans[[#This Row],[LoanTenureMonths]],-Loans[[#This Row],[LoanAmount]])</f>
        <v>7226.8599327387192</v>
      </c>
      <c r="M1898" s="30">
        <f>EDATE(Loans[[#This Row],[LoanStartDate]],Loans[[#This Row],[LoanTenureMonths]])</f>
        <v>46306</v>
      </c>
      <c r="N1898" s="33">
        <f>IF(Loans[[#This Row],[LoanAmount]]=0,0,Loans[[#This Row],[CollateralValue]]/Loans[[#This Row],[LoanAmount]])</f>
        <v>0</v>
      </c>
      <c r="O1898" t="str">
        <f>IF(Loans[[#This Row],[CollateralCoverageRatio]]&lt;1,"Undersecured","Secured")</f>
        <v>Undersecured</v>
      </c>
      <c r="P1898" t="str">
        <f>_xlfn.XLOOKUP(Loans[[#This Row],[BranchCode]],BranchesTbl[BranchCode],BranchesTbl[BranchName])</f>
        <v>Kisumu</v>
      </c>
      <c r="Q1898">
        <f>_xlfn.XLOOKUP(Loans[[#This Row],[CustomerID]],CustomerTbl[CustomerID],CustomerTbl[RiskScore])</f>
        <v>304</v>
      </c>
      <c r="R1898" t="str">
        <f>IFERROR(INDEX(RiskTbl[Risk_Category],MATCH(Loans[[#This Row],[RiskScore]],RiskTbl[Score_Min],1)),"Unknown")</f>
        <v>High Risk</v>
      </c>
      <c r="S1898" t="str">
        <f>IF(OR(Loans[[#This Row],[LoanStatus]]="Default",Loans[[#This Row],[LoanStatus]]="Watchlist",Loans[[#This Row],[CollateralRisk]]="Undersecured",Loans[[#This Row],[RiskCategory]]="High Risk"),"High Risk Exposure","Normal")</f>
        <v>High Risk Exposure</v>
      </c>
      <c r="T1898" t="str" cm="1">
        <f t="array" ref="T1898">_xlfn.IFS(
Loans[[#This Row],[LoanStatus]]="Default","Critical",
OR(Loans[[#This Row],[LoanStatus]]="Watchlist",Loans[[#This Row],[CollateralRisk]]="Undersecured",Loans[[#This Row],[RiskCategory]]="High Risk"),"High",
TRUE,"Normal"
)</f>
        <v>High</v>
      </c>
    </row>
    <row r="1899" spans="1:20" x14ac:dyDescent="0.35">
      <c r="A1899" t="s">
        <v>2730</v>
      </c>
      <c r="B1899" t="s">
        <v>1377</v>
      </c>
      <c r="C1899" t="s">
        <v>196</v>
      </c>
      <c r="D1899" t="s">
        <v>158</v>
      </c>
      <c r="E1899" s="34">
        <v>6000000</v>
      </c>
      <c r="F1899" s="29">
        <v>0.1487</v>
      </c>
      <c r="G1899" s="30">
        <v>44883</v>
      </c>
      <c r="H1899">
        <v>12</v>
      </c>
      <c r="I1899">
        <v>45</v>
      </c>
      <c r="J1899" s="34">
        <v>3240000</v>
      </c>
      <c r="K1899" t="s">
        <v>199</v>
      </c>
      <c r="L1899" s="34">
        <f>PMT(Loans[[#This Row],[InterestRate]]/12,Loans[[#This Row],[LoanTenureMonths]],-Loans[[#This Row],[LoanAmount]])</f>
        <v>541181.88359510119</v>
      </c>
      <c r="M1899" s="30">
        <f>EDATE(Loans[[#This Row],[LoanStartDate]],Loans[[#This Row],[LoanTenureMonths]])</f>
        <v>45248</v>
      </c>
      <c r="N1899" s="33">
        <f>IF(Loans[[#This Row],[LoanAmount]]=0,0,Loans[[#This Row],[CollateralValue]]/Loans[[#This Row],[LoanAmount]])</f>
        <v>0.54</v>
      </c>
      <c r="O1899" t="str">
        <f>IF(Loans[[#This Row],[CollateralCoverageRatio]]&lt;1,"Undersecured","Secured")</f>
        <v>Undersecured</v>
      </c>
      <c r="P1899" t="str">
        <f>_xlfn.XLOOKUP(Loans[[#This Row],[BranchCode]],BranchesTbl[BranchCode],BranchesTbl[BranchName])</f>
        <v>Karen</v>
      </c>
      <c r="Q1899">
        <f>_xlfn.XLOOKUP(Loans[[#This Row],[CustomerID]],CustomerTbl[CustomerID],CustomerTbl[RiskScore])</f>
        <v>682</v>
      </c>
      <c r="R1899" t="str">
        <f>IFERROR(INDEX(RiskTbl[Risk_Category],MATCH(Loans[[#This Row],[RiskScore]],RiskTbl[Score_Min],1)),"Unknown")</f>
        <v>Low Risk</v>
      </c>
      <c r="S1899" t="str">
        <f>IF(OR(Loans[[#This Row],[LoanStatus]]="Default",Loans[[#This Row],[LoanStatus]]="Watchlist",Loans[[#This Row],[CollateralRisk]]="Undersecured",Loans[[#This Row],[RiskCategory]]="High Risk"),"High Risk Exposure","Normal")</f>
        <v>High Risk Exposure</v>
      </c>
      <c r="T1899" t="str" cm="1">
        <f t="array" ref="T1899">_xlfn.IFS(
Loans[[#This Row],[LoanStatus]]="Default","Critical",
OR(Loans[[#This Row],[LoanStatus]]="Watchlist",Loans[[#This Row],[CollateralRisk]]="Undersecured",Loans[[#This Row],[RiskCategory]]="High Risk"),"High",
TRUE,"Normal"
)</f>
        <v>High</v>
      </c>
    </row>
    <row r="1900" spans="1:20" x14ac:dyDescent="0.35">
      <c r="A1900" t="s">
        <v>2731</v>
      </c>
      <c r="B1900" t="s">
        <v>704</v>
      </c>
      <c r="C1900" t="s">
        <v>177</v>
      </c>
      <c r="D1900" t="s">
        <v>158</v>
      </c>
      <c r="E1900" s="34">
        <v>1000000</v>
      </c>
      <c r="F1900" s="29">
        <v>0.17419999999999999</v>
      </c>
      <c r="G1900" s="30">
        <v>44720</v>
      </c>
      <c r="H1900">
        <v>72</v>
      </c>
      <c r="I1900">
        <v>90</v>
      </c>
      <c r="J1900" s="34">
        <v>800000</v>
      </c>
      <c r="K1900" t="s">
        <v>199</v>
      </c>
      <c r="L1900" s="34">
        <f>PMT(Loans[[#This Row],[InterestRate]]/12,Loans[[#This Row],[LoanTenureMonths]],-Loans[[#This Row],[LoanAmount]])</f>
        <v>22481.136269184401</v>
      </c>
      <c r="M1900" s="30">
        <f>EDATE(Loans[[#This Row],[LoanStartDate]],Loans[[#This Row],[LoanTenureMonths]])</f>
        <v>46912</v>
      </c>
      <c r="N1900" s="33">
        <f>IF(Loans[[#This Row],[LoanAmount]]=0,0,Loans[[#This Row],[CollateralValue]]/Loans[[#This Row],[LoanAmount]])</f>
        <v>0.8</v>
      </c>
      <c r="O1900" t="str">
        <f>IF(Loans[[#This Row],[CollateralCoverageRatio]]&lt;1,"Undersecured","Secured")</f>
        <v>Undersecured</v>
      </c>
      <c r="P1900" t="str">
        <f>_xlfn.XLOOKUP(Loans[[#This Row],[BranchCode]],BranchesTbl[BranchCode],BranchesTbl[BranchName])</f>
        <v>Naivasha</v>
      </c>
      <c r="Q1900">
        <f>_xlfn.XLOOKUP(Loans[[#This Row],[CustomerID]],CustomerTbl[CustomerID],CustomerTbl[RiskScore])</f>
        <v>370</v>
      </c>
      <c r="R1900" t="str">
        <f>IFERROR(INDEX(RiskTbl[Risk_Category],MATCH(Loans[[#This Row],[RiskScore]],RiskTbl[Score_Min],1)),"Unknown")</f>
        <v>High Risk</v>
      </c>
      <c r="S1900" t="str">
        <f>IF(OR(Loans[[#This Row],[LoanStatus]]="Default",Loans[[#This Row],[LoanStatus]]="Watchlist",Loans[[#This Row],[CollateralRisk]]="Undersecured",Loans[[#This Row],[RiskCategory]]="High Risk"),"High Risk Exposure","Normal")</f>
        <v>High Risk Exposure</v>
      </c>
      <c r="T1900" t="str" cm="1">
        <f t="array" ref="T1900">_xlfn.IFS(
Loans[[#This Row],[LoanStatus]]="Default","Critical",
OR(Loans[[#This Row],[LoanStatus]]="Watchlist",Loans[[#This Row],[CollateralRisk]]="Undersecured",Loans[[#This Row],[RiskCategory]]="High Risk"),"High",
TRUE,"Normal"
)</f>
        <v>High</v>
      </c>
    </row>
    <row r="1901" spans="1:20" x14ac:dyDescent="0.35">
      <c r="A1901" t="s">
        <v>2732</v>
      </c>
      <c r="B1901" t="s">
        <v>1632</v>
      </c>
      <c r="C1901" t="s">
        <v>206</v>
      </c>
      <c r="D1901" t="s">
        <v>158</v>
      </c>
      <c r="E1901" s="34">
        <v>6000000</v>
      </c>
      <c r="F1901" s="29">
        <v>0.16370000000000001</v>
      </c>
      <c r="G1901" s="30">
        <v>45152</v>
      </c>
      <c r="H1901">
        <v>60</v>
      </c>
      <c r="I1901">
        <v>5</v>
      </c>
      <c r="J1901" s="34">
        <v>4680000</v>
      </c>
      <c r="K1901" t="s">
        <v>171</v>
      </c>
      <c r="L1901" s="34">
        <f>PMT(Loans[[#This Row],[InterestRate]]/12,Loans[[#This Row],[LoanTenureMonths]],-Loans[[#This Row],[LoanAmount]])</f>
        <v>147090.52284835686</v>
      </c>
      <c r="M1901" s="30">
        <f>EDATE(Loans[[#This Row],[LoanStartDate]],Loans[[#This Row],[LoanTenureMonths]])</f>
        <v>46979</v>
      </c>
      <c r="N1901" s="33">
        <f>IF(Loans[[#This Row],[LoanAmount]]=0,0,Loans[[#This Row],[CollateralValue]]/Loans[[#This Row],[LoanAmount]])</f>
        <v>0.78</v>
      </c>
      <c r="O1901" t="str">
        <f>IF(Loans[[#This Row],[CollateralCoverageRatio]]&lt;1,"Undersecured","Secured")</f>
        <v>Undersecured</v>
      </c>
      <c r="P1901" t="str">
        <f>_xlfn.XLOOKUP(Loans[[#This Row],[BranchCode]],BranchesTbl[BranchCode],BranchesTbl[BranchName])</f>
        <v>Nyahururu</v>
      </c>
      <c r="Q1901">
        <f>_xlfn.XLOOKUP(Loans[[#This Row],[CustomerID]],CustomerTbl[CustomerID],CustomerTbl[RiskScore])</f>
        <v>816</v>
      </c>
      <c r="R1901" t="str">
        <f>IFERROR(INDEX(RiskTbl[Risk_Category],MATCH(Loans[[#This Row],[RiskScore]],RiskTbl[Score_Min],1)),"Unknown")</f>
        <v>Prime</v>
      </c>
      <c r="S1901" t="str">
        <f>IF(OR(Loans[[#This Row],[LoanStatus]]="Default",Loans[[#This Row],[LoanStatus]]="Watchlist",Loans[[#This Row],[CollateralRisk]]="Undersecured",Loans[[#This Row],[RiskCategory]]="High Risk"),"High Risk Exposure","Normal")</f>
        <v>High Risk Exposure</v>
      </c>
      <c r="T1901" t="str" cm="1">
        <f t="array" ref="T1901">_xlfn.IFS(
Loans[[#This Row],[LoanStatus]]="Default","Critical",
OR(Loans[[#This Row],[LoanStatus]]="Watchlist",Loans[[#This Row],[CollateralRisk]]="Undersecured",Loans[[#This Row],[RiskCategory]]="High Risk"),"High",
TRUE,"Normal"
)</f>
        <v>High</v>
      </c>
    </row>
    <row r="1902" spans="1:20" x14ac:dyDescent="0.35">
      <c r="A1902" t="s">
        <v>2733</v>
      </c>
      <c r="B1902" t="s">
        <v>2240</v>
      </c>
      <c r="C1902" t="s">
        <v>232</v>
      </c>
      <c r="D1902" t="s">
        <v>155</v>
      </c>
      <c r="E1902" s="34">
        <v>250000</v>
      </c>
      <c r="F1902" s="29">
        <v>0.19489999999999999</v>
      </c>
      <c r="G1902" s="30">
        <v>45240</v>
      </c>
      <c r="H1902">
        <v>48</v>
      </c>
      <c r="I1902">
        <v>120</v>
      </c>
      <c r="J1902" s="34">
        <v>0</v>
      </c>
      <c r="K1902" t="s">
        <v>178</v>
      </c>
      <c r="L1902" s="34">
        <f>PMT(Loans[[#This Row],[InterestRate]]/12,Loans[[#This Row],[LoanTenureMonths]],-Loans[[#This Row],[LoanAmount]])</f>
        <v>7539.8249182205209</v>
      </c>
      <c r="M1902" s="30">
        <f>EDATE(Loans[[#This Row],[LoanStartDate]],Loans[[#This Row],[LoanTenureMonths]])</f>
        <v>46701</v>
      </c>
      <c r="N1902" s="33">
        <f>IF(Loans[[#This Row],[LoanAmount]]=0,0,Loans[[#This Row],[CollateralValue]]/Loans[[#This Row],[LoanAmount]])</f>
        <v>0</v>
      </c>
      <c r="O1902" t="str">
        <f>IF(Loans[[#This Row],[CollateralCoverageRatio]]&lt;1,"Undersecured","Secured")</f>
        <v>Undersecured</v>
      </c>
      <c r="P1902" t="str">
        <f>_xlfn.XLOOKUP(Loans[[#This Row],[BranchCode]],BranchesTbl[BranchCode],BranchesTbl[BranchName])</f>
        <v>Upper Hill</v>
      </c>
      <c r="Q1902">
        <f>_xlfn.XLOOKUP(Loans[[#This Row],[CustomerID]],CustomerTbl[CustomerID],CustomerTbl[RiskScore])</f>
        <v>600</v>
      </c>
      <c r="R1902" t="str">
        <f>IFERROR(INDEX(RiskTbl[Risk_Category],MATCH(Loans[[#This Row],[RiskScore]],RiskTbl[Score_Min],1)),"Unknown")</f>
        <v>Medium Risk</v>
      </c>
      <c r="S1902" t="str">
        <f>IF(OR(Loans[[#This Row],[LoanStatus]]="Default",Loans[[#This Row],[LoanStatus]]="Watchlist",Loans[[#This Row],[CollateralRisk]]="Undersecured",Loans[[#This Row],[RiskCategory]]="High Risk"),"High Risk Exposure","Normal")</f>
        <v>High Risk Exposure</v>
      </c>
      <c r="T1902" t="str" cm="1">
        <f t="array" ref="T1902">_xlfn.IFS(
Loans[[#This Row],[LoanStatus]]="Default","Critical",
OR(Loans[[#This Row],[LoanStatus]]="Watchlist",Loans[[#This Row],[CollateralRisk]]="Undersecured",Loans[[#This Row],[RiskCategory]]="High Risk"),"High",
TRUE,"Normal"
)</f>
        <v>Critical</v>
      </c>
    </row>
    <row r="1903" spans="1:20" x14ac:dyDescent="0.35">
      <c r="A1903" t="s">
        <v>2734</v>
      </c>
      <c r="B1903" t="s">
        <v>2014</v>
      </c>
      <c r="C1903" t="s">
        <v>239</v>
      </c>
      <c r="D1903" t="s">
        <v>155</v>
      </c>
      <c r="E1903" s="34">
        <v>1000000</v>
      </c>
      <c r="F1903" s="29">
        <v>0.26219999999999999</v>
      </c>
      <c r="G1903" s="30">
        <v>44605</v>
      </c>
      <c r="H1903">
        <v>12</v>
      </c>
      <c r="I1903">
        <v>45</v>
      </c>
      <c r="J1903" s="34">
        <v>0</v>
      </c>
      <c r="K1903" t="s">
        <v>199</v>
      </c>
      <c r="L1903" s="34">
        <f>PMT(Loans[[#This Row],[InterestRate]]/12,Loans[[#This Row],[LoanTenureMonths]],-Loans[[#This Row],[LoanAmount]])</f>
        <v>95637.222998410522</v>
      </c>
      <c r="M1903" s="30">
        <f>EDATE(Loans[[#This Row],[LoanStartDate]],Loans[[#This Row],[LoanTenureMonths]])</f>
        <v>44970</v>
      </c>
      <c r="N1903" s="33">
        <f>IF(Loans[[#This Row],[LoanAmount]]=0,0,Loans[[#This Row],[CollateralValue]]/Loans[[#This Row],[LoanAmount]])</f>
        <v>0</v>
      </c>
      <c r="O1903" t="str">
        <f>IF(Loans[[#This Row],[CollateralCoverageRatio]]&lt;1,"Undersecured","Secured")</f>
        <v>Undersecured</v>
      </c>
      <c r="P1903" t="str">
        <f>_xlfn.XLOOKUP(Loans[[#This Row],[BranchCode]],BranchesTbl[BranchCode],BranchesTbl[BranchName])</f>
        <v>Machakos</v>
      </c>
      <c r="Q1903">
        <f>_xlfn.XLOOKUP(Loans[[#This Row],[CustomerID]],CustomerTbl[CustomerID],CustomerTbl[RiskScore])</f>
        <v>451</v>
      </c>
      <c r="R1903" t="str">
        <f>IFERROR(INDEX(RiskTbl[Risk_Category],MATCH(Loans[[#This Row],[RiskScore]],RiskTbl[Score_Min],1)),"Unknown")</f>
        <v>High Risk</v>
      </c>
      <c r="S1903" t="str">
        <f>IF(OR(Loans[[#This Row],[LoanStatus]]="Default",Loans[[#This Row],[LoanStatus]]="Watchlist",Loans[[#This Row],[CollateralRisk]]="Undersecured",Loans[[#This Row],[RiskCategory]]="High Risk"),"High Risk Exposure","Normal")</f>
        <v>High Risk Exposure</v>
      </c>
      <c r="T1903" t="str" cm="1">
        <f t="array" ref="T1903">_xlfn.IFS(
Loans[[#This Row],[LoanStatus]]="Default","Critical",
OR(Loans[[#This Row],[LoanStatus]]="Watchlist",Loans[[#This Row],[CollateralRisk]]="Undersecured",Loans[[#This Row],[RiskCategory]]="High Risk"),"High",
TRUE,"Normal"
)</f>
        <v>High</v>
      </c>
    </row>
    <row r="1904" spans="1:20" x14ac:dyDescent="0.35">
      <c r="A1904" t="s">
        <v>2735</v>
      </c>
      <c r="B1904" t="s">
        <v>1083</v>
      </c>
      <c r="C1904" t="s">
        <v>239</v>
      </c>
      <c r="D1904" t="s">
        <v>155</v>
      </c>
      <c r="E1904" s="34">
        <v>250000</v>
      </c>
      <c r="F1904" s="29">
        <v>0.16500000000000001</v>
      </c>
      <c r="G1904" s="30">
        <v>43948</v>
      </c>
      <c r="H1904">
        <v>36</v>
      </c>
      <c r="I1904">
        <v>0</v>
      </c>
      <c r="J1904" s="34">
        <v>0</v>
      </c>
      <c r="K1904" t="s">
        <v>171</v>
      </c>
      <c r="L1904" s="34">
        <f>PMT(Loans[[#This Row],[InterestRate]]/12,Loans[[#This Row],[LoanTenureMonths]],-Loans[[#This Row],[LoanAmount]])</f>
        <v>8851.0956375057413</v>
      </c>
      <c r="M1904" s="30">
        <f>EDATE(Loans[[#This Row],[LoanStartDate]],Loans[[#This Row],[LoanTenureMonths]])</f>
        <v>45043</v>
      </c>
      <c r="N1904" s="33">
        <f>IF(Loans[[#This Row],[LoanAmount]]=0,0,Loans[[#This Row],[CollateralValue]]/Loans[[#This Row],[LoanAmount]])</f>
        <v>0</v>
      </c>
      <c r="O1904" t="str">
        <f>IF(Loans[[#This Row],[CollateralCoverageRatio]]&lt;1,"Undersecured","Secured")</f>
        <v>Undersecured</v>
      </c>
      <c r="P1904" t="str">
        <f>_xlfn.XLOOKUP(Loans[[#This Row],[BranchCode]],BranchesTbl[BranchCode],BranchesTbl[BranchName])</f>
        <v>Machakos</v>
      </c>
      <c r="Q1904">
        <f>_xlfn.XLOOKUP(Loans[[#This Row],[CustomerID]],CustomerTbl[CustomerID],CustomerTbl[RiskScore])</f>
        <v>707</v>
      </c>
      <c r="R1904" t="str">
        <f>IFERROR(INDEX(RiskTbl[Risk_Category],MATCH(Loans[[#This Row],[RiskScore]],RiskTbl[Score_Min],1)),"Unknown")</f>
        <v>Low Risk</v>
      </c>
      <c r="S1904" t="str">
        <f>IF(OR(Loans[[#This Row],[LoanStatus]]="Default",Loans[[#This Row],[LoanStatus]]="Watchlist",Loans[[#This Row],[CollateralRisk]]="Undersecured",Loans[[#This Row],[RiskCategory]]="High Risk"),"High Risk Exposure","Normal")</f>
        <v>High Risk Exposure</v>
      </c>
      <c r="T1904" t="str" cm="1">
        <f t="array" ref="T1904">_xlfn.IFS(
Loans[[#This Row],[LoanStatus]]="Default","Critical",
OR(Loans[[#This Row],[LoanStatus]]="Watchlist",Loans[[#This Row],[CollateralRisk]]="Undersecured",Loans[[#This Row],[RiskCategory]]="High Risk"),"High",
TRUE,"Normal"
)</f>
        <v>High</v>
      </c>
    </row>
    <row r="1905" spans="1:20" x14ac:dyDescent="0.35">
      <c r="A1905" t="s">
        <v>2736</v>
      </c>
      <c r="B1905" t="s">
        <v>1320</v>
      </c>
      <c r="C1905" t="s">
        <v>177</v>
      </c>
      <c r="D1905" t="s">
        <v>155</v>
      </c>
      <c r="E1905" s="34">
        <v>250000</v>
      </c>
      <c r="F1905" s="29">
        <v>0.25419999999999998</v>
      </c>
      <c r="G1905" s="30">
        <v>44962</v>
      </c>
      <c r="H1905">
        <v>12</v>
      </c>
      <c r="I1905">
        <v>20</v>
      </c>
      <c r="J1905" s="34">
        <v>0</v>
      </c>
      <c r="K1905" t="s">
        <v>171</v>
      </c>
      <c r="L1905" s="34">
        <f>PMT(Loans[[#This Row],[InterestRate]]/12,Loans[[#This Row],[LoanTenureMonths]],-Loans[[#This Row],[LoanAmount]])</f>
        <v>23812.033629950765</v>
      </c>
      <c r="M1905" s="30">
        <f>EDATE(Loans[[#This Row],[LoanStartDate]],Loans[[#This Row],[LoanTenureMonths]])</f>
        <v>45327</v>
      </c>
      <c r="N1905" s="33">
        <f>IF(Loans[[#This Row],[LoanAmount]]=0,0,Loans[[#This Row],[CollateralValue]]/Loans[[#This Row],[LoanAmount]])</f>
        <v>0</v>
      </c>
      <c r="O1905" t="str">
        <f>IF(Loans[[#This Row],[CollateralCoverageRatio]]&lt;1,"Undersecured","Secured")</f>
        <v>Undersecured</v>
      </c>
      <c r="P1905" t="str">
        <f>_xlfn.XLOOKUP(Loans[[#This Row],[BranchCode]],BranchesTbl[BranchCode],BranchesTbl[BranchName])</f>
        <v>Naivasha</v>
      </c>
      <c r="Q1905">
        <f>_xlfn.XLOOKUP(Loans[[#This Row],[CustomerID]],CustomerTbl[CustomerID],CustomerTbl[RiskScore])</f>
        <v>627</v>
      </c>
      <c r="R1905" t="str">
        <f>IFERROR(INDEX(RiskTbl[Risk_Category],MATCH(Loans[[#This Row],[RiskScore]],RiskTbl[Score_Min],1)),"Unknown")</f>
        <v>Medium Risk</v>
      </c>
      <c r="S1905" t="str">
        <f>IF(OR(Loans[[#This Row],[LoanStatus]]="Default",Loans[[#This Row],[LoanStatus]]="Watchlist",Loans[[#This Row],[CollateralRisk]]="Undersecured",Loans[[#This Row],[RiskCategory]]="High Risk"),"High Risk Exposure","Normal")</f>
        <v>High Risk Exposure</v>
      </c>
      <c r="T1905" t="str" cm="1">
        <f t="array" ref="T1905">_xlfn.IFS(
Loans[[#This Row],[LoanStatus]]="Default","Critical",
OR(Loans[[#This Row],[LoanStatus]]="Watchlist",Loans[[#This Row],[CollateralRisk]]="Undersecured",Loans[[#This Row],[RiskCategory]]="High Risk"),"High",
TRUE,"Normal"
)</f>
        <v>High</v>
      </c>
    </row>
    <row r="1906" spans="1:20" x14ac:dyDescent="0.35">
      <c r="A1906" t="s">
        <v>2737</v>
      </c>
      <c r="B1906" t="s">
        <v>983</v>
      </c>
      <c r="C1906" t="s">
        <v>193</v>
      </c>
      <c r="D1906" t="s">
        <v>156</v>
      </c>
      <c r="E1906" s="34">
        <v>25000000</v>
      </c>
      <c r="F1906" s="29">
        <v>0.16969999999999999</v>
      </c>
      <c r="G1906" s="30">
        <v>44054</v>
      </c>
      <c r="H1906">
        <v>60</v>
      </c>
      <c r="I1906">
        <v>0</v>
      </c>
      <c r="J1906" s="34">
        <v>28000000</v>
      </c>
      <c r="K1906" t="s">
        <v>171</v>
      </c>
      <c r="L1906" s="34">
        <f>PMT(Loans[[#This Row],[InterestRate]]/12,Loans[[#This Row],[LoanTenureMonths]],-Loans[[#This Row],[LoanAmount]])</f>
        <v>620911.19409171108</v>
      </c>
      <c r="M1906" s="30">
        <f>EDATE(Loans[[#This Row],[LoanStartDate]],Loans[[#This Row],[LoanTenureMonths]])</f>
        <v>45880</v>
      </c>
      <c r="N1906" s="33">
        <f>IF(Loans[[#This Row],[LoanAmount]]=0,0,Loans[[#This Row],[CollateralValue]]/Loans[[#This Row],[LoanAmount]])</f>
        <v>1.1200000000000001</v>
      </c>
      <c r="O1906" t="str">
        <f>IF(Loans[[#This Row],[CollateralCoverageRatio]]&lt;1,"Undersecured","Secured")</f>
        <v>Secured</v>
      </c>
      <c r="P1906" t="str">
        <f>_xlfn.XLOOKUP(Loans[[#This Row],[BranchCode]],BranchesTbl[BranchCode],BranchesTbl[BranchName])</f>
        <v>Mombasa</v>
      </c>
      <c r="Q1906">
        <f>_xlfn.XLOOKUP(Loans[[#This Row],[CustomerID]],CustomerTbl[CustomerID],CustomerTbl[RiskScore])</f>
        <v>368</v>
      </c>
      <c r="R1906" t="str">
        <f>IFERROR(INDEX(RiskTbl[Risk_Category],MATCH(Loans[[#This Row],[RiskScore]],RiskTbl[Score_Min],1)),"Unknown")</f>
        <v>High Risk</v>
      </c>
      <c r="S1906" t="str">
        <f>IF(OR(Loans[[#This Row],[LoanStatus]]="Default",Loans[[#This Row],[LoanStatus]]="Watchlist",Loans[[#This Row],[CollateralRisk]]="Undersecured",Loans[[#This Row],[RiskCategory]]="High Risk"),"High Risk Exposure","Normal")</f>
        <v>High Risk Exposure</v>
      </c>
      <c r="T1906" t="str" cm="1">
        <f t="array" ref="T1906">_xlfn.IFS(
Loans[[#This Row],[LoanStatus]]="Default","Critical",
OR(Loans[[#This Row],[LoanStatus]]="Watchlist",Loans[[#This Row],[CollateralRisk]]="Undersecured",Loans[[#This Row],[RiskCategory]]="High Risk"),"High",
TRUE,"Normal"
)</f>
        <v>High</v>
      </c>
    </row>
    <row r="1907" spans="1:20" x14ac:dyDescent="0.35">
      <c r="A1907" t="s">
        <v>2738</v>
      </c>
      <c r="B1907" t="s">
        <v>2739</v>
      </c>
      <c r="C1907" t="s">
        <v>177</v>
      </c>
      <c r="D1907" t="s">
        <v>158</v>
      </c>
      <c r="E1907" s="34">
        <v>6000000</v>
      </c>
      <c r="F1907" s="29">
        <v>0.14280000000000001</v>
      </c>
      <c r="G1907" s="30">
        <v>45505</v>
      </c>
      <c r="H1907">
        <v>12</v>
      </c>
      <c r="I1907">
        <v>45</v>
      </c>
      <c r="J1907" s="34">
        <v>9000000</v>
      </c>
      <c r="K1907" t="s">
        <v>199</v>
      </c>
      <c r="L1907" s="34">
        <f>PMT(Loans[[#This Row],[InterestRate]]/12,Loans[[#This Row],[LoanTenureMonths]],-Loans[[#This Row],[LoanAmount]])</f>
        <v>539513.4951547035</v>
      </c>
      <c r="M1907" s="30">
        <f>EDATE(Loans[[#This Row],[LoanStartDate]],Loans[[#This Row],[LoanTenureMonths]])</f>
        <v>45870</v>
      </c>
      <c r="N1907" s="33">
        <f>IF(Loans[[#This Row],[LoanAmount]]=0,0,Loans[[#This Row],[CollateralValue]]/Loans[[#This Row],[LoanAmount]])</f>
        <v>1.5</v>
      </c>
      <c r="O1907" t="str">
        <f>IF(Loans[[#This Row],[CollateralCoverageRatio]]&lt;1,"Undersecured","Secured")</f>
        <v>Secured</v>
      </c>
      <c r="P1907" t="str">
        <f>_xlfn.XLOOKUP(Loans[[#This Row],[BranchCode]],BranchesTbl[BranchCode],BranchesTbl[BranchName])</f>
        <v>Naivasha</v>
      </c>
      <c r="Q1907">
        <f>_xlfn.XLOOKUP(Loans[[#This Row],[CustomerID]],CustomerTbl[CustomerID],CustomerTbl[RiskScore])</f>
        <v>797</v>
      </c>
      <c r="R1907" t="str">
        <f>IFERROR(INDEX(RiskTbl[Risk_Category],MATCH(Loans[[#This Row],[RiskScore]],RiskTbl[Score_Min],1)),"Unknown")</f>
        <v>Very Low Risk</v>
      </c>
      <c r="S1907" t="str">
        <f>IF(OR(Loans[[#This Row],[LoanStatus]]="Default",Loans[[#This Row],[LoanStatus]]="Watchlist",Loans[[#This Row],[CollateralRisk]]="Undersecured",Loans[[#This Row],[RiskCategory]]="High Risk"),"High Risk Exposure","Normal")</f>
        <v>High Risk Exposure</v>
      </c>
      <c r="T1907" t="str" cm="1">
        <f t="array" ref="T1907">_xlfn.IFS(
Loans[[#This Row],[LoanStatus]]="Default","Critical",
OR(Loans[[#This Row],[LoanStatus]]="Watchlist",Loans[[#This Row],[CollateralRisk]]="Undersecured",Loans[[#This Row],[RiskCategory]]="High Risk"),"High",
TRUE,"Normal"
)</f>
        <v>High</v>
      </c>
    </row>
    <row r="1908" spans="1:20" x14ac:dyDescent="0.35">
      <c r="A1908" t="s">
        <v>2740</v>
      </c>
      <c r="B1908" t="s">
        <v>854</v>
      </c>
      <c r="C1908" t="s">
        <v>184</v>
      </c>
      <c r="D1908" t="s">
        <v>155</v>
      </c>
      <c r="E1908" s="34">
        <v>1000000</v>
      </c>
      <c r="F1908" s="29">
        <v>0.20799999999999999</v>
      </c>
      <c r="G1908" s="30">
        <v>45541</v>
      </c>
      <c r="H1908">
        <v>36</v>
      </c>
      <c r="I1908">
        <v>0</v>
      </c>
      <c r="J1908" s="34">
        <v>0</v>
      </c>
      <c r="K1908" t="s">
        <v>171</v>
      </c>
      <c r="L1908" s="34">
        <f>PMT(Loans[[#This Row],[InterestRate]]/12,Loans[[#This Row],[LoanTenureMonths]],-Loans[[#This Row],[LoanAmount]])</f>
        <v>37572.457782806508</v>
      </c>
      <c r="M1908" s="30">
        <f>EDATE(Loans[[#This Row],[LoanStartDate]],Loans[[#This Row],[LoanTenureMonths]])</f>
        <v>46636</v>
      </c>
      <c r="N1908" s="33">
        <f>IF(Loans[[#This Row],[LoanAmount]]=0,0,Loans[[#This Row],[CollateralValue]]/Loans[[#This Row],[LoanAmount]])</f>
        <v>0</v>
      </c>
      <c r="O1908" t="str">
        <f>IF(Loans[[#This Row],[CollateralCoverageRatio]]&lt;1,"Undersecured","Secured")</f>
        <v>Undersecured</v>
      </c>
      <c r="P1908" t="str">
        <f>_xlfn.XLOOKUP(Loans[[#This Row],[BranchCode]],BranchesTbl[BranchCode],BranchesTbl[BranchName])</f>
        <v>Kisumu</v>
      </c>
      <c r="Q1908">
        <f>_xlfn.XLOOKUP(Loans[[#This Row],[CustomerID]],CustomerTbl[CustomerID],CustomerTbl[RiskScore])</f>
        <v>455</v>
      </c>
      <c r="R1908" t="str">
        <f>IFERROR(INDEX(RiskTbl[Risk_Category],MATCH(Loans[[#This Row],[RiskScore]],RiskTbl[Score_Min],1)),"Unknown")</f>
        <v>High Risk</v>
      </c>
      <c r="S1908" t="str">
        <f>IF(OR(Loans[[#This Row],[LoanStatus]]="Default",Loans[[#This Row],[LoanStatus]]="Watchlist",Loans[[#This Row],[CollateralRisk]]="Undersecured",Loans[[#This Row],[RiskCategory]]="High Risk"),"High Risk Exposure","Normal")</f>
        <v>High Risk Exposure</v>
      </c>
      <c r="T1908" t="str" cm="1">
        <f t="array" ref="T1908">_xlfn.IFS(
Loans[[#This Row],[LoanStatus]]="Default","Critical",
OR(Loans[[#This Row],[LoanStatus]]="Watchlist",Loans[[#This Row],[CollateralRisk]]="Undersecured",Loans[[#This Row],[RiskCategory]]="High Risk"),"High",
TRUE,"Normal"
)</f>
        <v>High</v>
      </c>
    </row>
    <row r="1909" spans="1:20" x14ac:dyDescent="0.35">
      <c r="A1909" t="s">
        <v>2741</v>
      </c>
      <c r="B1909" t="s">
        <v>375</v>
      </c>
      <c r="C1909" t="s">
        <v>184</v>
      </c>
      <c r="D1909" t="s">
        <v>155</v>
      </c>
      <c r="E1909" s="34">
        <v>500000</v>
      </c>
      <c r="F1909" s="29">
        <v>0.2419</v>
      </c>
      <c r="G1909" s="30">
        <v>43872</v>
      </c>
      <c r="H1909">
        <v>48</v>
      </c>
      <c r="I1909">
        <v>10</v>
      </c>
      <c r="J1909" s="34">
        <v>0</v>
      </c>
      <c r="K1909" t="s">
        <v>171</v>
      </c>
      <c r="L1909" s="34">
        <f>PMT(Loans[[#This Row],[InterestRate]]/12,Loans[[#This Row],[LoanTenureMonths]],-Loans[[#This Row],[LoanAmount]])</f>
        <v>16353.481591019337</v>
      </c>
      <c r="M1909" s="30">
        <f>EDATE(Loans[[#This Row],[LoanStartDate]],Loans[[#This Row],[LoanTenureMonths]])</f>
        <v>45333</v>
      </c>
      <c r="N1909" s="33">
        <f>IF(Loans[[#This Row],[LoanAmount]]=0,0,Loans[[#This Row],[CollateralValue]]/Loans[[#This Row],[LoanAmount]])</f>
        <v>0</v>
      </c>
      <c r="O1909" t="str">
        <f>IF(Loans[[#This Row],[CollateralCoverageRatio]]&lt;1,"Undersecured","Secured")</f>
        <v>Undersecured</v>
      </c>
      <c r="P1909" t="str">
        <f>_xlfn.XLOOKUP(Loans[[#This Row],[BranchCode]],BranchesTbl[BranchCode],BranchesTbl[BranchName])</f>
        <v>Kisumu</v>
      </c>
      <c r="Q1909">
        <f>_xlfn.XLOOKUP(Loans[[#This Row],[CustomerID]],CustomerTbl[CustomerID],CustomerTbl[RiskScore])</f>
        <v>358</v>
      </c>
      <c r="R1909" t="str">
        <f>IFERROR(INDEX(RiskTbl[Risk_Category],MATCH(Loans[[#This Row],[RiskScore]],RiskTbl[Score_Min],1)),"Unknown")</f>
        <v>High Risk</v>
      </c>
      <c r="S1909" t="str">
        <f>IF(OR(Loans[[#This Row],[LoanStatus]]="Default",Loans[[#This Row],[LoanStatus]]="Watchlist",Loans[[#This Row],[CollateralRisk]]="Undersecured",Loans[[#This Row],[RiskCategory]]="High Risk"),"High Risk Exposure","Normal")</f>
        <v>High Risk Exposure</v>
      </c>
      <c r="T1909" t="str" cm="1">
        <f t="array" ref="T1909">_xlfn.IFS(
Loans[[#This Row],[LoanStatus]]="Default","Critical",
OR(Loans[[#This Row],[LoanStatus]]="Watchlist",Loans[[#This Row],[CollateralRisk]]="Undersecured",Loans[[#This Row],[RiskCategory]]="High Risk"),"High",
TRUE,"Normal"
)</f>
        <v>High</v>
      </c>
    </row>
    <row r="1910" spans="1:20" x14ac:dyDescent="0.35">
      <c r="A1910" t="s">
        <v>2742</v>
      </c>
      <c r="B1910" t="s">
        <v>1123</v>
      </c>
      <c r="C1910" t="s">
        <v>239</v>
      </c>
      <c r="D1910" t="s">
        <v>155</v>
      </c>
      <c r="E1910" s="34">
        <v>100000</v>
      </c>
      <c r="F1910" s="29">
        <v>0.25750000000000001</v>
      </c>
      <c r="G1910" s="30">
        <v>45943</v>
      </c>
      <c r="H1910">
        <v>72</v>
      </c>
      <c r="I1910">
        <v>5</v>
      </c>
      <c r="J1910" s="34">
        <v>0</v>
      </c>
      <c r="K1910" t="s">
        <v>171</v>
      </c>
      <c r="L1910" s="34">
        <f>PMT(Loans[[#This Row],[InterestRate]]/12,Loans[[#This Row],[LoanTenureMonths]],-Loans[[#This Row],[LoanAmount]])</f>
        <v>2739.921492322293</v>
      </c>
      <c r="M1910" s="30">
        <f>EDATE(Loans[[#This Row],[LoanStartDate]],Loans[[#This Row],[LoanTenureMonths]])</f>
        <v>48134</v>
      </c>
      <c r="N1910" s="33">
        <f>IF(Loans[[#This Row],[LoanAmount]]=0,0,Loans[[#This Row],[CollateralValue]]/Loans[[#This Row],[LoanAmount]])</f>
        <v>0</v>
      </c>
      <c r="O1910" t="str">
        <f>IF(Loans[[#This Row],[CollateralCoverageRatio]]&lt;1,"Undersecured","Secured")</f>
        <v>Undersecured</v>
      </c>
      <c r="P1910" t="str">
        <f>_xlfn.XLOOKUP(Loans[[#This Row],[BranchCode]],BranchesTbl[BranchCode],BranchesTbl[BranchName])</f>
        <v>Machakos</v>
      </c>
      <c r="Q1910">
        <f>_xlfn.XLOOKUP(Loans[[#This Row],[CustomerID]],CustomerTbl[CustomerID],CustomerTbl[RiskScore])</f>
        <v>545</v>
      </c>
      <c r="R1910" t="str">
        <f>IFERROR(INDEX(RiskTbl[Risk_Category],MATCH(Loans[[#This Row],[RiskScore]],RiskTbl[Score_Min],1)),"Unknown")</f>
        <v>High Risk</v>
      </c>
      <c r="S1910" t="str">
        <f>IF(OR(Loans[[#This Row],[LoanStatus]]="Default",Loans[[#This Row],[LoanStatus]]="Watchlist",Loans[[#This Row],[CollateralRisk]]="Undersecured",Loans[[#This Row],[RiskCategory]]="High Risk"),"High Risk Exposure","Normal")</f>
        <v>High Risk Exposure</v>
      </c>
      <c r="T1910" t="str" cm="1">
        <f t="array" ref="T1910">_xlfn.IFS(
Loans[[#This Row],[LoanStatus]]="Default","Critical",
OR(Loans[[#This Row],[LoanStatus]]="Watchlist",Loans[[#This Row],[CollateralRisk]]="Undersecured",Loans[[#This Row],[RiskCategory]]="High Risk"),"High",
TRUE,"Normal"
)</f>
        <v>High</v>
      </c>
    </row>
    <row r="1911" spans="1:20" x14ac:dyDescent="0.35">
      <c r="A1911" t="s">
        <v>2743</v>
      </c>
      <c r="B1911" t="s">
        <v>659</v>
      </c>
      <c r="C1911" t="s">
        <v>196</v>
      </c>
      <c r="D1911" t="s">
        <v>158</v>
      </c>
      <c r="E1911" s="34">
        <v>500000</v>
      </c>
      <c r="F1911" s="29">
        <v>0.1464</v>
      </c>
      <c r="G1911" s="30">
        <v>44671</v>
      </c>
      <c r="H1911">
        <v>12</v>
      </c>
      <c r="I1911">
        <v>0</v>
      </c>
      <c r="J1911" s="34">
        <v>705000</v>
      </c>
      <c r="K1911" t="s">
        <v>171</v>
      </c>
      <c r="L1911" s="34">
        <f>PMT(Loans[[#This Row],[InterestRate]]/12,Loans[[#This Row],[LoanTenureMonths]],-Loans[[#This Row],[LoanAmount]])</f>
        <v>45044.263261700675</v>
      </c>
      <c r="M1911" s="30">
        <f>EDATE(Loans[[#This Row],[LoanStartDate]],Loans[[#This Row],[LoanTenureMonths]])</f>
        <v>45036</v>
      </c>
      <c r="N1911" s="33">
        <f>IF(Loans[[#This Row],[LoanAmount]]=0,0,Loans[[#This Row],[CollateralValue]]/Loans[[#This Row],[LoanAmount]])</f>
        <v>1.41</v>
      </c>
      <c r="O1911" t="str">
        <f>IF(Loans[[#This Row],[CollateralCoverageRatio]]&lt;1,"Undersecured","Secured")</f>
        <v>Secured</v>
      </c>
      <c r="P1911" t="str">
        <f>_xlfn.XLOOKUP(Loans[[#This Row],[BranchCode]],BranchesTbl[BranchCode],BranchesTbl[BranchName])</f>
        <v>Karen</v>
      </c>
      <c r="Q1911">
        <f>_xlfn.XLOOKUP(Loans[[#This Row],[CustomerID]],CustomerTbl[CustomerID],CustomerTbl[RiskScore])</f>
        <v>320</v>
      </c>
      <c r="R1911" t="str">
        <f>IFERROR(INDEX(RiskTbl[Risk_Category],MATCH(Loans[[#This Row],[RiskScore]],RiskTbl[Score_Min],1)),"Unknown")</f>
        <v>High Risk</v>
      </c>
      <c r="S1911" t="str">
        <f>IF(OR(Loans[[#This Row],[LoanStatus]]="Default",Loans[[#This Row],[LoanStatus]]="Watchlist",Loans[[#This Row],[CollateralRisk]]="Undersecured",Loans[[#This Row],[RiskCategory]]="High Risk"),"High Risk Exposure","Normal")</f>
        <v>High Risk Exposure</v>
      </c>
      <c r="T1911" t="str" cm="1">
        <f t="array" ref="T1911">_xlfn.IFS(
Loans[[#This Row],[LoanStatus]]="Default","Critical",
OR(Loans[[#This Row],[LoanStatus]]="Watchlist",Loans[[#This Row],[CollateralRisk]]="Undersecured",Loans[[#This Row],[RiskCategory]]="High Risk"),"High",
TRUE,"Normal"
)</f>
        <v>High</v>
      </c>
    </row>
    <row r="1912" spans="1:20" x14ac:dyDescent="0.35">
      <c r="A1912" t="s">
        <v>2744</v>
      </c>
      <c r="B1912" t="s">
        <v>470</v>
      </c>
      <c r="C1912" t="s">
        <v>170</v>
      </c>
      <c r="D1912" t="s">
        <v>156</v>
      </c>
      <c r="E1912" s="34">
        <v>6000000</v>
      </c>
      <c r="F1912" s="29">
        <v>0.191</v>
      </c>
      <c r="G1912" s="30">
        <v>44934</v>
      </c>
      <c r="H1912">
        <v>36</v>
      </c>
      <c r="I1912">
        <v>0</v>
      </c>
      <c r="J1912" s="34">
        <v>3180000</v>
      </c>
      <c r="K1912" t="s">
        <v>171</v>
      </c>
      <c r="L1912" s="34">
        <f>PMT(Loans[[#This Row],[InterestRate]]/12,Loans[[#This Row],[LoanTenureMonths]],-Loans[[#This Row],[LoanAmount]])</f>
        <v>220239.59642968766</v>
      </c>
      <c r="M1912" s="30">
        <f>EDATE(Loans[[#This Row],[LoanStartDate]],Loans[[#This Row],[LoanTenureMonths]])</f>
        <v>46030</v>
      </c>
      <c r="N1912" s="33">
        <f>IF(Loans[[#This Row],[LoanAmount]]=0,0,Loans[[#This Row],[CollateralValue]]/Loans[[#This Row],[LoanAmount]])</f>
        <v>0.53</v>
      </c>
      <c r="O1912" t="str">
        <f>IF(Loans[[#This Row],[CollateralCoverageRatio]]&lt;1,"Undersecured","Secured")</f>
        <v>Undersecured</v>
      </c>
      <c r="P1912" t="str">
        <f>_xlfn.XLOOKUP(Loans[[#This Row],[BranchCode]],BranchesTbl[BranchCode],BranchesTbl[BranchName])</f>
        <v>Thika</v>
      </c>
      <c r="Q1912">
        <f>_xlfn.XLOOKUP(Loans[[#This Row],[CustomerID]],CustomerTbl[CustomerID],CustomerTbl[RiskScore])</f>
        <v>660</v>
      </c>
      <c r="R1912" t="str">
        <f>IFERROR(INDEX(RiskTbl[Risk_Category],MATCH(Loans[[#This Row],[RiskScore]],RiskTbl[Score_Min],1)),"Unknown")</f>
        <v>Medium Risk</v>
      </c>
      <c r="S1912" t="str">
        <f>IF(OR(Loans[[#This Row],[LoanStatus]]="Default",Loans[[#This Row],[LoanStatus]]="Watchlist",Loans[[#This Row],[CollateralRisk]]="Undersecured",Loans[[#This Row],[RiskCategory]]="High Risk"),"High Risk Exposure","Normal")</f>
        <v>High Risk Exposure</v>
      </c>
      <c r="T1912" t="str" cm="1">
        <f t="array" ref="T1912">_xlfn.IFS(
Loans[[#This Row],[LoanStatus]]="Default","Critical",
OR(Loans[[#This Row],[LoanStatus]]="Watchlist",Loans[[#This Row],[CollateralRisk]]="Undersecured",Loans[[#This Row],[RiskCategory]]="High Risk"),"High",
TRUE,"Normal"
)</f>
        <v>High</v>
      </c>
    </row>
    <row r="1913" spans="1:20" x14ac:dyDescent="0.35">
      <c r="A1913" t="s">
        <v>2745</v>
      </c>
      <c r="B1913" t="s">
        <v>2746</v>
      </c>
      <c r="C1913" t="s">
        <v>190</v>
      </c>
      <c r="D1913" t="s">
        <v>157</v>
      </c>
      <c r="E1913" s="34">
        <v>80000000</v>
      </c>
      <c r="F1913" s="29">
        <v>9.5500000000000002E-2</v>
      </c>
      <c r="G1913" s="30">
        <v>45309</v>
      </c>
      <c r="H1913">
        <v>48</v>
      </c>
      <c r="I1913">
        <v>45</v>
      </c>
      <c r="J1913" s="34">
        <v>100800000</v>
      </c>
      <c r="K1913" t="s">
        <v>199</v>
      </c>
      <c r="L1913" s="34">
        <f>PMT(Loans[[#This Row],[InterestRate]]/12,Loans[[#This Row],[LoanTenureMonths]],-Loans[[#This Row],[LoanAmount]])</f>
        <v>2011761.6426891561</v>
      </c>
      <c r="M1913" s="30">
        <f>EDATE(Loans[[#This Row],[LoanStartDate]],Loans[[#This Row],[LoanTenureMonths]])</f>
        <v>46770</v>
      </c>
      <c r="N1913" s="33">
        <f>IF(Loans[[#This Row],[LoanAmount]]=0,0,Loans[[#This Row],[CollateralValue]]/Loans[[#This Row],[LoanAmount]])</f>
        <v>1.26</v>
      </c>
      <c r="O1913" t="str">
        <f>IF(Loans[[#This Row],[CollateralCoverageRatio]]&lt;1,"Undersecured","Secured")</f>
        <v>Secured</v>
      </c>
      <c r="P1913" t="str">
        <f>_xlfn.XLOOKUP(Loans[[#This Row],[BranchCode]],BranchesTbl[BranchCode],BranchesTbl[BranchName])</f>
        <v>Nyeri</v>
      </c>
      <c r="Q1913">
        <f>_xlfn.XLOOKUP(Loans[[#This Row],[CustomerID]],CustomerTbl[CustomerID],CustomerTbl[RiskScore])</f>
        <v>487</v>
      </c>
      <c r="R1913" t="str">
        <f>IFERROR(INDEX(RiskTbl[Risk_Category],MATCH(Loans[[#This Row],[RiskScore]],RiskTbl[Score_Min],1)),"Unknown")</f>
        <v>High Risk</v>
      </c>
      <c r="S1913" t="str">
        <f>IF(OR(Loans[[#This Row],[LoanStatus]]="Default",Loans[[#This Row],[LoanStatus]]="Watchlist",Loans[[#This Row],[CollateralRisk]]="Undersecured",Loans[[#This Row],[RiskCategory]]="High Risk"),"High Risk Exposure","Normal")</f>
        <v>High Risk Exposure</v>
      </c>
      <c r="T1913" t="str" cm="1">
        <f t="array" ref="T1913">_xlfn.IFS(
Loans[[#This Row],[LoanStatus]]="Default","Critical",
OR(Loans[[#This Row],[LoanStatus]]="Watchlist",Loans[[#This Row],[CollateralRisk]]="Undersecured",Loans[[#This Row],[RiskCategory]]="High Risk"),"High",
TRUE,"Normal"
)</f>
        <v>High</v>
      </c>
    </row>
    <row r="1914" spans="1:20" x14ac:dyDescent="0.35">
      <c r="A1914" t="s">
        <v>2747</v>
      </c>
      <c r="B1914" t="s">
        <v>545</v>
      </c>
      <c r="C1914" t="s">
        <v>177</v>
      </c>
      <c r="D1914" t="s">
        <v>158</v>
      </c>
      <c r="E1914" s="34">
        <v>1000000</v>
      </c>
      <c r="F1914" s="29">
        <v>0.12</v>
      </c>
      <c r="G1914" s="30">
        <v>44806</v>
      </c>
      <c r="H1914">
        <v>12</v>
      </c>
      <c r="I1914">
        <v>120</v>
      </c>
      <c r="J1914" s="34">
        <v>1350000</v>
      </c>
      <c r="K1914" t="s">
        <v>178</v>
      </c>
      <c r="L1914" s="34">
        <f>PMT(Loans[[#This Row],[InterestRate]]/12,Loans[[#This Row],[LoanTenureMonths]],-Loans[[#This Row],[LoanAmount]])</f>
        <v>88848.788678341691</v>
      </c>
      <c r="M1914" s="30">
        <f>EDATE(Loans[[#This Row],[LoanStartDate]],Loans[[#This Row],[LoanTenureMonths]])</f>
        <v>45171</v>
      </c>
      <c r="N1914" s="33">
        <f>IF(Loans[[#This Row],[LoanAmount]]=0,0,Loans[[#This Row],[CollateralValue]]/Loans[[#This Row],[LoanAmount]])</f>
        <v>1.35</v>
      </c>
      <c r="O1914" t="str">
        <f>IF(Loans[[#This Row],[CollateralCoverageRatio]]&lt;1,"Undersecured","Secured")</f>
        <v>Secured</v>
      </c>
      <c r="P1914" t="str">
        <f>_xlfn.XLOOKUP(Loans[[#This Row],[BranchCode]],BranchesTbl[BranchCode],BranchesTbl[BranchName])</f>
        <v>Naivasha</v>
      </c>
      <c r="Q1914">
        <f>_xlfn.XLOOKUP(Loans[[#This Row],[CustomerID]],CustomerTbl[CustomerID],CustomerTbl[RiskScore])</f>
        <v>804</v>
      </c>
      <c r="R1914" t="str">
        <f>IFERROR(INDEX(RiskTbl[Risk_Category],MATCH(Loans[[#This Row],[RiskScore]],RiskTbl[Score_Min],1)),"Unknown")</f>
        <v>Prime</v>
      </c>
      <c r="S1914" t="str">
        <f>IF(OR(Loans[[#This Row],[LoanStatus]]="Default",Loans[[#This Row],[LoanStatus]]="Watchlist",Loans[[#This Row],[CollateralRisk]]="Undersecured",Loans[[#This Row],[RiskCategory]]="High Risk"),"High Risk Exposure","Normal")</f>
        <v>High Risk Exposure</v>
      </c>
      <c r="T1914" t="str" cm="1">
        <f t="array" ref="T1914">_xlfn.IFS(
Loans[[#This Row],[LoanStatus]]="Default","Critical",
OR(Loans[[#This Row],[LoanStatus]]="Watchlist",Loans[[#This Row],[CollateralRisk]]="Undersecured",Loans[[#This Row],[RiskCategory]]="High Risk"),"High",
TRUE,"Normal"
)</f>
        <v>Critical</v>
      </c>
    </row>
    <row r="1915" spans="1:20" x14ac:dyDescent="0.35">
      <c r="A1915" t="s">
        <v>2748</v>
      </c>
      <c r="B1915" t="s">
        <v>1933</v>
      </c>
      <c r="C1915" t="s">
        <v>239</v>
      </c>
      <c r="D1915" t="s">
        <v>156</v>
      </c>
      <c r="E1915" s="34">
        <v>6000000</v>
      </c>
      <c r="F1915" s="29">
        <v>0.23749999999999999</v>
      </c>
      <c r="G1915" s="30">
        <v>44336</v>
      </c>
      <c r="H1915">
        <v>12</v>
      </c>
      <c r="I1915">
        <v>90</v>
      </c>
      <c r="J1915" s="34">
        <v>7860000</v>
      </c>
      <c r="K1915" t="s">
        <v>199</v>
      </c>
      <c r="L1915" s="34">
        <f>PMT(Loans[[#This Row],[InterestRate]]/12,Loans[[#This Row],[LoanTenureMonths]],-Loans[[#This Row],[LoanAmount]])</f>
        <v>566631.91739320045</v>
      </c>
      <c r="M1915" s="30">
        <f>EDATE(Loans[[#This Row],[LoanStartDate]],Loans[[#This Row],[LoanTenureMonths]])</f>
        <v>44701</v>
      </c>
      <c r="N1915" s="33">
        <f>IF(Loans[[#This Row],[LoanAmount]]=0,0,Loans[[#This Row],[CollateralValue]]/Loans[[#This Row],[LoanAmount]])</f>
        <v>1.31</v>
      </c>
      <c r="O1915" t="str">
        <f>IF(Loans[[#This Row],[CollateralCoverageRatio]]&lt;1,"Undersecured","Secured")</f>
        <v>Secured</v>
      </c>
      <c r="P1915" t="str">
        <f>_xlfn.XLOOKUP(Loans[[#This Row],[BranchCode]],BranchesTbl[BranchCode],BranchesTbl[BranchName])</f>
        <v>Machakos</v>
      </c>
      <c r="Q1915">
        <f>_xlfn.XLOOKUP(Loans[[#This Row],[CustomerID]],CustomerTbl[CustomerID],CustomerTbl[RiskScore])</f>
        <v>747</v>
      </c>
      <c r="R1915" t="str">
        <f>IFERROR(INDEX(RiskTbl[Risk_Category],MATCH(Loans[[#This Row],[RiskScore]],RiskTbl[Score_Min],1)),"Unknown")</f>
        <v>Very Low Risk</v>
      </c>
      <c r="S1915" t="str">
        <f>IF(OR(Loans[[#This Row],[LoanStatus]]="Default",Loans[[#This Row],[LoanStatus]]="Watchlist",Loans[[#This Row],[CollateralRisk]]="Undersecured",Loans[[#This Row],[RiskCategory]]="High Risk"),"High Risk Exposure","Normal")</f>
        <v>High Risk Exposure</v>
      </c>
      <c r="T1915" t="str" cm="1">
        <f t="array" ref="T1915">_xlfn.IFS(
Loans[[#This Row],[LoanStatus]]="Default","Critical",
OR(Loans[[#This Row],[LoanStatus]]="Watchlist",Loans[[#This Row],[CollateralRisk]]="Undersecured",Loans[[#This Row],[RiskCategory]]="High Risk"),"High",
TRUE,"Normal"
)</f>
        <v>High</v>
      </c>
    </row>
    <row r="1916" spans="1:20" x14ac:dyDescent="0.35">
      <c r="A1916" t="s">
        <v>2749</v>
      </c>
      <c r="B1916" t="s">
        <v>1604</v>
      </c>
      <c r="C1916" t="s">
        <v>187</v>
      </c>
      <c r="D1916" t="s">
        <v>156</v>
      </c>
      <c r="E1916" s="34">
        <v>25000000</v>
      </c>
      <c r="F1916" s="29">
        <v>0.20380000000000001</v>
      </c>
      <c r="G1916" s="30">
        <v>45833</v>
      </c>
      <c r="H1916">
        <v>36</v>
      </c>
      <c r="I1916">
        <v>0</v>
      </c>
      <c r="J1916" s="34">
        <v>30250000</v>
      </c>
      <c r="K1916" t="s">
        <v>171</v>
      </c>
      <c r="L1916" s="34">
        <f>PMT(Loans[[#This Row],[InterestRate]]/12,Loans[[#This Row],[LoanTenureMonths]],-Loans[[#This Row],[LoanAmount]])</f>
        <v>933937.16061063146</v>
      </c>
      <c r="M1916" s="30">
        <f>EDATE(Loans[[#This Row],[LoanStartDate]],Loans[[#This Row],[LoanTenureMonths]])</f>
        <v>46929</v>
      </c>
      <c r="N1916" s="33">
        <f>IF(Loans[[#This Row],[LoanAmount]]=0,0,Loans[[#This Row],[CollateralValue]]/Loans[[#This Row],[LoanAmount]])</f>
        <v>1.21</v>
      </c>
      <c r="O1916" t="str">
        <f>IF(Loans[[#This Row],[CollateralCoverageRatio]]&lt;1,"Undersecured","Secured")</f>
        <v>Secured</v>
      </c>
      <c r="P1916" t="str">
        <f>_xlfn.XLOOKUP(Loans[[#This Row],[BranchCode]],BranchesTbl[BranchCode],BranchesTbl[BranchName])</f>
        <v>Eldoret</v>
      </c>
      <c r="Q1916">
        <f>_xlfn.XLOOKUP(Loans[[#This Row],[CustomerID]],CustomerTbl[CustomerID],CustomerTbl[RiskScore])</f>
        <v>350</v>
      </c>
      <c r="R1916" t="str">
        <f>IFERROR(INDEX(RiskTbl[Risk_Category],MATCH(Loans[[#This Row],[RiskScore]],RiskTbl[Score_Min],1)),"Unknown")</f>
        <v>High Risk</v>
      </c>
      <c r="S1916" t="str">
        <f>IF(OR(Loans[[#This Row],[LoanStatus]]="Default",Loans[[#This Row],[LoanStatus]]="Watchlist",Loans[[#This Row],[CollateralRisk]]="Undersecured",Loans[[#This Row],[RiskCategory]]="High Risk"),"High Risk Exposure","Normal")</f>
        <v>High Risk Exposure</v>
      </c>
      <c r="T1916" t="str" cm="1">
        <f t="array" ref="T1916">_xlfn.IFS(
Loans[[#This Row],[LoanStatus]]="Default","Critical",
OR(Loans[[#This Row],[LoanStatus]]="Watchlist",Loans[[#This Row],[CollateralRisk]]="Undersecured",Loans[[#This Row],[RiskCategory]]="High Risk"),"High",
TRUE,"Normal"
)</f>
        <v>High</v>
      </c>
    </row>
    <row r="1917" spans="1:20" x14ac:dyDescent="0.35">
      <c r="A1917" t="s">
        <v>2750</v>
      </c>
      <c r="B1917" t="s">
        <v>608</v>
      </c>
      <c r="C1917" t="s">
        <v>181</v>
      </c>
      <c r="D1917" t="s">
        <v>157</v>
      </c>
      <c r="E1917" s="34">
        <v>25000000</v>
      </c>
      <c r="F1917" s="29">
        <v>0.1138</v>
      </c>
      <c r="G1917" s="30">
        <v>45080</v>
      </c>
      <c r="H1917">
        <v>48</v>
      </c>
      <c r="I1917">
        <v>0</v>
      </c>
      <c r="J1917" s="34">
        <v>16750000</v>
      </c>
      <c r="K1917" t="s">
        <v>171</v>
      </c>
      <c r="L1917" s="34">
        <f>PMT(Loans[[#This Row],[InterestRate]]/12,Loans[[#This Row],[LoanTenureMonths]],-Loans[[#This Row],[LoanAmount]])</f>
        <v>650761.24609367514</v>
      </c>
      <c r="M1917" s="30">
        <f>EDATE(Loans[[#This Row],[LoanStartDate]],Loans[[#This Row],[LoanTenureMonths]])</f>
        <v>46541</v>
      </c>
      <c r="N1917" s="33">
        <f>IF(Loans[[#This Row],[LoanAmount]]=0,0,Loans[[#This Row],[CollateralValue]]/Loans[[#This Row],[LoanAmount]])</f>
        <v>0.67</v>
      </c>
      <c r="O1917" t="str">
        <f>IF(Loans[[#This Row],[CollateralCoverageRatio]]&lt;1,"Undersecured","Secured")</f>
        <v>Undersecured</v>
      </c>
      <c r="P1917" t="str">
        <f>_xlfn.XLOOKUP(Loans[[#This Row],[BranchCode]],BranchesTbl[BranchCode],BranchesTbl[BranchName])</f>
        <v>Kitale</v>
      </c>
      <c r="Q1917">
        <f>_xlfn.XLOOKUP(Loans[[#This Row],[CustomerID]],CustomerTbl[CustomerID],CustomerTbl[RiskScore])</f>
        <v>557</v>
      </c>
      <c r="R1917" t="str">
        <f>IFERROR(INDEX(RiskTbl[Risk_Category],MATCH(Loans[[#This Row],[RiskScore]],RiskTbl[Score_Min],1)),"Unknown")</f>
        <v>High Risk</v>
      </c>
      <c r="S1917" t="str">
        <f>IF(OR(Loans[[#This Row],[LoanStatus]]="Default",Loans[[#This Row],[LoanStatus]]="Watchlist",Loans[[#This Row],[CollateralRisk]]="Undersecured",Loans[[#This Row],[RiskCategory]]="High Risk"),"High Risk Exposure","Normal")</f>
        <v>High Risk Exposure</v>
      </c>
      <c r="T1917" t="str" cm="1">
        <f t="array" ref="T1917">_xlfn.IFS(
Loans[[#This Row],[LoanStatus]]="Default","Critical",
OR(Loans[[#This Row],[LoanStatus]]="Watchlist",Loans[[#This Row],[CollateralRisk]]="Undersecured",Loans[[#This Row],[RiskCategory]]="High Risk"),"High",
TRUE,"Normal"
)</f>
        <v>High</v>
      </c>
    </row>
    <row r="1918" spans="1:20" x14ac:dyDescent="0.35">
      <c r="A1918" t="s">
        <v>2751</v>
      </c>
      <c r="B1918" t="s">
        <v>2014</v>
      </c>
      <c r="C1918" t="s">
        <v>181</v>
      </c>
      <c r="D1918" t="s">
        <v>158</v>
      </c>
      <c r="E1918" s="34">
        <v>6000000</v>
      </c>
      <c r="F1918" s="29">
        <v>0.1734</v>
      </c>
      <c r="G1918" s="30">
        <v>44577</v>
      </c>
      <c r="H1918">
        <v>48</v>
      </c>
      <c r="I1918">
        <v>45</v>
      </c>
      <c r="J1918" s="34">
        <v>6060000</v>
      </c>
      <c r="K1918" t="s">
        <v>199</v>
      </c>
      <c r="L1918" s="34">
        <f>PMT(Loans[[#This Row],[InterestRate]]/12,Loans[[#This Row],[LoanTenureMonths]],-Loans[[#This Row],[LoanAmount]])</f>
        <v>174187.47913513918</v>
      </c>
      <c r="M1918" s="30">
        <f>EDATE(Loans[[#This Row],[LoanStartDate]],Loans[[#This Row],[LoanTenureMonths]])</f>
        <v>46038</v>
      </c>
      <c r="N1918" s="33">
        <f>IF(Loans[[#This Row],[LoanAmount]]=0,0,Loans[[#This Row],[CollateralValue]]/Loans[[#This Row],[LoanAmount]])</f>
        <v>1.01</v>
      </c>
      <c r="O1918" t="str">
        <f>IF(Loans[[#This Row],[CollateralCoverageRatio]]&lt;1,"Undersecured","Secured")</f>
        <v>Secured</v>
      </c>
      <c r="P1918" t="str">
        <f>_xlfn.XLOOKUP(Loans[[#This Row],[BranchCode]],BranchesTbl[BranchCode],BranchesTbl[BranchName])</f>
        <v>Kitale</v>
      </c>
      <c r="Q1918">
        <f>_xlfn.XLOOKUP(Loans[[#This Row],[CustomerID]],CustomerTbl[CustomerID],CustomerTbl[RiskScore])</f>
        <v>451</v>
      </c>
      <c r="R1918" t="str">
        <f>IFERROR(INDEX(RiskTbl[Risk_Category],MATCH(Loans[[#This Row],[RiskScore]],RiskTbl[Score_Min],1)),"Unknown")</f>
        <v>High Risk</v>
      </c>
      <c r="S1918" t="str">
        <f>IF(OR(Loans[[#This Row],[LoanStatus]]="Default",Loans[[#This Row],[LoanStatus]]="Watchlist",Loans[[#This Row],[CollateralRisk]]="Undersecured",Loans[[#This Row],[RiskCategory]]="High Risk"),"High Risk Exposure","Normal")</f>
        <v>High Risk Exposure</v>
      </c>
      <c r="T1918" t="str" cm="1">
        <f t="array" ref="T1918">_xlfn.IFS(
Loans[[#This Row],[LoanStatus]]="Default","Critical",
OR(Loans[[#This Row],[LoanStatus]]="Watchlist",Loans[[#This Row],[CollateralRisk]]="Undersecured",Loans[[#This Row],[RiskCategory]]="High Risk"),"High",
TRUE,"Normal"
)</f>
        <v>High</v>
      </c>
    </row>
    <row r="1919" spans="1:20" x14ac:dyDescent="0.35">
      <c r="A1919" t="s">
        <v>2752</v>
      </c>
      <c r="B1919" t="s">
        <v>916</v>
      </c>
      <c r="C1919" t="s">
        <v>170</v>
      </c>
      <c r="D1919" t="s">
        <v>158</v>
      </c>
      <c r="E1919" s="34">
        <v>500000</v>
      </c>
      <c r="F1919" s="29">
        <v>0.19389999999999999</v>
      </c>
      <c r="G1919" s="30">
        <v>45164</v>
      </c>
      <c r="H1919">
        <v>36</v>
      </c>
      <c r="I1919">
        <v>90</v>
      </c>
      <c r="J1919" s="34">
        <v>300000</v>
      </c>
      <c r="K1919" t="s">
        <v>199</v>
      </c>
      <c r="L1919" s="34">
        <f>PMT(Loans[[#This Row],[InterestRate]]/12,Loans[[#This Row],[LoanTenureMonths]],-Loans[[#This Row],[LoanAmount]])</f>
        <v>18426.751094730851</v>
      </c>
      <c r="M1919" s="30">
        <f>EDATE(Loans[[#This Row],[LoanStartDate]],Loans[[#This Row],[LoanTenureMonths]])</f>
        <v>46260</v>
      </c>
      <c r="N1919" s="33">
        <f>IF(Loans[[#This Row],[LoanAmount]]=0,0,Loans[[#This Row],[CollateralValue]]/Loans[[#This Row],[LoanAmount]])</f>
        <v>0.6</v>
      </c>
      <c r="O1919" t="str">
        <f>IF(Loans[[#This Row],[CollateralCoverageRatio]]&lt;1,"Undersecured","Secured")</f>
        <v>Undersecured</v>
      </c>
      <c r="P1919" t="str">
        <f>_xlfn.XLOOKUP(Loans[[#This Row],[BranchCode]],BranchesTbl[BranchCode],BranchesTbl[BranchName])</f>
        <v>Thika</v>
      </c>
      <c r="Q1919">
        <f>_xlfn.XLOOKUP(Loans[[#This Row],[CustomerID]],CustomerTbl[CustomerID],CustomerTbl[RiskScore])</f>
        <v>366</v>
      </c>
      <c r="R1919" t="str">
        <f>IFERROR(INDEX(RiskTbl[Risk_Category],MATCH(Loans[[#This Row],[RiskScore]],RiskTbl[Score_Min],1)),"Unknown")</f>
        <v>High Risk</v>
      </c>
      <c r="S1919" t="str">
        <f>IF(OR(Loans[[#This Row],[LoanStatus]]="Default",Loans[[#This Row],[LoanStatus]]="Watchlist",Loans[[#This Row],[CollateralRisk]]="Undersecured",Loans[[#This Row],[RiskCategory]]="High Risk"),"High Risk Exposure","Normal")</f>
        <v>High Risk Exposure</v>
      </c>
      <c r="T1919" t="str" cm="1">
        <f t="array" ref="T1919">_xlfn.IFS(
Loans[[#This Row],[LoanStatus]]="Default","Critical",
OR(Loans[[#This Row],[LoanStatus]]="Watchlist",Loans[[#This Row],[CollateralRisk]]="Undersecured",Loans[[#This Row],[RiskCategory]]="High Risk"),"High",
TRUE,"Normal"
)</f>
        <v>High</v>
      </c>
    </row>
    <row r="1920" spans="1:20" x14ac:dyDescent="0.35">
      <c r="A1920" t="s">
        <v>2753</v>
      </c>
      <c r="B1920" t="s">
        <v>1475</v>
      </c>
      <c r="C1920" t="s">
        <v>219</v>
      </c>
      <c r="D1920" t="s">
        <v>156</v>
      </c>
      <c r="E1920" s="34">
        <v>6000000</v>
      </c>
      <c r="F1920" s="29">
        <v>0.1706</v>
      </c>
      <c r="G1920" s="30">
        <v>44601</v>
      </c>
      <c r="H1920">
        <v>72</v>
      </c>
      <c r="I1920">
        <v>0</v>
      </c>
      <c r="J1920" s="34">
        <v>6840000</v>
      </c>
      <c r="K1920" t="s">
        <v>171</v>
      </c>
      <c r="L1920" s="34">
        <f>PMT(Loans[[#This Row],[InterestRate]]/12,Loans[[#This Row],[LoanTenureMonths]],-Loans[[#This Row],[LoanAmount]])</f>
        <v>133677.74329011317</v>
      </c>
      <c r="M1920" s="30">
        <f>EDATE(Loans[[#This Row],[LoanStartDate]],Loans[[#This Row],[LoanTenureMonths]])</f>
        <v>46792</v>
      </c>
      <c r="N1920" s="33">
        <f>IF(Loans[[#This Row],[LoanAmount]]=0,0,Loans[[#This Row],[CollateralValue]]/Loans[[#This Row],[LoanAmount]])</f>
        <v>1.1399999999999999</v>
      </c>
      <c r="O1920" t="str">
        <f>IF(Loans[[#This Row],[CollateralCoverageRatio]]&lt;1,"Undersecured","Secured")</f>
        <v>Secured</v>
      </c>
      <c r="P1920" t="str">
        <f>_xlfn.XLOOKUP(Loans[[#This Row],[BranchCode]],BranchesTbl[BranchCode],BranchesTbl[BranchName])</f>
        <v>Meru</v>
      </c>
      <c r="Q1920">
        <f>_xlfn.XLOOKUP(Loans[[#This Row],[CustomerID]],CustomerTbl[CustomerID],CustomerTbl[RiskScore])</f>
        <v>777</v>
      </c>
      <c r="R1920" t="str">
        <f>IFERROR(INDEX(RiskTbl[Risk_Category],MATCH(Loans[[#This Row],[RiskScore]],RiskTbl[Score_Min],1)),"Unknown")</f>
        <v>Very Low Risk</v>
      </c>
      <c r="S1920" t="str">
        <f>IF(OR(Loans[[#This Row],[LoanStatus]]="Default",Loans[[#This Row],[LoanStatus]]="Watchlist",Loans[[#This Row],[CollateralRisk]]="Undersecured",Loans[[#This Row],[RiskCategory]]="High Risk"),"High Risk Exposure","Normal")</f>
        <v>Normal</v>
      </c>
      <c r="T1920" t="str" cm="1">
        <f t="array" ref="T1920">_xlfn.IFS(
Loans[[#This Row],[LoanStatus]]="Default","Critical",
OR(Loans[[#This Row],[LoanStatus]]="Watchlist",Loans[[#This Row],[CollateralRisk]]="Undersecured",Loans[[#This Row],[RiskCategory]]="High Risk"),"High",
TRUE,"Normal"
)</f>
        <v>Normal</v>
      </c>
    </row>
    <row r="1921" spans="1:20" x14ac:dyDescent="0.35">
      <c r="A1921" t="s">
        <v>2754</v>
      </c>
      <c r="B1921" t="s">
        <v>1621</v>
      </c>
      <c r="C1921" t="s">
        <v>174</v>
      </c>
      <c r="D1921" t="s">
        <v>155</v>
      </c>
      <c r="E1921" s="34">
        <v>500000</v>
      </c>
      <c r="F1921" s="29">
        <v>0.2293</v>
      </c>
      <c r="G1921" s="30">
        <v>45908</v>
      </c>
      <c r="H1921">
        <v>48</v>
      </c>
      <c r="I1921">
        <v>90</v>
      </c>
      <c r="J1921" s="34">
        <v>0</v>
      </c>
      <c r="K1921" t="s">
        <v>199</v>
      </c>
      <c r="L1921" s="34">
        <f>PMT(Loans[[#This Row],[InterestRate]]/12,Loans[[#This Row],[LoanTenureMonths]],-Loans[[#This Row],[LoanAmount]])</f>
        <v>16006.565862208845</v>
      </c>
      <c r="M1921" s="30">
        <f>EDATE(Loans[[#This Row],[LoanStartDate]],Loans[[#This Row],[LoanTenureMonths]])</f>
        <v>47369</v>
      </c>
      <c r="N1921" s="33">
        <f>IF(Loans[[#This Row],[LoanAmount]]=0,0,Loans[[#This Row],[CollateralValue]]/Loans[[#This Row],[LoanAmount]])</f>
        <v>0</v>
      </c>
      <c r="O1921" t="str">
        <f>IF(Loans[[#This Row],[CollateralCoverageRatio]]&lt;1,"Undersecured","Secured")</f>
        <v>Undersecured</v>
      </c>
      <c r="P1921" t="str">
        <f>_xlfn.XLOOKUP(Loans[[#This Row],[BranchCode]],BranchesTbl[BranchCode],BranchesTbl[BranchName])</f>
        <v>Westlands</v>
      </c>
      <c r="Q1921">
        <f>_xlfn.XLOOKUP(Loans[[#This Row],[CustomerID]],CustomerTbl[CustomerID],CustomerTbl[RiskScore])</f>
        <v>825</v>
      </c>
      <c r="R1921" t="str">
        <f>IFERROR(INDEX(RiskTbl[Risk_Category],MATCH(Loans[[#This Row],[RiskScore]],RiskTbl[Score_Min],1)),"Unknown")</f>
        <v>Prime</v>
      </c>
      <c r="S1921" t="str">
        <f>IF(OR(Loans[[#This Row],[LoanStatus]]="Default",Loans[[#This Row],[LoanStatus]]="Watchlist",Loans[[#This Row],[CollateralRisk]]="Undersecured",Loans[[#This Row],[RiskCategory]]="High Risk"),"High Risk Exposure","Normal")</f>
        <v>High Risk Exposure</v>
      </c>
      <c r="T1921" t="str" cm="1">
        <f t="array" ref="T1921">_xlfn.IFS(
Loans[[#This Row],[LoanStatus]]="Default","Critical",
OR(Loans[[#This Row],[LoanStatus]]="Watchlist",Loans[[#This Row],[CollateralRisk]]="Undersecured",Loans[[#This Row],[RiskCategory]]="High Risk"),"High",
TRUE,"Normal"
)</f>
        <v>High</v>
      </c>
    </row>
    <row r="1922" spans="1:20" x14ac:dyDescent="0.35">
      <c r="A1922" t="s">
        <v>2755</v>
      </c>
      <c r="B1922" t="s">
        <v>542</v>
      </c>
      <c r="C1922" t="s">
        <v>270</v>
      </c>
      <c r="D1922" t="s">
        <v>156</v>
      </c>
      <c r="E1922" s="34">
        <v>25000000</v>
      </c>
      <c r="F1922" s="29">
        <v>0.23300000000000001</v>
      </c>
      <c r="G1922" s="30">
        <v>45805</v>
      </c>
      <c r="H1922">
        <v>36</v>
      </c>
      <c r="I1922">
        <v>120</v>
      </c>
      <c r="J1922" s="34">
        <v>20750000</v>
      </c>
      <c r="K1922" t="s">
        <v>178</v>
      </c>
      <c r="L1922" s="34">
        <f>PMT(Loans[[#This Row],[InterestRate]]/12,Loans[[#This Row],[LoanTenureMonths]],-Loans[[#This Row],[LoanAmount]])</f>
        <v>971656.40517463535</v>
      </c>
      <c r="M1922" s="30">
        <f>EDATE(Loans[[#This Row],[LoanStartDate]],Loans[[#This Row],[LoanTenureMonths]])</f>
        <v>46901</v>
      </c>
      <c r="N1922" s="33">
        <f>IF(Loans[[#This Row],[LoanAmount]]=0,0,Loans[[#This Row],[CollateralValue]]/Loans[[#This Row],[LoanAmount]])</f>
        <v>0.83</v>
      </c>
      <c r="O1922" t="str">
        <f>IF(Loans[[#This Row],[CollateralCoverageRatio]]&lt;1,"Undersecured","Secured")</f>
        <v>Undersecured</v>
      </c>
      <c r="P1922" t="str">
        <f>_xlfn.XLOOKUP(Loans[[#This Row],[BranchCode]],BranchesTbl[BranchCode],BranchesTbl[BranchName])</f>
        <v>Nakuru</v>
      </c>
      <c r="Q1922">
        <f>_xlfn.XLOOKUP(Loans[[#This Row],[CustomerID]],CustomerTbl[CustomerID],CustomerTbl[RiskScore])</f>
        <v>466</v>
      </c>
      <c r="R1922" t="str">
        <f>IFERROR(INDEX(RiskTbl[Risk_Category],MATCH(Loans[[#This Row],[RiskScore]],RiskTbl[Score_Min],1)),"Unknown")</f>
        <v>High Risk</v>
      </c>
      <c r="S1922" t="str">
        <f>IF(OR(Loans[[#This Row],[LoanStatus]]="Default",Loans[[#This Row],[LoanStatus]]="Watchlist",Loans[[#This Row],[CollateralRisk]]="Undersecured",Loans[[#This Row],[RiskCategory]]="High Risk"),"High Risk Exposure","Normal")</f>
        <v>High Risk Exposure</v>
      </c>
      <c r="T1922" t="str" cm="1">
        <f t="array" ref="T1922">_xlfn.IFS(
Loans[[#This Row],[LoanStatus]]="Default","Critical",
OR(Loans[[#This Row],[LoanStatus]]="Watchlist",Loans[[#This Row],[CollateralRisk]]="Undersecured",Loans[[#This Row],[RiskCategory]]="High Risk"),"High",
TRUE,"Normal"
)</f>
        <v>Critical</v>
      </c>
    </row>
    <row r="1923" spans="1:20" x14ac:dyDescent="0.35">
      <c r="A1923" t="s">
        <v>2756</v>
      </c>
      <c r="B1923" t="s">
        <v>2757</v>
      </c>
      <c r="C1923" t="s">
        <v>219</v>
      </c>
      <c r="D1923" t="s">
        <v>155</v>
      </c>
      <c r="E1923" s="34">
        <v>1000000</v>
      </c>
      <c r="F1923" s="29">
        <v>0.26779999999999998</v>
      </c>
      <c r="G1923" s="30">
        <v>45196</v>
      </c>
      <c r="H1923">
        <v>12</v>
      </c>
      <c r="I1923">
        <v>45</v>
      </c>
      <c r="J1923" s="34">
        <v>0</v>
      </c>
      <c r="K1923" t="s">
        <v>199</v>
      </c>
      <c r="L1923" s="34">
        <f>PMT(Loans[[#This Row],[InterestRate]]/12,Loans[[#This Row],[LoanTenureMonths]],-Loans[[#This Row],[LoanAmount]])</f>
        <v>95910.090062380084</v>
      </c>
      <c r="M1923" s="30">
        <f>EDATE(Loans[[#This Row],[LoanStartDate]],Loans[[#This Row],[LoanTenureMonths]])</f>
        <v>45562</v>
      </c>
      <c r="N1923" s="33">
        <f>IF(Loans[[#This Row],[LoanAmount]]=0,0,Loans[[#This Row],[CollateralValue]]/Loans[[#This Row],[LoanAmount]])</f>
        <v>0</v>
      </c>
      <c r="O1923" t="str">
        <f>IF(Loans[[#This Row],[CollateralCoverageRatio]]&lt;1,"Undersecured","Secured")</f>
        <v>Undersecured</v>
      </c>
      <c r="P1923" t="str">
        <f>_xlfn.XLOOKUP(Loans[[#This Row],[BranchCode]],BranchesTbl[BranchCode],BranchesTbl[BranchName])</f>
        <v>Meru</v>
      </c>
      <c r="Q1923">
        <f>_xlfn.XLOOKUP(Loans[[#This Row],[CustomerID]],CustomerTbl[CustomerID],CustomerTbl[RiskScore])</f>
        <v>577</v>
      </c>
      <c r="R1923" t="str">
        <f>IFERROR(INDEX(RiskTbl[Risk_Category],MATCH(Loans[[#This Row],[RiskScore]],RiskTbl[Score_Min],1)),"Unknown")</f>
        <v>High Risk</v>
      </c>
      <c r="S1923" t="str">
        <f>IF(OR(Loans[[#This Row],[LoanStatus]]="Default",Loans[[#This Row],[LoanStatus]]="Watchlist",Loans[[#This Row],[CollateralRisk]]="Undersecured",Loans[[#This Row],[RiskCategory]]="High Risk"),"High Risk Exposure","Normal")</f>
        <v>High Risk Exposure</v>
      </c>
      <c r="T1923" t="str" cm="1">
        <f t="array" ref="T1923">_xlfn.IFS(
Loans[[#This Row],[LoanStatus]]="Default","Critical",
OR(Loans[[#This Row],[LoanStatus]]="Watchlist",Loans[[#This Row],[CollateralRisk]]="Undersecured",Loans[[#This Row],[RiskCategory]]="High Risk"),"High",
TRUE,"Normal"
)</f>
        <v>High</v>
      </c>
    </row>
    <row r="1924" spans="1:20" x14ac:dyDescent="0.35">
      <c r="A1924" t="s">
        <v>2758</v>
      </c>
      <c r="B1924" t="s">
        <v>347</v>
      </c>
      <c r="C1924" t="s">
        <v>206</v>
      </c>
      <c r="D1924" t="s">
        <v>158</v>
      </c>
      <c r="E1924" s="34">
        <v>1000000</v>
      </c>
      <c r="F1924" s="29">
        <v>0.16170000000000001</v>
      </c>
      <c r="G1924" s="30">
        <v>45283</v>
      </c>
      <c r="H1924">
        <v>12</v>
      </c>
      <c r="I1924">
        <v>5</v>
      </c>
      <c r="J1924" s="34">
        <v>1120000</v>
      </c>
      <c r="K1924" t="s">
        <v>171</v>
      </c>
      <c r="L1924" s="34">
        <f>PMT(Loans[[#This Row],[InterestRate]]/12,Loans[[#This Row],[LoanTenureMonths]],-Loans[[#This Row],[LoanAmount]])</f>
        <v>90811.324782736498</v>
      </c>
      <c r="M1924" s="30">
        <f>EDATE(Loans[[#This Row],[LoanStartDate]],Loans[[#This Row],[LoanTenureMonths]])</f>
        <v>45649</v>
      </c>
      <c r="N1924" s="33">
        <f>IF(Loans[[#This Row],[LoanAmount]]=0,0,Loans[[#This Row],[CollateralValue]]/Loans[[#This Row],[LoanAmount]])</f>
        <v>1.1200000000000001</v>
      </c>
      <c r="O1924" t="str">
        <f>IF(Loans[[#This Row],[CollateralCoverageRatio]]&lt;1,"Undersecured","Secured")</f>
        <v>Secured</v>
      </c>
      <c r="P1924" t="str">
        <f>_xlfn.XLOOKUP(Loans[[#This Row],[BranchCode]],BranchesTbl[BranchCode],BranchesTbl[BranchName])</f>
        <v>Nyahururu</v>
      </c>
      <c r="Q1924">
        <f>_xlfn.XLOOKUP(Loans[[#This Row],[CustomerID]],CustomerTbl[CustomerID],CustomerTbl[RiskScore])</f>
        <v>653</v>
      </c>
      <c r="R1924" t="str">
        <f>IFERROR(INDEX(RiskTbl[Risk_Category],MATCH(Loans[[#This Row],[RiskScore]],RiskTbl[Score_Min],1)),"Unknown")</f>
        <v>Medium Risk</v>
      </c>
      <c r="S1924" t="str">
        <f>IF(OR(Loans[[#This Row],[LoanStatus]]="Default",Loans[[#This Row],[LoanStatus]]="Watchlist",Loans[[#This Row],[CollateralRisk]]="Undersecured",Loans[[#This Row],[RiskCategory]]="High Risk"),"High Risk Exposure","Normal")</f>
        <v>Normal</v>
      </c>
      <c r="T1924" t="str" cm="1">
        <f t="array" ref="T1924">_xlfn.IFS(
Loans[[#This Row],[LoanStatus]]="Default","Critical",
OR(Loans[[#This Row],[LoanStatus]]="Watchlist",Loans[[#This Row],[CollateralRisk]]="Undersecured",Loans[[#This Row],[RiskCategory]]="High Risk"),"High",
TRUE,"Normal"
)</f>
        <v>Normal</v>
      </c>
    </row>
    <row r="1925" spans="1:20" x14ac:dyDescent="0.35">
      <c r="A1925" t="s">
        <v>2759</v>
      </c>
      <c r="B1925" t="s">
        <v>470</v>
      </c>
      <c r="C1925" t="s">
        <v>206</v>
      </c>
      <c r="D1925" t="s">
        <v>156</v>
      </c>
      <c r="E1925" s="34">
        <v>1000000</v>
      </c>
      <c r="F1925" s="29">
        <v>0.183</v>
      </c>
      <c r="G1925" s="30">
        <v>45877</v>
      </c>
      <c r="H1925">
        <v>12</v>
      </c>
      <c r="I1925">
        <v>0</v>
      </c>
      <c r="J1925" s="34">
        <v>1320000</v>
      </c>
      <c r="K1925" t="s">
        <v>171</v>
      </c>
      <c r="L1925" s="34">
        <f>PMT(Loans[[#This Row],[InterestRate]]/12,Loans[[#This Row],[LoanTenureMonths]],-Loans[[#This Row],[LoanAmount]])</f>
        <v>91822.827427259414</v>
      </c>
      <c r="M1925" s="30">
        <f>EDATE(Loans[[#This Row],[LoanStartDate]],Loans[[#This Row],[LoanTenureMonths]])</f>
        <v>46242</v>
      </c>
      <c r="N1925" s="33">
        <f>IF(Loans[[#This Row],[LoanAmount]]=0,0,Loans[[#This Row],[CollateralValue]]/Loans[[#This Row],[LoanAmount]])</f>
        <v>1.32</v>
      </c>
      <c r="O1925" t="str">
        <f>IF(Loans[[#This Row],[CollateralCoverageRatio]]&lt;1,"Undersecured","Secured")</f>
        <v>Secured</v>
      </c>
      <c r="P1925" t="str">
        <f>_xlfn.XLOOKUP(Loans[[#This Row],[BranchCode]],BranchesTbl[BranchCode],BranchesTbl[BranchName])</f>
        <v>Nyahururu</v>
      </c>
      <c r="Q1925">
        <f>_xlfn.XLOOKUP(Loans[[#This Row],[CustomerID]],CustomerTbl[CustomerID],CustomerTbl[RiskScore])</f>
        <v>660</v>
      </c>
      <c r="R1925" t="str">
        <f>IFERROR(INDEX(RiskTbl[Risk_Category],MATCH(Loans[[#This Row],[RiskScore]],RiskTbl[Score_Min],1)),"Unknown")</f>
        <v>Medium Risk</v>
      </c>
      <c r="S1925" t="str">
        <f>IF(OR(Loans[[#This Row],[LoanStatus]]="Default",Loans[[#This Row],[LoanStatus]]="Watchlist",Loans[[#This Row],[CollateralRisk]]="Undersecured",Loans[[#This Row],[RiskCategory]]="High Risk"),"High Risk Exposure","Normal")</f>
        <v>Normal</v>
      </c>
      <c r="T1925" t="str" cm="1">
        <f t="array" ref="T1925">_xlfn.IFS(
Loans[[#This Row],[LoanStatus]]="Default","Critical",
OR(Loans[[#This Row],[LoanStatus]]="Watchlist",Loans[[#This Row],[CollateralRisk]]="Undersecured",Loans[[#This Row],[RiskCategory]]="High Risk"),"High",
TRUE,"Normal"
)</f>
        <v>Normal</v>
      </c>
    </row>
    <row r="1926" spans="1:20" x14ac:dyDescent="0.35">
      <c r="A1926" t="s">
        <v>2760</v>
      </c>
      <c r="B1926" t="s">
        <v>2027</v>
      </c>
      <c r="C1926" t="s">
        <v>184</v>
      </c>
      <c r="D1926" t="s">
        <v>155</v>
      </c>
      <c r="E1926" s="34">
        <v>1000000</v>
      </c>
      <c r="F1926" s="29">
        <v>0.23749999999999999</v>
      </c>
      <c r="G1926" s="30">
        <v>44051</v>
      </c>
      <c r="H1926">
        <v>60</v>
      </c>
      <c r="I1926">
        <v>10</v>
      </c>
      <c r="J1926" s="34">
        <v>0</v>
      </c>
      <c r="K1926" t="s">
        <v>171</v>
      </c>
      <c r="L1926" s="34">
        <f>PMT(Loans[[#This Row],[InterestRate]]/12,Loans[[#This Row],[LoanTenureMonths]],-Loans[[#This Row],[LoanAmount]])</f>
        <v>28623.039628148432</v>
      </c>
      <c r="M1926" s="30">
        <f>EDATE(Loans[[#This Row],[LoanStartDate]],Loans[[#This Row],[LoanTenureMonths]])</f>
        <v>45877</v>
      </c>
      <c r="N1926" s="33">
        <f>IF(Loans[[#This Row],[LoanAmount]]=0,0,Loans[[#This Row],[CollateralValue]]/Loans[[#This Row],[LoanAmount]])</f>
        <v>0</v>
      </c>
      <c r="O1926" t="str">
        <f>IF(Loans[[#This Row],[CollateralCoverageRatio]]&lt;1,"Undersecured","Secured")</f>
        <v>Undersecured</v>
      </c>
      <c r="P1926" t="str">
        <f>_xlfn.XLOOKUP(Loans[[#This Row],[BranchCode]],BranchesTbl[BranchCode],BranchesTbl[BranchName])</f>
        <v>Kisumu</v>
      </c>
      <c r="Q1926">
        <f>_xlfn.XLOOKUP(Loans[[#This Row],[CustomerID]],CustomerTbl[CustomerID],CustomerTbl[RiskScore])</f>
        <v>340</v>
      </c>
      <c r="R1926" t="str">
        <f>IFERROR(INDEX(RiskTbl[Risk_Category],MATCH(Loans[[#This Row],[RiskScore]],RiskTbl[Score_Min],1)),"Unknown")</f>
        <v>High Risk</v>
      </c>
      <c r="S1926" t="str">
        <f>IF(OR(Loans[[#This Row],[LoanStatus]]="Default",Loans[[#This Row],[LoanStatus]]="Watchlist",Loans[[#This Row],[CollateralRisk]]="Undersecured",Loans[[#This Row],[RiskCategory]]="High Risk"),"High Risk Exposure","Normal")</f>
        <v>High Risk Exposure</v>
      </c>
      <c r="T1926" t="str" cm="1">
        <f t="array" ref="T1926">_xlfn.IFS(
Loans[[#This Row],[LoanStatus]]="Default","Critical",
OR(Loans[[#This Row],[LoanStatus]]="Watchlist",Loans[[#This Row],[CollateralRisk]]="Undersecured",Loans[[#This Row],[RiskCategory]]="High Risk"),"High",
TRUE,"Normal"
)</f>
        <v>High</v>
      </c>
    </row>
    <row r="1927" spans="1:20" x14ac:dyDescent="0.35">
      <c r="A1927" t="s">
        <v>2761</v>
      </c>
      <c r="B1927" t="s">
        <v>997</v>
      </c>
      <c r="C1927" t="s">
        <v>196</v>
      </c>
      <c r="D1927" t="s">
        <v>155</v>
      </c>
      <c r="E1927" s="34">
        <v>250000</v>
      </c>
      <c r="F1927" s="29">
        <v>0.25190000000000001</v>
      </c>
      <c r="G1927" s="30">
        <v>44348</v>
      </c>
      <c r="H1927">
        <v>72</v>
      </c>
      <c r="I1927">
        <v>0</v>
      </c>
      <c r="J1927" s="34">
        <v>0</v>
      </c>
      <c r="K1927" t="s">
        <v>171</v>
      </c>
      <c r="L1927" s="34">
        <f>PMT(Loans[[#This Row],[InterestRate]]/12,Loans[[#This Row],[LoanTenureMonths]],-Loans[[#This Row],[LoanAmount]])</f>
        <v>6763.4705929535285</v>
      </c>
      <c r="M1927" s="30">
        <f>EDATE(Loans[[#This Row],[LoanStartDate]],Loans[[#This Row],[LoanTenureMonths]])</f>
        <v>46539</v>
      </c>
      <c r="N1927" s="33">
        <f>IF(Loans[[#This Row],[LoanAmount]]=0,0,Loans[[#This Row],[CollateralValue]]/Loans[[#This Row],[LoanAmount]])</f>
        <v>0</v>
      </c>
      <c r="O1927" t="str">
        <f>IF(Loans[[#This Row],[CollateralCoverageRatio]]&lt;1,"Undersecured","Secured")</f>
        <v>Undersecured</v>
      </c>
      <c r="P1927" t="str">
        <f>_xlfn.XLOOKUP(Loans[[#This Row],[BranchCode]],BranchesTbl[BranchCode],BranchesTbl[BranchName])</f>
        <v>Karen</v>
      </c>
      <c r="Q1927">
        <f>_xlfn.XLOOKUP(Loans[[#This Row],[CustomerID]],CustomerTbl[CustomerID],CustomerTbl[RiskScore])</f>
        <v>473</v>
      </c>
      <c r="R1927" t="str">
        <f>IFERROR(INDEX(RiskTbl[Risk_Category],MATCH(Loans[[#This Row],[RiskScore]],RiskTbl[Score_Min],1)),"Unknown")</f>
        <v>High Risk</v>
      </c>
      <c r="S1927" t="str">
        <f>IF(OR(Loans[[#This Row],[LoanStatus]]="Default",Loans[[#This Row],[LoanStatus]]="Watchlist",Loans[[#This Row],[CollateralRisk]]="Undersecured",Loans[[#This Row],[RiskCategory]]="High Risk"),"High Risk Exposure","Normal")</f>
        <v>High Risk Exposure</v>
      </c>
      <c r="T1927" t="str" cm="1">
        <f t="array" ref="T1927">_xlfn.IFS(
Loans[[#This Row],[LoanStatus]]="Default","Critical",
OR(Loans[[#This Row],[LoanStatus]]="Watchlist",Loans[[#This Row],[CollateralRisk]]="Undersecured",Loans[[#This Row],[RiskCategory]]="High Risk"),"High",
TRUE,"Normal"
)</f>
        <v>High</v>
      </c>
    </row>
    <row r="1928" spans="1:20" x14ac:dyDescent="0.35">
      <c r="A1928" t="s">
        <v>2762</v>
      </c>
      <c r="B1928" t="s">
        <v>1411</v>
      </c>
      <c r="C1928" t="s">
        <v>174</v>
      </c>
      <c r="D1928" t="s">
        <v>155</v>
      </c>
      <c r="E1928" s="34">
        <v>250000</v>
      </c>
      <c r="F1928" s="29">
        <v>0.223</v>
      </c>
      <c r="G1928" s="30">
        <v>45652</v>
      </c>
      <c r="H1928">
        <v>72</v>
      </c>
      <c r="I1928">
        <v>5</v>
      </c>
      <c r="J1928" s="34">
        <v>0</v>
      </c>
      <c r="K1928" t="s">
        <v>171</v>
      </c>
      <c r="L1928" s="34">
        <f>PMT(Loans[[#This Row],[InterestRate]]/12,Loans[[#This Row],[LoanTenureMonths]],-Loans[[#This Row],[LoanAmount]])</f>
        <v>6326.1269183630329</v>
      </c>
      <c r="M1928" s="30">
        <f>EDATE(Loans[[#This Row],[LoanStartDate]],Loans[[#This Row],[LoanTenureMonths]])</f>
        <v>47843</v>
      </c>
      <c r="N1928" s="33">
        <f>IF(Loans[[#This Row],[LoanAmount]]=0,0,Loans[[#This Row],[CollateralValue]]/Loans[[#This Row],[LoanAmount]])</f>
        <v>0</v>
      </c>
      <c r="O1928" t="str">
        <f>IF(Loans[[#This Row],[CollateralCoverageRatio]]&lt;1,"Undersecured","Secured")</f>
        <v>Undersecured</v>
      </c>
      <c r="P1928" t="str">
        <f>_xlfn.XLOOKUP(Loans[[#This Row],[BranchCode]],BranchesTbl[BranchCode],BranchesTbl[BranchName])</f>
        <v>Westlands</v>
      </c>
      <c r="Q1928">
        <f>_xlfn.XLOOKUP(Loans[[#This Row],[CustomerID]],CustomerTbl[CustomerID],CustomerTbl[RiskScore])</f>
        <v>795</v>
      </c>
      <c r="R1928" t="str">
        <f>IFERROR(INDEX(RiskTbl[Risk_Category],MATCH(Loans[[#This Row],[RiskScore]],RiskTbl[Score_Min],1)),"Unknown")</f>
        <v>Very Low Risk</v>
      </c>
      <c r="S1928" t="str">
        <f>IF(OR(Loans[[#This Row],[LoanStatus]]="Default",Loans[[#This Row],[LoanStatus]]="Watchlist",Loans[[#This Row],[CollateralRisk]]="Undersecured",Loans[[#This Row],[RiskCategory]]="High Risk"),"High Risk Exposure","Normal")</f>
        <v>High Risk Exposure</v>
      </c>
      <c r="T1928" t="str" cm="1">
        <f t="array" ref="T1928">_xlfn.IFS(
Loans[[#This Row],[LoanStatus]]="Default","Critical",
OR(Loans[[#This Row],[LoanStatus]]="Watchlist",Loans[[#This Row],[CollateralRisk]]="Undersecured",Loans[[#This Row],[RiskCategory]]="High Risk"),"High",
TRUE,"Normal"
)</f>
        <v>High</v>
      </c>
    </row>
    <row r="1929" spans="1:20" x14ac:dyDescent="0.35">
      <c r="A1929" t="s">
        <v>2763</v>
      </c>
      <c r="B1929" t="s">
        <v>1623</v>
      </c>
      <c r="C1929" t="s">
        <v>184</v>
      </c>
      <c r="D1929" t="s">
        <v>155</v>
      </c>
      <c r="E1929" s="34">
        <v>100000</v>
      </c>
      <c r="F1929" s="29">
        <v>0.1673</v>
      </c>
      <c r="G1929" s="30">
        <v>44254</v>
      </c>
      <c r="H1929">
        <v>36</v>
      </c>
      <c r="I1929">
        <v>45</v>
      </c>
      <c r="J1929" s="34">
        <v>0</v>
      </c>
      <c r="K1929" t="s">
        <v>199</v>
      </c>
      <c r="L1929" s="34">
        <f>PMT(Loans[[#This Row],[InterestRate]]/12,Loans[[#This Row],[LoanTenureMonths]],-Loans[[#This Row],[LoanAmount]])</f>
        <v>3551.8497727285098</v>
      </c>
      <c r="M1929" s="30">
        <f>EDATE(Loans[[#This Row],[LoanStartDate]],Loans[[#This Row],[LoanTenureMonths]])</f>
        <v>45349</v>
      </c>
      <c r="N1929" s="33">
        <f>IF(Loans[[#This Row],[LoanAmount]]=0,0,Loans[[#This Row],[CollateralValue]]/Loans[[#This Row],[LoanAmount]])</f>
        <v>0</v>
      </c>
      <c r="O1929" t="str">
        <f>IF(Loans[[#This Row],[CollateralCoverageRatio]]&lt;1,"Undersecured","Secured")</f>
        <v>Undersecured</v>
      </c>
      <c r="P1929" t="str">
        <f>_xlfn.XLOOKUP(Loans[[#This Row],[BranchCode]],BranchesTbl[BranchCode],BranchesTbl[BranchName])</f>
        <v>Kisumu</v>
      </c>
      <c r="Q1929">
        <f>_xlfn.XLOOKUP(Loans[[#This Row],[CustomerID]],CustomerTbl[CustomerID],CustomerTbl[RiskScore])</f>
        <v>813</v>
      </c>
      <c r="R1929" t="str">
        <f>IFERROR(INDEX(RiskTbl[Risk_Category],MATCH(Loans[[#This Row],[RiskScore]],RiskTbl[Score_Min],1)),"Unknown")</f>
        <v>Prime</v>
      </c>
      <c r="S1929" t="str">
        <f>IF(OR(Loans[[#This Row],[LoanStatus]]="Default",Loans[[#This Row],[LoanStatus]]="Watchlist",Loans[[#This Row],[CollateralRisk]]="Undersecured",Loans[[#This Row],[RiskCategory]]="High Risk"),"High Risk Exposure","Normal")</f>
        <v>High Risk Exposure</v>
      </c>
      <c r="T1929" t="str" cm="1">
        <f t="array" ref="T1929">_xlfn.IFS(
Loans[[#This Row],[LoanStatus]]="Default","Critical",
OR(Loans[[#This Row],[LoanStatus]]="Watchlist",Loans[[#This Row],[CollateralRisk]]="Undersecured",Loans[[#This Row],[RiskCategory]]="High Risk"),"High",
TRUE,"Normal"
)</f>
        <v>High</v>
      </c>
    </row>
    <row r="1930" spans="1:20" x14ac:dyDescent="0.35">
      <c r="A1930" t="s">
        <v>2764</v>
      </c>
      <c r="B1930" t="s">
        <v>1352</v>
      </c>
      <c r="C1930" t="s">
        <v>232</v>
      </c>
      <c r="D1930" t="s">
        <v>157</v>
      </c>
      <c r="E1930" s="34">
        <v>80000000</v>
      </c>
      <c r="F1930" s="29">
        <v>0.1101</v>
      </c>
      <c r="G1930" s="30">
        <v>44128</v>
      </c>
      <c r="H1930">
        <v>36</v>
      </c>
      <c r="I1930">
        <v>45</v>
      </c>
      <c r="J1930" s="34">
        <v>102400000</v>
      </c>
      <c r="K1930" t="s">
        <v>199</v>
      </c>
      <c r="L1930" s="34">
        <f>PMT(Loans[[#This Row],[InterestRate]]/12,Loans[[#This Row],[LoanTenureMonths]],-Loans[[#This Row],[LoanAmount]])</f>
        <v>2619476.2363854623</v>
      </c>
      <c r="M1930" s="30">
        <f>EDATE(Loans[[#This Row],[LoanStartDate]],Loans[[#This Row],[LoanTenureMonths]])</f>
        <v>45223</v>
      </c>
      <c r="N1930" s="33">
        <f>IF(Loans[[#This Row],[LoanAmount]]=0,0,Loans[[#This Row],[CollateralValue]]/Loans[[#This Row],[LoanAmount]])</f>
        <v>1.28</v>
      </c>
      <c r="O1930" t="str">
        <f>IF(Loans[[#This Row],[CollateralCoverageRatio]]&lt;1,"Undersecured","Secured")</f>
        <v>Secured</v>
      </c>
      <c r="P1930" t="str">
        <f>_xlfn.XLOOKUP(Loans[[#This Row],[BranchCode]],BranchesTbl[BranchCode],BranchesTbl[BranchName])</f>
        <v>Upper Hill</v>
      </c>
      <c r="Q1930">
        <f>_xlfn.XLOOKUP(Loans[[#This Row],[CustomerID]],CustomerTbl[CustomerID],CustomerTbl[RiskScore])</f>
        <v>622</v>
      </c>
      <c r="R1930" t="str">
        <f>IFERROR(INDEX(RiskTbl[Risk_Category],MATCH(Loans[[#This Row],[RiskScore]],RiskTbl[Score_Min],1)),"Unknown")</f>
        <v>Medium Risk</v>
      </c>
      <c r="S1930" t="str">
        <f>IF(OR(Loans[[#This Row],[LoanStatus]]="Default",Loans[[#This Row],[LoanStatus]]="Watchlist",Loans[[#This Row],[CollateralRisk]]="Undersecured",Loans[[#This Row],[RiskCategory]]="High Risk"),"High Risk Exposure","Normal")</f>
        <v>High Risk Exposure</v>
      </c>
      <c r="T1930" t="str" cm="1">
        <f t="array" ref="T1930">_xlfn.IFS(
Loans[[#This Row],[LoanStatus]]="Default","Critical",
OR(Loans[[#This Row],[LoanStatus]]="Watchlist",Loans[[#This Row],[CollateralRisk]]="Undersecured",Loans[[#This Row],[RiskCategory]]="High Risk"),"High",
TRUE,"Normal"
)</f>
        <v>High</v>
      </c>
    </row>
    <row r="1931" spans="1:20" x14ac:dyDescent="0.35">
      <c r="A1931" t="s">
        <v>2765</v>
      </c>
      <c r="B1931" t="s">
        <v>2766</v>
      </c>
      <c r="C1931" t="s">
        <v>206</v>
      </c>
      <c r="D1931" t="s">
        <v>157</v>
      </c>
      <c r="E1931" s="34">
        <v>6000000</v>
      </c>
      <c r="F1931" s="29">
        <v>0.1353</v>
      </c>
      <c r="G1931" s="30">
        <v>45949</v>
      </c>
      <c r="H1931">
        <v>48</v>
      </c>
      <c r="I1931">
        <v>20</v>
      </c>
      <c r="J1931" s="34">
        <v>7320000</v>
      </c>
      <c r="K1931" t="s">
        <v>171</v>
      </c>
      <c r="L1931" s="34">
        <f>PMT(Loans[[#This Row],[InterestRate]]/12,Loans[[#This Row],[LoanTenureMonths]],-Loans[[#This Row],[LoanAmount]])</f>
        <v>162547.76877213118</v>
      </c>
      <c r="M1931" s="30">
        <f>EDATE(Loans[[#This Row],[LoanStartDate]],Loans[[#This Row],[LoanTenureMonths]])</f>
        <v>47410</v>
      </c>
      <c r="N1931" s="33">
        <f>IF(Loans[[#This Row],[LoanAmount]]=0,0,Loans[[#This Row],[CollateralValue]]/Loans[[#This Row],[LoanAmount]])</f>
        <v>1.22</v>
      </c>
      <c r="O1931" t="str">
        <f>IF(Loans[[#This Row],[CollateralCoverageRatio]]&lt;1,"Undersecured","Secured")</f>
        <v>Secured</v>
      </c>
      <c r="P1931" t="str">
        <f>_xlfn.XLOOKUP(Loans[[#This Row],[BranchCode]],BranchesTbl[BranchCode],BranchesTbl[BranchName])</f>
        <v>Nyahururu</v>
      </c>
      <c r="Q1931">
        <f>_xlfn.XLOOKUP(Loans[[#This Row],[CustomerID]],CustomerTbl[CustomerID],CustomerTbl[RiskScore])</f>
        <v>626</v>
      </c>
      <c r="R1931" t="str">
        <f>IFERROR(INDEX(RiskTbl[Risk_Category],MATCH(Loans[[#This Row],[RiskScore]],RiskTbl[Score_Min],1)),"Unknown")</f>
        <v>Medium Risk</v>
      </c>
      <c r="S1931" t="str">
        <f>IF(OR(Loans[[#This Row],[LoanStatus]]="Default",Loans[[#This Row],[LoanStatus]]="Watchlist",Loans[[#This Row],[CollateralRisk]]="Undersecured",Loans[[#This Row],[RiskCategory]]="High Risk"),"High Risk Exposure","Normal")</f>
        <v>Normal</v>
      </c>
      <c r="T1931" t="str" cm="1">
        <f t="array" ref="T1931">_xlfn.IFS(
Loans[[#This Row],[LoanStatus]]="Default","Critical",
OR(Loans[[#This Row],[LoanStatus]]="Watchlist",Loans[[#This Row],[CollateralRisk]]="Undersecured",Loans[[#This Row],[RiskCategory]]="High Risk"),"High",
TRUE,"Normal"
)</f>
        <v>Normal</v>
      </c>
    </row>
    <row r="1932" spans="1:20" x14ac:dyDescent="0.35">
      <c r="A1932" t="s">
        <v>2767</v>
      </c>
      <c r="B1932" t="s">
        <v>2710</v>
      </c>
      <c r="C1932" t="s">
        <v>174</v>
      </c>
      <c r="D1932" t="s">
        <v>158</v>
      </c>
      <c r="E1932" s="34">
        <v>500000</v>
      </c>
      <c r="F1932" s="29">
        <v>0.13420000000000001</v>
      </c>
      <c r="G1932" s="30">
        <v>45139</v>
      </c>
      <c r="H1932">
        <v>72</v>
      </c>
      <c r="I1932">
        <v>10</v>
      </c>
      <c r="J1932" s="34">
        <v>705000</v>
      </c>
      <c r="K1932" t="s">
        <v>171</v>
      </c>
      <c r="L1932" s="34">
        <f>PMT(Loans[[#This Row],[InterestRate]]/12,Loans[[#This Row],[LoanTenureMonths]],-Loans[[#This Row],[LoanAmount]])</f>
        <v>10148.227872368185</v>
      </c>
      <c r="M1932" s="30">
        <f>EDATE(Loans[[#This Row],[LoanStartDate]],Loans[[#This Row],[LoanTenureMonths]])</f>
        <v>47331</v>
      </c>
      <c r="N1932" s="33">
        <f>IF(Loans[[#This Row],[LoanAmount]]=0,0,Loans[[#This Row],[CollateralValue]]/Loans[[#This Row],[LoanAmount]])</f>
        <v>1.41</v>
      </c>
      <c r="O1932" t="str">
        <f>IF(Loans[[#This Row],[CollateralCoverageRatio]]&lt;1,"Undersecured","Secured")</f>
        <v>Secured</v>
      </c>
      <c r="P1932" t="str">
        <f>_xlfn.XLOOKUP(Loans[[#This Row],[BranchCode]],BranchesTbl[BranchCode],BranchesTbl[BranchName])</f>
        <v>Westlands</v>
      </c>
      <c r="Q1932">
        <f>_xlfn.XLOOKUP(Loans[[#This Row],[CustomerID]],CustomerTbl[CustomerID],CustomerTbl[RiskScore])</f>
        <v>712</v>
      </c>
      <c r="R1932" t="str">
        <f>IFERROR(INDEX(RiskTbl[Risk_Category],MATCH(Loans[[#This Row],[RiskScore]],RiskTbl[Score_Min],1)),"Unknown")</f>
        <v>Low Risk</v>
      </c>
      <c r="S1932" t="str">
        <f>IF(OR(Loans[[#This Row],[LoanStatus]]="Default",Loans[[#This Row],[LoanStatus]]="Watchlist",Loans[[#This Row],[CollateralRisk]]="Undersecured",Loans[[#This Row],[RiskCategory]]="High Risk"),"High Risk Exposure","Normal")</f>
        <v>Normal</v>
      </c>
      <c r="T1932" t="str" cm="1">
        <f t="array" ref="T1932">_xlfn.IFS(
Loans[[#This Row],[LoanStatus]]="Default","Critical",
OR(Loans[[#This Row],[LoanStatus]]="Watchlist",Loans[[#This Row],[CollateralRisk]]="Undersecured",Loans[[#This Row],[RiskCategory]]="High Risk"),"High",
TRUE,"Normal"
)</f>
        <v>Normal</v>
      </c>
    </row>
    <row r="1933" spans="1:20" x14ac:dyDescent="0.35">
      <c r="A1933" t="s">
        <v>2768</v>
      </c>
      <c r="B1933" t="s">
        <v>2421</v>
      </c>
      <c r="C1933" t="s">
        <v>239</v>
      </c>
      <c r="D1933" t="s">
        <v>156</v>
      </c>
      <c r="E1933" s="34">
        <v>1000000</v>
      </c>
      <c r="F1933" s="29">
        <v>0.17460000000000001</v>
      </c>
      <c r="G1933" s="30">
        <v>44230</v>
      </c>
      <c r="H1933">
        <v>24</v>
      </c>
      <c r="I1933">
        <v>20</v>
      </c>
      <c r="J1933" s="34">
        <v>560000</v>
      </c>
      <c r="K1933" t="s">
        <v>171</v>
      </c>
      <c r="L1933" s="34">
        <f>PMT(Loans[[#This Row],[InterestRate]]/12,Loans[[#This Row],[LoanTenureMonths]],-Loans[[#This Row],[LoanAmount]])</f>
        <v>49663.576536824272</v>
      </c>
      <c r="M1933" s="30">
        <f>EDATE(Loans[[#This Row],[LoanStartDate]],Loans[[#This Row],[LoanTenureMonths]])</f>
        <v>44960</v>
      </c>
      <c r="N1933" s="33">
        <f>IF(Loans[[#This Row],[LoanAmount]]=0,0,Loans[[#This Row],[CollateralValue]]/Loans[[#This Row],[LoanAmount]])</f>
        <v>0.56000000000000005</v>
      </c>
      <c r="O1933" t="str">
        <f>IF(Loans[[#This Row],[CollateralCoverageRatio]]&lt;1,"Undersecured","Secured")</f>
        <v>Undersecured</v>
      </c>
      <c r="P1933" t="str">
        <f>_xlfn.XLOOKUP(Loans[[#This Row],[BranchCode]],BranchesTbl[BranchCode],BranchesTbl[BranchName])</f>
        <v>Machakos</v>
      </c>
      <c r="Q1933">
        <f>_xlfn.XLOOKUP(Loans[[#This Row],[CustomerID]],CustomerTbl[CustomerID],CustomerTbl[RiskScore])</f>
        <v>422</v>
      </c>
      <c r="R1933" t="str">
        <f>IFERROR(INDEX(RiskTbl[Risk_Category],MATCH(Loans[[#This Row],[RiskScore]],RiskTbl[Score_Min],1)),"Unknown")</f>
        <v>High Risk</v>
      </c>
      <c r="S1933" t="str">
        <f>IF(OR(Loans[[#This Row],[LoanStatus]]="Default",Loans[[#This Row],[LoanStatus]]="Watchlist",Loans[[#This Row],[CollateralRisk]]="Undersecured",Loans[[#This Row],[RiskCategory]]="High Risk"),"High Risk Exposure","Normal")</f>
        <v>High Risk Exposure</v>
      </c>
      <c r="T1933" t="str" cm="1">
        <f t="array" ref="T1933">_xlfn.IFS(
Loans[[#This Row],[LoanStatus]]="Default","Critical",
OR(Loans[[#This Row],[LoanStatus]]="Watchlist",Loans[[#This Row],[CollateralRisk]]="Undersecured",Loans[[#This Row],[RiskCategory]]="High Risk"),"High",
TRUE,"Normal"
)</f>
        <v>High</v>
      </c>
    </row>
    <row r="1934" spans="1:20" x14ac:dyDescent="0.35">
      <c r="A1934" t="s">
        <v>2769</v>
      </c>
      <c r="B1934" t="s">
        <v>1901</v>
      </c>
      <c r="C1934" t="s">
        <v>181</v>
      </c>
      <c r="D1934" t="s">
        <v>157</v>
      </c>
      <c r="E1934" s="34">
        <v>6000000</v>
      </c>
      <c r="F1934" s="29">
        <v>0.13519999999999999</v>
      </c>
      <c r="G1934" s="30">
        <v>45520</v>
      </c>
      <c r="H1934">
        <v>72</v>
      </c>
      <c r="I1934">
        <v>0</v>
      </c>
      <c r="J1934" s="34">
        <v>4920000</v>
      </c>
      <c r="K1934" t="s">
        <v>171</v>
      </c>
      <c r="L1934" s="34">
        <f>PMT(Loans[[#This Row],[InterestRate]]/12,Loans[[#This Row],[LoanTenureMonths]],-Loans[[#This Row],[LoanAmount]])</f>
        <v>122097.57877544385</v>
      </c>
      <c r="M1934" s="30">
        <f>EDATE(Loans[[#This Row],[LoanStartDate]],Loans[[#This Row],[LoanTenureMonths]])</f>
        <v>47711</v>
      </c>
      <c r="N1934" s="33">
        <f>IF(Loans[[#This Row],[LoanAmount]]=0,0,Loans[[#This Row],[CollateralValue]]/Loans[[#This Row],[LoanAmount]])</f>
        <v>0.82</v>
      </c>
      <c r="O1934" t="str">
        <f>IF(Loans[[#This Row],[CollateralCoverageRatio]]&lt;1,"Undersecured","Secured")</f>
        <v>Undersecured</v>
      </c>
      <c r="P1934" t="str">
        <f>_xlfn.XLOOKUP(Loans[[#This Row],[BranchCode]],BranchesTbl[BranchCode],BranchesTbl[BranchName])</f>
        <v>Kitale</v>
      </c>
      <c r="Q1934">
        <f>_xlfn.XLOOKUP(Loans[[#This Row],[CustomerID]],CustomerTbl[CustomerID],CustomerTbl[RiskScore])</f>
        <v>797</v>
      </c>
      <c r="R1934" t="str">
        <f>IFERROR(INDEX(RiskTbl[Risk_Category],MATCH(Loans[[#This Row],[RiskScore]],RiskTbl[Score_Min],1)),"Unknown")</f>
        <v>Very Low Risk</v>
      </c>
      <c r="S1934" t="str">
        <f>IF(OR(Loans[[#This Row],[LoanStatus]]="Default",Loans[[#This Row],[LoanStatus]]="Watchlist",Loans[[#This Row],[CollateralRisk]]="Undersecured",Loans[[#This Row],[RiskCategory]]="High Risk"),"High Risk Exposure","Normal")</f>
        <v>High Risk Exposure</v>
      </c>
      <c r="T1934" t="str" cm="1">
        <f t="array" ref="T1934">_xlfn.IFS(
Loans[[#This Row],[LoanStatus]]="Default","Critical",
OR(Loans[[#This Row],[LoanStatus]]="Watchlist",Loans[[#This Row],[CollateralRisk]]="Undersecured",Loans[[#This Row],[RiskCategory]]="High Risk"),"High",
TRUE,"Normal"
)</f>
        <v>High</v>
      </c>
    </row>
    <row r="1935" spans="1:20" x14ac:dyDescent="0.35">
      <c r="A1935" t="s">
        <v>2770</v>
      </c>
      <c r="B1935" t="s">
        <v>294</v>
      </c>
      <c r="C1935" t="s">
        <v>190</v>
      </c>
      <c r="D1935" t="s">
        <v>158</v>
      </c>
      <c r="E1935" s="34">
        <v>3000000</v>
      </c>
      <c r="F1935" s="29">
        <v>0.17469999999999999</v>
      </c>
      <c r="G1935" s="30">
        <v>44670</v>
      </c>
      <c r="H1935">
        <v>12</v>
      </c>
      <c r="I1935">
        <v>90</v>
      </c>
      <c r="J1935" s="34">
        <v>3120000</v>
      </c>
      <c r="K1935" t="s">
        <v>199</v>
      </c>
      <c r="L1935" s="34">
        <f>PMT(Loans[[#This Row],[InterestRate]]/12,Loans[[#This Row],[LoanTenureMonths]],-Loans[[#This Row],[LoanAmount]])</f>
        <v>274283.8430282881</v>
      </c>
      <c r="M1935" s="30">
        <f>EDATE(Loans[[#This Row],[LoanStartDate]],Loans[[#This Row],[LoanTenureMonths]])</f>
        <v>45035</v>
      </c>
      <c r="N1935" s="33">
        <f>IF(Loans[[#This Row],[LoanAmount]]=0,0,Loans[[#This Row],[CollateralValue]]/Loans[[#This Row],[LoanAmount]])</f>
        <v>1.04</v>
      </c>
      <c r="O1935" t="str">
        <f>IF(Loans[[#This Row],[CollateralCoverageRatio]]&lt;1,"Undersecured","Secured")</f>
        <v>Secured</v>
      </c>
      <c r="P1935" t="str">
        <f>_xlfn.XLOOKUP(Loans[[#This Row],[BranchCode]],BranchesTbl[BranchCode],BranchesTbl[BranchName])</f>
        <v>Nyeri</v>
      </c>
      <c r="Q1935">
        <f>_xlfn.XLOOKUP(Loans[[#This Row],[CustomerID]],CustomerTbl[CustomerID],CustomerTbl[RiskScore])</f>
        <v>511</v>
      </c>
      <c r="R1935" t="str">
        <f>IFERROR(INDEX(RiskTbl[Risk_Category],MATCH(Loans[[#This Row],[RiskScore]],RiskTbl[Score_Min],1)),"Unknown")</f>
        <v>High Risk</v>
      </c>
      <c r="S1935" t="str">
        <f>IF(OR(Loans[[#This Row],[LoanStatus]]="Default",Loans[[#This Row],[LoanStatus]]="Watchlist",Loans[[#This Row],[CollateralRisk]]="Undersecured",Loans[[#This Row],[RiskCategory]]="High Risk"),"High Risk Exposure","Normal")</f>
        <v>High Risk Exposure</v>
      </c>
      <c r="T1935" t="str" cm="1">
        <f t="array" ref="T1935">_xlfn.IFS(
Loans[[#This Row],[LoanStatus]]="Default","Critical",
OR(Loans[[#This Row],[LoanStatus]]="Watchlist",Loans[[#This Row],[CollateralRisk]]="Undersecured",Loans[[#This Row],[RiskCategory]]="High Risk"),"High",
TRUE,"Normal"
)</f>
        <v>High</v>
      </c>
    </row>
    <row r="1936" spans="1:20" x14ac:dyDescent="0.35">
      <c r="A1936" t="s">
        <v>2771</v>
      </c>
      <c r="B1936" t="s">
        <v>1123</v>
      </c>
      <c r="C1936" t="s">
        <v>196</v>
      </c>
      <c r="D1936" t="s">
        <v>156</v>
      </c>
      <c r="E1936" s="34">
        <v>25000000</v>
      </c>
      <c r="F1936" s="29">
        <v>0.1794</v>
      </c>
      <c r="G1936" s="30">
        <v>45764</v>
      </c>
      <c r="H1936">
        <v>12</v>
      </c>
      <c r="I1936">
        <v>20</v>
      </c>
      <c r="J1936" s="34">
        <v>20500000</v>
      </c>
      <c r="K1936" t="s">
        <v>171</v>
      </c>
      <c r="L1936" s="34">
        <f>PMT(Loans[[#This Row],[InterestRate]]/12,Loans[[#This Row],[LoanTenureMonths]],-Loans[[#This Row],[LoanAmount]])</f>
        <v>2291286.0130176595</v>
      </c>
      <c r="M1936" s="30">
        <f>EDATE(Loans[[#This Row],[LoanStartDate]],Loans[[#This Row],[LoanTenureMonths]])</f>
        <v>46129</v>
      </c>
      <c r="N1936" s="33">
        <f>IF(Loans[[#This Row],[LoanAmount]]=0,0,Loans[[#This Row],[CollateralValue]]/Loans[[#This Row],[LoanAmount]])</f>
        <v>0.82</v>
      </c>
      <c r="O1936" t="str">
        <f>IF(Loans[[#This Row],[CollateralCoverageRatio]]&lt;1,"Undersecured","Secured")</f>
        <v>Undersecured</v>
      </c>
      <c r="P1936" t="str">
        <f>_xlfn.XLOOKUP(Loans[[#This Row],[BranchCode]],BranchesTbl[BranchCode],BranchesTbl[BranchName])</f>
        <v>Karen</v>
      </c>
      <c r="Q1936">
        <f>_xlfn.XLOOKUP(Loans[[#This Row],[CustomerID]],CustomerTbl[CustomerID],CustomerTbl[RiskScore])</f>
        <v>545</v>
      </c>
      <c r="R1936" t="str">
        <f>IFERROR(INDEX(RiskTbl[Risk_Category],MATCH(Loans[[#This Row],[RiskScore]],RiskTbl[Score_Min],1)),"Unknown")</f>
        <v>High Risk</v>
      </c>
      <c r="S1936" t="str">
        <f>IF(OR(Loans[[#This Row],[LoanStatus]]="Default",Loans[[#This Row],[LoanStatus]]="Watchlist",Loans[[#This Row],[CollateralRisk]]="Undersecured",Loans[[#This Row],[RiskCategory]]="High Risk"),"High Risk Exposure","Normal")</f>
        <v>High Risk Exposure</v>
      </c>
      <c r="T1936" t="str" cm="1">
        <f t="array" ref="T1936">_xlfn.IFS(
Loans[[#This Row],[LoanStatus]]="Default","Critical",
OR(Loans[[#This Row],[LoanStatus]]="Watchlist",Loans[[#This Row],[CollateralRisk]]="Undersecured",Loans[[#This Row],[RiskCategory]]="High Risk"),"High",
TRUE,"Normal"
)</f>
        <v>High</v>
      </c>
    </row>
    <row r="1937" spans="1:20" x14ac:dyDescent="0.35">
      <c r="A1937" t="s">
        <v>2772</v>
      </c>
      <c r="B1937" t="s">
        <v>549</v>
      </c>
      <c r="C1937" t="s">
        <v>170</v>
      </c>
      <c r="D1937" t="s">
        <v>156</v>
      </c>
      <c r="E1937" s="34">
        <v>25000000</v>
      </c>
      <c r="F1937" s="29">
        <v>0.2349</v>
      </c>
      <c r="G1937" s="30">
        <v>44550</v>
      </c>
      <c r="H1937">
        <v>12</v>
      </c>
      <c r="I1937">
        <v>0</v>
      </c>
      <c r="J1937" s="34">
        <v>18500000</v>
      </c>
      <c r="K1937" t="s">
        <v>171</v>
      </c>
      <c r="L1937" s="34">
        <f>PMT(Loans[[#This Row],[InterestRate]]/12,Loans[[#This Row],[LoanTenureMonths]],-Loans[[#This Row],[LoanAmount]])</f>
        <v>2357823.9933104306</v>
      </c>
      <c r="M1937" s="30">
        <f>EDATE(Loans[[#This Row],[LoanStartDate]],Loans[[#This Row],[LoanTenureMonths]])</f>
        <v>44915</v>
      </c>
      <c r="N1937" s="33">
        <f>IF(Loans[[#This Row],[LoanAmount]]=0,0,Loans[[#This Row],[CollateralValue]]/Loans[[#This Row],[LoanAmount]])</f>
        <v>0.74</v>
      </c>
      <c r="O1937" t="str">
        <f>IF(Loans[[#This Row],[CollateralCoverageRatio]]&lt;1,"Undersecured","Secured")</f>
        <v>Undersecured</v>
      </c>
      <c r="P1937" t="str">
        <f>_xlfn.XLOOKUP(Loans[[#This Row],[BranchCode]],BranchesTbl[BranchCode],BranchesTbl[BranchName])</f>
        <v>Thika</v>
      </c>
      <c r="Q1937">
        <f>_xlfn.XLOOKUP(Loans[[#This Row],[CustomerID]],CustomerTbl[CustomerID],CustomerTbl[RiskScore])</f>
        <v>841</v>
      </c>
      <c r="R1937" t="str">
        <f>IFERROR(INDEX(RiskTbl[Risk_Category],MATCH(Loans[[#This Row],[RiskScore]],RiskTbl[Score_Min],1)),"Unknown")</f>
        <v>Prime</v>
      </c>
      <c r="S1937" t="str">
        <f>IF(OR(Loans[[#This Row],[LoanStatus]]="Default",Loans[[#This Row],[LoanStatus]]="Watchlist",Loans[[#This Row],[CollateralRisk]]="Undersecured",Loans[[#This Row],[RiskCategory]]="High Risk"),"High Risk Exposure","Normal")</f>
        <v>High Risk Exposure</v>
      </c>
      <c r="T1937" t="str" cm="1">
        <f t="array" ref="T1937">_xlfn.IFS(
Loans[[#This Row],[LoanStatus]]="Default","Critical",
OR(Loans[[#This Row],[LoanStatus]]="Watchlist",Loans[[#This Row],[CollateralRisk]]="Undersecured",Loans[[#This Row],[RiskCategory]]="High Risk"),"High",
TRUE,"Normal"
)</f>
        <v>High</v>
      </c>
    </row>
    <row r="1938" spans="1:20" x14ac:dyDescent="0.35">
      <c r="A1938" t="s">
        <v>2773</v>
      </c>
      <c r="B1938" t="s">
        <v>1534</v>
      </c>
      <c r="C1938" t="s">
        <v>174</v>
      </c>
      <c r="D1938" t="s">
        <v>158</v>
      </c>
      <c r="E1938" s="34">
        <v>500000</v>
      </c>
      <c r="F1938" s="29">
        <v>0.1419</v>
      </c>
      <c r="G1938" s="30">
        <v>45058</v>
      </c>
      <c r="H1938">
        <v>60</v>
      </c>
      <c r="I1938">
        <v>5</v>
      </c>
      <c r="J1938" s="34">
        <v>685000</v>
      </c>
      <c r="K1938" t="s">
        <v>171</v>
      </c>
      <c r="L1938" s="34">
        <f>PMT(Loans[[#This Row],[InterestRate]]/12,Loans[[#This Row],[LoanTenureMonths]],-Loans[[#This Row],[LoanAmount]])</f>
        <v>11683.435610384309</v>
      </c>
      <c r="M1938" s="30">
        <f>EDATE(Loans[[#This Row],[LoanStartDate]],Loans[[#This Row],[LoanTenureMonths]])</f>
        <v>46885</v>
      </c>
      <c r="N1938" s="33">
        <f>IF(Loans[[#This Row],[LoanAmount]]=0,0,Loans[[#This Row],[CollateralValue]]/Loans[[#This Row],[LoanAmount]])</f>
        <v>1.37</v>
      </c>
      <c r="O1938" t="str">
        <f>IF(Loans[[#This Row],[CollateralCoverageRatio]]&lt;1,"Undersecured","Secured")</f>
        <v>Secured</v>
      </c>
      <c r="P1938" t="str">
        <f>_xlfn.XLOOKUP(Loans[[#This Row],[BranchCode]],BranchesTbl[BranchCode],BranchesTbl[BranchName])</f>
        <v>Westlands</v>
      </c>
      <c r="Q1938">
        <f>_xlfn.XLOOKUP(Loans[[#This Row],[CustomerID]],CustomerTbl[CustomerID],CustomerTbl[RiskScore])</f>
        <v>790</v>
      </c>
      <c r="R1938" t="str">
        <f>IFERROR(INDEX(RiskTbl[Risk_Category],MATCH(Loans[[#This Row],[RiskScore]],RiskTbl[Score_Min],1)),"Unknown")</f>
        <v>Very Low Risk</v>
      </c>
      <c r="S1938" t="str">
        <f>IF(OR(Loans[[#This Row],[LoanStatus]]="Default",Loans[[#This Row],[LoanStatus]]="Watchlist",Loans[[#This Row],[CollateralRisk]]="Undersecured",Loans[[#This Row],[RiskCategory]]="High Risk"),"High Risk Exposure","Normal")</f>
        <v>Normal</v>
      </c>
      <c r="T1938" t="str" cm="1">
        <f t="array" ref="T1938">_xlfn.IFS(
Loans[[#This Row],[LoanStatus]]="Default","Critical",
OR(Loans[[#This Row],[LoanStatus]]="Watchlist",Loans[[#This Row],[CollateralRisk]]="Undersecured",Loans[[#This Row],[RiskCategory]]="High Risk"),"High",
TRUE,"Normal"
)</f>
        <v>Normal</v>
      </c>
    </row>
    <row r="1939" spans="1:20" x14ac:dyDescent="0.35">
      <c r="A1939" t="s">
        <v>2774</v>
      </c>
      <c r="B1939" t="s">
        <v>1015</v>
      </c>
      <c r="C1939" t="s">
        <v>174</v>
      </c>
      <c r="D1939" t="s">
        <v>156</v>
      </c>
      <c r="E1939" s="34">
        <v>6000000</v>
      </c>
      <c r="F1939" s="29">
        <v>0.1462</v>
      </c>
      <c r="G1939" s="30">
        <v>45994</v>
      </c>
      <c r="H1939">
        <v>48</v>
      </c>
      <c r="I1939">
        <v>90</v>
      </c>
      <c r="J1939" s="34">
        <v>3120000</v>
      </c>
      <c r="K1939" t="s">
        <v>199</v>
      </c>
      <c r="L1939" s="34">
        <f>PMT(Loans[[#This Row],[InterestRate]]/12,Loans[[#This Row],[LoanTenureMonths]],-Loans[[#This Row],[LoanAmount]])</f>
        <v>165831.02157854949</v>
      </c>
      <c r="M1939" s="30">
        <f>EDATE(Loans[[#This Row],[LoanStartDate]],Loans[[#This Row],[LoanTenureMonths]])</f>
        <v>47455</v>
      </c>
      <c r="N1939" s="33">
        <f>IF(Loans[[#This Row],[LoanAmount]]=0,0,Loans[[#This Row],[CollateralValue]]/Loans[[#This Row],[LoanAmount]])</f>
        <v>0.52</v>
      </c>
      <c r="O1939" t="str">
        <f>IF(Loans[[#This Row],[CollateralCoverageRatio]]&lt;1,"Undersecured","Secured")</f>
        <v>Undersecured</v>
      </c>
      <c r="P1939" t="str">
        <f>_xlfn.XLOOKUP(Loans[[#This Row],[BranchCode]],BranchesTbl[BranchCode],BranchesTbl[BranchName])</f>
        <v>Westlands</v>
      </c>
      <c r="Q1939">
        <f>_xlfn.XLOOKUP(Loans[[#This Row],[CustomerID]],CustomerTbl[CustomerID],CustomerTbl[RiskScore])</f>
        <v>325</v>
      </c>
      <c r="R1939" t="str">
        <f>IFERROR(INDEX(RiskTbl[Risk_Category],MATCH(Loans[[#This Row],[RiskScore]],RiskTbl[Score_Min],1)),"Unknown")</f>
        <v>High Risk</v>
      </c>
      <c r="S1939" t="str">
        <f>IF(OR(Loans[[#This Row],[LoanStatus]]="Default",Loans[[#This Row],[LoanStatus]]="Watchlist",Loans[[#This Row],[CollateralRisk]]="Undersecured",Loans[[#This Row],[RiskCategory]]="High Risk"),"High Risk Exposure","Normal")</f>
        <v>High Risk Exposure</v>
      </c>
      <c r="T1939" t="str" cm="1">
        <f t="array" ref="T1939">_xlfn.IFS(
Loans[[#This Row],[LoanStatus]]="Default","Critical",
OR(Loans[[#This Row],[LoanStatus]]="Watchlist",Loans[[#This Row],[CollateralRisk]]="Undersecured",Loans[[#This Row],[RiskCategory]]="High Risk"),"High",
TRUE,"Normal"
)</f>
        <v>High</v>
      </c>
    </row>
    <row r="1940" spans="1:20" x14ac:dyDescent="0.35">
      <c r="A1940" t="s">
        <v>2775</v>
      </c>
      <c r="B1940" t="s">
        <v>1372</v>
      </c>
      <c r="C1940" t="s">
        <v>177</v>
      </c>
      <c r="D1940" t="s">
        <v>158</v>
      </c>
      <c r="E1940" s="34">
        <v>3000000</v>
      </c>
      <c r="F1940" s="29">
        <v>0.12720000000000001</v>
      </c>
      <c r="G1940" s="30">
        <v>45568</v>
      </c>
      <c r="H1940">
        <v>36</v>
      </c>
      <c r="I1940">
        <v>45</v>
      </c>
      <c r="J1940" s="34">
        <v>2820000</v>
      </c>
      <c r="K1940" t="s">
        <v>199</v>
      </c>
      <c r="L1940" s="34">
        <f>PMT(Loans[[#This Row],[InterestRate]]/12,Loans[[#This Row],[LoanTenureMonths]],-Loans[[#This Row],[LoanAmount]])</f>
        <v>100677.73438202287</v>
      </c>
      <c r="M1940" s="30">
        <f>EDATE(Loans[[#This Row],[LoanStartDate]],Loans[[#This Row],[LoanTenureMonths]])</f>
        <v>46663</v>
      </c>
      <c r="N1940" s="33">
        <f>IF(Loans[[#This Row],[LoanAmount]]=0,0,Loans[[#This Row],[CollateralValue]]/Loans[[#This Row],[LoanAmount]])</f>
        <v>0.94</v>
      </c>
      <c r="O1940" t="str">
        <f>IF(Loans[[#This Row],[CollateralCoverageRatio]]&lt;1,"Undersecured","Secured")</f>
        <v>Undersecured</v>
      </c>
      <c r="P1940" t="str">
        <f>_xlfn.XLOOKUP(Loans[[#This Row],[BranchCode]],BranchesTbl[BranchCode],BranchesTbl[BranchName])</f>
        <v>Naivasha</v>
      </c>
      <c r="Q1940">
        <f>_xlfn.XLOOKUP(Loans[[#This Row],[CustomerID]],CustomerTbl[CustomerID],CustomerTbl[RiskScore])</f>
        <v>718</v>
      </c>
      <c r="R1940" t="str">
        <f>IFERROR(INDEX(RiskTbl[Risk_Category],MATCH(Loans[[#This Row],[RiskScore]],RiskTbl[Score_Min],1)),"Unknown")</f>
        <v>Low Risk</v>
      </c>
      <c r="S1940" t="str">
        <f>IF(OR(Loans[[#This Row],[LoanStatus]]="Default",Loans[[#This Row],[LoanStatus]]="Watchlist",Loans[[#This Row],[CollateralRisk]]="Undersecured",Loans[[#This Row],[RiskCategory]]="High Risk"),"High Risk Exposure","Normal")</f>
        <v>High Risk Exposure</v>
      </c>
      <c r="T1940" t="str" cm="1">
        <f t="array" ref="T1940">_xlfn.IFS(
Loans[[#This Row],[LoanStatus]]="Default","Critical",
OR(Loans[[#This Row],[LoanStatus]]="Watchlist",Loans[[#This Row],[CollateralRisk]]="Undersecured",Loans[[#This Row],[RiskCategory]]="High Risk"),"High",
TRUE,"Normal"
)</f>
        <v>High</v>
      </c>
    </row>
    <row r="1941" spans="1:20" x14ac:dyDescent="0.35">
      <c r="A1941" t="s">
        <v>2776</v>
      </c>
      <c r="B1941" t="s">
        <v>1462</v>
      </c>
      <c r="C1941" t="s">
        <v>239</v>
      </c>
      <c r="D1941" t="s">
        <v>157</v>
      </c>
      <c r="E1941" s="34">
        <v>6000000</v>
      </c>
      <c r="F1941" s="29">
        <v>0.1129</v>
      </c>
      <c r="G1941" s="30">
        <v>45088</v>
      </c>
      <c r="H1941">
        <v>48</v>
      </c>
      <c r="I1941">
        <v>120</v>
      </c>
      <c r="J1941" s="34">
        <v>3300000</v>
      </c>
      <c r="K1941" t="s">
        <v>178</v>
      </c>
      <c r="L1941" s="34">
        <f>PMT(Loans[[#This Row],[InterestRate]]/12,Loans[[#This Row],[LoanTenureMonths]],-Loans[[#This Row],[LoanAmount]])</f>
        <v>155919.48741091829</v>
      </c>
      <c r="M1941" s="30">
        <f>EDATE(Loans[[#This Row],[LoanStartDate]],Loans[[#This Row],[LoanTenureMonths]])</f>
        <v>46549</v>
      </c>
      <c r="N1941" s="33">
        <f>IF(Loans[[#This Row],[LoanAmount]]=0,0,Loans[[#This Row],[CollateralValue]]/Loans[[#This Row],[LoanAmount]])</f>
        <v>0.55000000000000004</v>
      </c>
      <c r="O1941" t="str">
        <f>IF(Loans[[#This Row],[CollateralCoverageRatio]]&lt;1,"Undersecured","Secured")</f>
        <v>Undersecured</v>
      </c>
      <c r="P1941" t="str">
        <f>_xlfn.XLOOKUP(Loans[[#This Row],[BranchCode]],BranchesTbl[BranchCode],BranchesTbl[BranchName])</f>
        <v>Machakos</v>
      </c>
      <c r="Q1941">
        <f>_xlfn.XLOOKUP(Loans[[#This Row],[CustomerID]],CustomerTbl[CustomerID],CustomerTbl[RiskScore])</f>
        <v>456</v>
      </c>
      <c r="R1941" t="str">
        <f>IFERROR(INDEX(RiskTbl[Risk_Category],MATCH(Loans[[#This Row],[RiskScore]],RiskTbl[Score_Min],1)),"Unknown")</f>
        <v>High Risk</v>
      </c>
      <c r="S1941" t="str">
        <f>IF(OR(Loans[[#This Row],[LoanStatus]]="Default",Loans[[#This Row],[LoanStatus]]="Watchlist",Loans[[#This Row],[CollateralRisk]]="Undersecured",Loans[[#This Row],[RiskCategory]]="High Risk"),"High Risk Exposure","Normal")</f>
        <v>High Risk Exposure</v>
      </c>
      <c r="T1941" t="str" cm="1">
        <f t="array" ref="T1941">_xlfn.IFS(
Loans[[#This Row],[LoanStatus]]="Default","Critical",
OR(Loans[[#This Row],[LoanStatus]]="Watchlist",Loans[[#This Row],[CollateralRisk]]="Undersecured",Loans[[#This Row],[RiskCategory]]="High Risk"),"High",
TRUE,"Normal"
)</f>
        <v>Critical</v>
      </c>
    </row>
    <row r="1942" spans="1:20" x14ac:dyDescent="0.35">
      <c r="A1942" t="s">
        <v>2777</v>
      </c>
      <c r="B1942" t="s">
        <v>1413</v>
      </c>
      <c r="C1942" t="s">
        <v>239</v>
      </c>
      <c r="D1942" t="s">
        <v>157</v>
      </c>
      <c r="E1942" s="34">
        <v>6000000</v>
      </c>
      <c r="F1942" s="29">
        <v>0.1089</v>
      </c>
      <c r="G1942" s="30">
        <v>44723</v>
      </c>
      <c r="H1942">
        <v>72</v>
      </c>
      <c r="I1942">
        <v>20</v>
      </c>
      <c r="J1942" s="34">
        <v>6660000</v>
      </c>
      <c r="K1942" t="s">
        <v>171</v>
      </c>
      <c r="L1942" s="34">
        <f>PMT(Loans[[#This Row],[InterestRate]]/12,Loans[[#This Row],[LoanTenureMonths]],-Loans[[#This Row],[LoanAmount]])</f>
        <v>113866.71503458708</v>
      </c>
      <c r="M1942" s="30">
        <f>EDATE(Loans[[#This Row],[LoanStartDate]],Loans[[#This Row],[LoanTenureMonths]])</f>
        <v>46915</v>
      </c>
      <c r="N1942" s="33">
        <f>IF(Loans[[#This Row],[LoanAmount]]=0,0,Loans[[#This Row],[CollateralValue]]/Loans[[#This Row],[LoanAmount]])</f>
        <v>1.1100000000000001</v>
      </c>
      <c r="O1942" t="str">
        <f>IF(Loans[[#This Row],[CollateralCoverageRatio]]&lt;1,"Undersecured","Secured")</f>
        <v>Secured</v>
      </c>
      <c r="P1942" t="str">
        <f>_xlfn.XLOOKUP(Loans[[#This Row],[BranchCode]],BranchesTbl[BranchCode],BranchesTbl[BranchName])</f>
        <v>Machakos</v>
      </c>
      <c r="Q1942">
        <f>_xlfn.XLOOKUP(Loans[[#This Row],[CustomerID]],CustomerTbl[CustomerID],CustomerTbl[RiskScore])</f>
        <v>320</v>
      </c>
      <c r="R1942" t="str">
        <f>IFERROR(INDEX(RiskTbl[Risk_Category],MATCH(Loans[[#This Row],[RiskScore]],RiskTbl[Score_Min],1)),"Unknown")</f>
        <v>High Risk</v>
      </c>
      <c r="S1942" t="str">
        <f>IF(OR(Loans[[#This Row],[LoanStatus]]="Default",Loans[[#This Row],[LoanStatus]]="Watchlist",Loans[[#This Row],[CollateralRisk]]="Undersecured",Loans[[#This Row],[RiskCategory]]="High Risk"),"High Risk Exposure","Normal")</f>
        <v>High Risk Exposure</v>
      </c>
      <c r="T1942" t="str" cm="1">
        <f t="array" ref="T1942">_xlfn.IFS(
Loans[[#This Row],[LoanStatus]]="Default","Critical",
OR(Loans[[#This Row],[LoanStatus]]="Watchlist",Loans[[#This Row],[CollateralRisk]]="Undersecured",Loans[[#This Row],[RiskCategory]]="High Risk"),"High",
TRUE,"Normal"
)</f>
        <v>High</v>
      </c>
    </row>
    <row r="1943" spans="1:20" x14ac:dyDescent="0.35">
      <c r="A1943" t="s">
        <v>2778</v>
      </c>
      <c r="B1943" t="s">
        <v>590</v>
      </c>
      <c r="C1943" t="s">
        <v>267</v>
      </c>
      <c r="D1943" t="s">
        <v>155</v>
      </c>
      <c r="E1943" s="34">
        <v>500000</v>
      </c>
      <c r="F1943" s="29">
        <v>0.23219999999999999</v>
      </c>
      <c r="G1943" s="30">
        <v>44198</v>
      </c>
      <c r="H1943">
        <v>72</v>
      </c>
      <c r="I1943">
        <v>0</v>
      </c>
      <c r="J1943" s="34">
        <v>0</v>
      </c>
      <c r="K1943" t="s">
        <v>171</v>
      </c>
      <c r="L1943" s="34">
        <f>PMT(Loans[[#This Row],[InterestRate]]/12,Loans[[#This Row],[LoanTenureMonths]],-Loans[[#This Row],[LoanAmount]])</f>
        <v>12927.676915436436</v>
      </c>
      <c r="M1943" s="30">
        <f>EDATE(Loans[[#This Row],[LoanStartDate]],Loans[[#This Row],[LoanTenureMonths]])</f>
        <v>46389</v>
      </c>
      <c r="N1943" s="33">
        <f>IF(Loans[[#This Row],[LoanAmount]]=0,0,Loans[[#This Row],[CollateralValue]]/Loans[[#This Row],[LoanAmount]])</f>
        <v>0</v>
      </c>
      <c r="O1943" t="str">
        <f>IF(Loans[[#This Row],[CollateralCoverageRatio]]&lt;1,"Undersecured","Secured")</f>
        <v>Undersecured</v>
      </c>
      <c r="P1943" t="str">
        <f>_xlfn.XLOOKUP(Loans[[#This Row],[BranchCode]],BranchesTbl[BranchCode],BranchesTbl[BranchName])</f>
        <v>Malindi</v>
      </c>
      <c r="Q1943">
        <f>_xlfn.XLOOKUP(Loans[[#This Row],[CustomerID]],CustomerTbl[CustomerID],CustomerTbl[RiskScore])</f>
        <v>434</v>
      </c>
      <c r="R1943" t="str">
        <f>IFERROR(INDEX(RiskTbl[Risk_Category],MATCH(Loans[[#This Row],[RiskScore]],RiskTbl[Score_Min],1)),"Unknown")</f>
        <v>High Risk</v>
      </c>
      <c r="S1943" t="str">
        <f>IF(OR(Loans[[#This Row],[LoanStatus]]="Default",Loans[[#This Row],[LoanStatus]]="Watchlist",Loans[[#This Row],[CollateralRisk]]="Undersecured",Loans[[#This Row],[RiskCategory]]="High Risk"),"High Risk Exposure","Normal")</f>
        <v>High Risk Exposure</v>
      </c>
      <c r="T1943" t="str" cm="1">
        <f t="array" ref="T1943">_xlfn.IFS(
Loans[[#This Row],[LoanStatus]]="Default","Critical",
OR(Loans[[#This Row],[LoanStatus]]="Watchlist",Loans[[#This Row],[CollateralRisk]]="Undersecured",Loans[[#This Row],[RiskCategory]]="High Risk"),"High",
TRUE,"Normal"
)</f>
        <v>High</v>
      </c>
    </row>
    <row r="1944" spans="1:20" x14ac:dyDescent="0.35">
      <c r="A1944" t="s">
        <v>2779</v>
      </c>
      <c r="B1944" t="s">
        <v>1643</v>
      </c>
      <c r="C1944" t="s">
        <v>177</v>
      </c>
      <c r="D1944" t="s">
        <v>155</v>
      </c>
      <c r="E1944" s="34">
        <v>500000</v>
      </c>
      <c r="F1944" s="29">
        <v>0.16539999999999999</v>
      </c>
      <c r="G1944" s="30">
        <v>44638</v>
      </c>
      <c r="H1944">
        <v>60</v>
      </c>
      <c r="I1944">
        <v>120</v>
      </c>
      <c r="J1944" s="34">
        <v>0</v>
      </c>
      <c r="K1944" t="s">
        <v>178</v>
      </c>
      <c r="L1944" s="34">
        <f>PMT(Loans[[#This Row],[InterestRate]]/12,Loans[[#This Row],[LoanTenureMonths]],-Loans[[#This Row],[LoanAmount]])</f>
        <v>12302.953514841129</v>
      </c>
      <c r="M1944" s="30">
        <f>EDATE(Loans[[#This Row],[LoanStartDate]],Loans[[#This Row],[LoanTenureMonths]])</f>
        <v>46464</v>
      </c>
      <c r="N1944" s="33">
        <f>IF(Loans[[#This Row],[LoanAmount]]=0,0,Loans[[#This Row],[CollateralValue]]/Loans[[#This Row],[LoanAmount]])</f>
        <v>0</v>
      </c>
      <c r="O1944" t="str">
        <f>IF(Loans[[#This Row],[CollateralCoverageRatio]]&lt;1,"Undersecured","Secured")</f>
        <v>Undersecured</v>
      </c>
      <c r="P1944" t="str">
        <f>_xlfn.XLOOKUP(Loans[[#This Row],[BranchCode]],BranchesTbl[BranchCode],BranchesTbl[BranchName])</f>
        <v>Naivasha</v>
      </c>
      <c r="Q1944">
        <f>_xlfn.XLOOKUP(Loans[[#This Row],[CustomerID]],CustomerTbl[CustomerID],CustomerTbl[RiskScore])</f>
        <v>625</v>
      </c>
      <c r="R1944" t="str">
        <f>IFERROR(INDEX(RiskTbl[Risk_Category],MATCH(Loans[[#This Row],[RiskScore]],RiskTbl[Score_Min],1)),"Unknown")</f>
        <v>Medium Risk</v>
      </c>
      <c r="S1944" t="str">
        <f>IF(OR(Loans[[#This Row],[LoanStatus]]="Default",Loans[[#This Row],[LoanStatus]]="Watchlist",Loans[[#This Row],[CollateralRisk]]="Undersecured",Loans[[#This Row],[RiskCategory]]="High Risk"),"High Risk Exposure","Normal")</f>
        <v>High Risk Exposure</v>
      </c>
      <c r="T1944" t="str" cm="1">
        <f t="array" ref="T1944">_xlfn.IFS(
Loans[[#This Row],[LoanStatus]]="Default","Critical",
OR(Loans[[#This Row],[LoanStatus]]="Watchlist",Loans[[#This Row],[CollateralRisk]]="Undersecured",Loans[[#This Row],[RiskCategory]]="High Risk"),"High",
TRUE,"Normal"
)</f>
        <v>Critical</v>
      </c>
    </row>
    <row r="1945" spans="1:20" x14ac:dyDescent="0.35">
      <c r="A1945" t="s">
        <v>2780</v>
      </c>
      <c r="B1945" t="s">
        <v>940</v>
      </c>
      <c r="C1945" t="s">
        <v>219</v>
      </c>
      <c r="D1945" t="s">
        <v>158</v>
      </c>
      <c r="E1945" s="34">
        <v>1000000</v>
      </c>
      <c r="F1945" s="29">
        <v>0.14929999999999999</v>
      </c>
      <c r="G1945" s="30">
        <v>44182</v>
      </c>
      <c r="H1945">
        <v>72</v>
      </c>
      <c r="I1945">
        <v>20</v>
      </c>
      <c r="J1945" s="34">
        <v>1350000</v>
      </c>
      <c r="K1945" t="s">
        <v>171</v>
      </c>
      <c r="L1945" s="34">
        <f>PMT(Loans[[#This Row],[InterestRate]]/12,Loans[[#This Row],[LoanTenureMonths]],-Loans[[#This Row],[LoanAmount]])</f>
        <v>21107.017279111216</v>
      </c>
      <c r="M1945" s="30">
        <f>EDATE(Loans[[#This Row],[LoanStartDate]],Loans[[#This Row],[LoanTenureMonths]])</f>
        <v>46373</v>
      </c>
      <c r="N1945" s="33">
        <f>IF(Loans[[#This Row],[LoanAmount]]=0,0,Loans[[#This Row],[CollateralValue]]/Loans[[#This Row],[LoanAmount]])</f>
        <v>1.35</v>
      </c>
      <c r="O1945" t="str">
        <f>IF(Loans[[#This Row],[CollateralCoverageRatio]]&lt;1,"Undersecured","Secured")</f>
        <v>Secured</v>
      </c>
      <c r="P1945" t="str">
        <f>_xlfn.XLOOKUP(Loans[[#This Row],[BranchCode]],BranchesTbl[BranchCode],BranchesTbl[BranchName])</f>
        <v>Meru</v>
      </c>
      <c r="Q1945">
        <f>_xlfn.XLOOKUP(Loans[[#This Row],[CustomerID]],CustomerTbl[CustomerID],CustomerTbl[RiskScore])</f>
        <v>794</v>
      </c>
      <c r="R1945" t="str">
        <f>IFERROR(INDEX(RiskTbl[Risk_Category],MATCH(Loans[[#This Row],[RiskScore]],RiskTbl[Score_Min],1)),"Unknown")</f>
        <v>Very Low Risk</v>
      </c>
      <c r="S1945" t="str">
        <f>IF(OR(Loans[[#This Row],[LoanStatus]]="Default",Loans[[#This Row],[LoanStatus]]="Watchlist",Loans[[#This Row],[CollateralRisk]]="Undersecured",Loans[[#This Row],[RiskCategory]]="High Risk"),"High Risk Exposure","Normal")</f>
        <v>Normal</v>
      </c>
      <c r="T1945" t="str" cm="1">
        <f t="array" ref="T1945">_xlfn.IFS(
Loans[[#This Row],[LoanStatus]]="Default","Critical",
OR(Loans[[#This Row],[LoanStatus]]="Watchlist",Loans[[#This Row],[CollateralRisk]]="Undersecured",Loans[[#This Row],[RiskCategory]]="High Risk"),"High",
TRUE,"Normal"
)</f>
        <v>Normal</v>
      </c>
    </row>
    <row r="1946" spans="1:20" x14ac:dyDescent="0.35">
      <c r="A1946" t="s">
        <v>2781</v>
      </c>
      <c r="B1946" t="s">
        <v>829</v>
      </c>
      <c r="C1946" t="s">
        <v>170</v>
      </c>
      <c r="D1946" t="s">
        <v>155</v>
      </c>
      <c r="E1946" s="34">
        <v>250000</v>
      </c>
      <c r="F1946" s="29">
        <v>0.2427</v>
      </c>
      <c r="G1946" s="30">
        <v>44294</v>
      </c>
      <c r="H1946">
        <v>36</v>
      </c>
      <c r="I1946">
        <v>0</v>
      </c>
      <c r="J1946" s="34">
        <v>0</v>
      </c>
      <c r="K1946" t="s">
        <v>171</v>
      </c>
      <c r="L1946" s="34">
        <f>PMT(Loans[[#This Row],[InterestRate]]/12,Loans[[#This Row],[LoanTenureMonths]],-Loans[[#This Row],[LoanAmount]])</f>
        <v>9843.6893995944465</v>
      </c>
      <c r="M1946" s="30">
        <f>EDATE(Loans[[#This Row],[LoanStartDate]],Loans[[#This Row],[LoanTenureMonths]])</f>
        <v>45390</v>
      </c>
      <c r="N1946" s="33">
        <f>IF(Loans[[#This Row],[LoanAmount]]=0,0,Loans[[#This Row],[CollateralValue]]/Loans[[#This Row],[LoanAmount]])</f>
        <v>0</v>
      </c>
      <c r="O1946" t="str">
        <f>IF(Loans[[#This Row],[CollateralCoverageRatio]]&lt;1,"Undersecured","Secured")</f>
        <v>Undersecured</v>
      </c>
      <c r="P1946" t="str">
        <f>_xlfn.XLOOKUP(Loans[[#This Row],[BranchCode]],BranchesTbl[BranchCode],BranchesTbl[BranchName])</f>
        <v>Thika</v>
      </c>
      <c r="Q1946">
        <f>_xlfn.XLOOKUP(Loans[[#This Row],[CustomerID]],CustomerTbl[CustomerID],CustomerTbl[RiskScore])</f>
        <v>580</v>
      </c>
      <c r="R1946" t="str">
        <f>IFERROR(INDEX(RiskTbl[Risk_Category],MATCH(Loans[[#This Row],[RiskScore]],RiskTbl[Score_Min],1)),"Unknown")</f>
        <v>Medium Risk</v>
      </c>
      <c r="S1946" t="str">
        <f>IF(OR(Loans[[#This Row],[LoanStatus]]="Default",Loans[[#This Row],[LoanStatus]]="Watchlist",Loans[[#This Row],[CollateralRisk]]="Undersecured",Loans[[#This Row],[RiskCategory]]="High Risk"),"High Risk Exposure","Normal")</f>
        <v>High Risk Exposure</v>
      </c>
      <c r="T1946" t="str" cm="1">
        <f t="array" ref="T1946">_xlfn.IFS(
Loans[[#This Row],[LoanStatus]]="Default","Critical",
OR(Loans[[#This Row],[LoanStatus]]="Watchlist",Loans[[#This Row],[CollateralRisk]]="Undersecured",Loans[[#This Row],[RiskCategory]]="High Risk"),"High",
TRUE,"Normal"
)</f>
        <v>High</v>
      </c>
    </row>
    <row r="1947" spans="1:20" x14ac:dyDescent="0.35">
      <c r="A1947" t="s">
        <v>2782</v>
      </c>
      <c r="B1947" t="s">
        <v>1670</v>
      </c>
      <c r="C1947" t="s">
        <v>239</v>
      </c>
      <c r="D1947" t="s">
        <v>155</v>
      </c>
      <c r="E1947" s="34">
        <v>100000</v>
      </c>
      <c r="F1947" s="29">
        <v>0.25950000000000001</v>
      </c>
      <c r="G1947" s="30">
        <v>45618</v>
      </c>
      <c r="H1947">
        <v>48</v>
      </c>
      <c r="I1947">
        <v>0</v>
      </c>
      <c r="J1947" s="34">
        <v>0</v>
      </c>
      <c r="K1947" t="s">
        <v>171</v>
      </c>
      <c r="L1947" s="34">
        <f>PMT(Loans[[#This Row],[InterestRate]]/12,Loans[[#This Row],[LoanTenureMonths]],-Loans[[#This Row],[LoanAmount]])</f>
        <v>3368.9182574430047</v>
      </c>
      <c r="M1947" s="30">
        <f>EDATE(Loans[[#This Row],[LoanStartDate]],Loans[[#This Row],[LoanTenureMonths]])</f>
        <v>47079</v>
      </c>
      <c r="N1947" s="33">
        <f>IF(Loans[[#This Row],[LoanAmount]]=0,0,Loans[[#This Row],[CollateralValue]]/Loans[[#This Row],[LoanAmount]])</f>
        <v>0</v>
      </c>
      <c r="O1947" t="str">
        <f>IF(Loans[[#This Row],[CollateralCoverageRatio]]&lt;1,"Undersecured","Secured")</f>
        <v>Undersecured</v>
      </c>
      <c r="P1947" t="str">
        <f>_xlfn.XLOOKUP(Loans[[#This Row],[BranchCode]],BranchesTbl[BranchCode],BranchesTbl[BranchName])</f>
        <v>Machakos</v>
      </c>
      <c r="Q1947">
        <f>_xlfn.XLOOKUP(Loans[[#This Row],[CustomerID]],CustomerTbl[CustomerID],CustomerTbl[RiskScore])</f>
        <v>602</v>
      </c>
      <c r="R1947" t="str">
        <f>IFERROR(INDEX(RiskTbl[Risk_Category],MATCH(Loans[[#This Row],[RiskScore]],RiskTbl[Score_Min],1)),"Unknown")</f>
        <v>Medium Risk</v>
      </c>
      <c r="S1947" t="str">
        <f>IF(OR(Loans[[#This Row],[LoanStatus]]="Default",Loans[[#This Row],[LoanStatus]]="Watchlist",Loans[[#This Row],[CollateralRisk]]="Undersecured",Loans[[#This Row],[RiskCategory]]="High Risk"),"High Risk Exposure","Normal")</f>
        <v>High Risk Exposure</v>
      </c>
      <c r="T1947" t="str" cm="1">
        <f t="array" ref="T1947">_xlfn.IFS(
Loans[[#This Row],[LoanStatus]]="Default","Critical",
OR(Loans[[#This Row],[LoanStatus]]="Watchlist",Loans[[#This Row],[CollateralRisk]]="Undersecured",Loans[[#This Row],[RiskCategory]]="High Risk"),"High",
TRUE,"Normal"
)</f>
        <v>High</v>
      </c>
    </row>
    <row r="1948" spans="1:20" x14ac:dyDescent="0.35">
      <c r="A1948" t="s">
        <v>2783</v>
      </c>
      <c r="B1948" t="s">
        <v>298</v>
      </c>
      <c r="C1948" t="s">
        <v>206</v>
      </c>
      <c r="D1948" t="s">
        <v>158</v>
      </c>
      <c r="E1948" s="34">
        <v>6000000</v>
      </c>
      <c r="F1948" s="29">
        <v>0.1633</v>
      </c>
      <c r="G1948" s="30">
        <v>45790</v>
      </c>
      <c r="H1948">
        <v>72</v>
      </c>
      <c r="I1948">
        <v>0</v>
      </c>
      <c r="J1948" s="34">
        <v>6360000</v>
      </c>
      <c r="K1948" t="s">
        <v>171</v>
      </c>
      <c r="L1948" s="34">
        <f>PMT(Loans[[#This Row],[InterestRate]]/12,Loans[[#This Row],[LoanTenureMonths]],-Loans[[#This Row],[LoanAmount]])</f>
        <v>131243.61565566011</v>
      </c>
      <c r="M1948" s="30">
        <f>EDATE(Loans[[#This Row],[LoanStartDate]],Loans[[#This Row],[LoanTenureMonths]])</f>
        <v>47981</v>
      </c>
      <c r="N1948" s="33">
        <f>IF(Loans[[#This Row],[LoanAmount]]=0,0,Loans[[#This Row],[CollateralValue]]/Loans[[#This Row],[LoanAmount]])</f>
        <v>1.06</v>
      </c>
      <c r="O1948" t="str">
        <f>IF(Loans[[#This Row],[CollateralCoverageRatio]]&lt;1,"Undersecured","Secured")</f>
        <v>Secured</v>
      </c>
      <c r="P1948" t="str">
        <f>_xlfn.XLOOKUP(Loans[[#This Row],[BranchCode]],BranchesTbl[BranchCode],BranchesTbl[BranchName])</f>
        <v>Nyahururu</v>
      </c>
      <c r="Q1948">
        <f>_xlfn.XLOOKUP(Loans[[#This Row],[CustomerID]],CustomerTbl[CustomerID],CustomerTbl[RiskScore])</f>
        <v>324</v>
      </c>
      <c r="R1948" t="str">
        <f>IFERROR(INDEX(RiskTbl[Risk_Category],MATCH(Loans[[#This Row],[RiskScore]],RiskTbl[Score_Min],1)),"Unknown")</f>
        <v>High Risk</v>
      </c>
      <c r="S1948" t="str">
        <f>IF(OR(Loans[[#This Row],[LoanStatus]]="Default",Loans[[#This Row],[LoanStatus]]="Watchlist",Loans[[#This Row],[CollateralRisk]]="Undersecured",Loans[[#This Row],[RiskCategory]]="High Risk"),"High Risk Exposure","Normal")</f>
        <v>High Risk Exposure</v>
      </c>
      <c r="T1948" t="str" cm="1">
        <f t="array" ref="T1948">_xlfn.IFS(
Loans[[#This Row],[LoanStatus]]="Default","Critical",
OR(Loans[[#This Row],[LoanStatus]]="Watchlist",Loans[[#This Row],[CollateralRisk]]="Undersecured",Loans[[#This Row],[RiskCategory]]="High Risk"),"High",
TRUE,"Normal"
)</f>
        <v>High</v>
      </c>
    </row>
    <row r="1949" spans="1:20" x14ac:dyDescent="0.35">
      <c r="A1949" t="s">
        <v>2784</v>
      </c>
      <c r="B1949" t="s">
        <v>1292</v>
      </c>
      <c r="C1949" t="s">
        <v>196</v>
      </c>
      <c r="D1949" t="s">
        <v>158</v>
      </c>
      <c r="E1949" s="34">
        <v>500000</v>
      </c>
      <c r="F1949" s="29">
        <v>0.18290000000000001</v>
      </c>
      <c r="G1949" s="30">
        <v>45478</v>
      </c>
      <c r="H1949">
        <v>36</v>
      </c>
      <c r="I1949">
        <v>0</v>
      </c>
      <c r="J1949" s="34">
        <v>605000</v>
      </c>
      <c r="K1949" t="s">
        <v>171</v>
      </c>
      <c r="L1949" s="34">
        <f>PMT(Loans[[#This Row],[InterestRate]]/12,Loans[[#This Row],[LoanTenureMonths]],-Loans[[#This Row],[LoanAmount]])</f>
        <v>18149.020043633969</v>
      </c>
      <c r="M1949" s="30">
        <f>EDATE(Loans[[#This Row],[LoanStartDate]],Loans[[#This Row],[LoanTenureMonths]])</f>
        <v>46573</v>
      </c>
      <c r="N1949" s="33">
        <f>IF(Loans[[#This Row],[LoanAmount]]=0,0,Loans[[#This Row],[CollateralValue]]/Loans[[#This Row],[LoanAmount]])</f>
        <v>1.21</v>
      </c>
      <c r="O1949" t="str">
        <f>IF(Loans[[#This Row],[CollateralCoverageRatio]]&lt;1,"Undersecured","Secured")</f>
        <v>Secured</v>
      </c>
      <c r="P1949" t="str">
        <f>_xlfn.XLOOKUP(Loans[[#This Row],[BranchCode]],BranchesTbl[BranchCode],BranchesTbl[BranchName])</f>
        <v>Karen</v>
      </c>
      <c r="Q1949">
        <f>_xlfn.XLOOKUP(Loans[[#This Row],[CustomerID]],CustomerTbl[CustomerID],CustomerTbl[RiskScore])</f>
        <v>813</v>
      </c>
      <c r="R1949" t="str">
        <f>IFERROR(INDEX(RiskTbl[Risk_Category],MATCH(Loans[[#This Row],[RiskScore]],RiskTbl[Score_Min],1)),"Unknown")</f>
        <v>Prime</v>
      </c>
      <c r="S1949" t="str">
        <f>IF(OR(Loans[[#This Row],[LoanStatus]]="Default",Loans[[#This Row],[LoanStatus]]="Watchlist",Loans[[#This Row],[CollateralRisk]]="Undersecured",Loans[[#This Row],[RiskCategory]]="High Risk"),"High Risk Exposure","Normal")</f>
        <v>Normal</v>
      </c>
      <c r="T1949" t="str" cm="1">
        <f t="array" ref="T1949">_xlfn.IFS(
Loans[[#This Row],[LoanStatus]]="Default","Critical",
OR(Loans[[#This Row],[LoanStatus]]="Watchlist",Loans[[#This Row],[CollateralRisk]]="Undersecured",Loans[[#This Row],[RiskCategory]]="High Risk"),"High",
TRUE,"Normal"
)</f>
        <v>Normal</v>
      </c>
    </row>
    <row r="1950" spans="1:20" x14ac:dyDescent="0.35">
      <c r="A1950" t="s">
        <v>2785</v>
      </c>
      <c r="B1950" t="s">
        <v>310</v>
      </c>
      <c r="C1950" t="s">
        <v>196</v>
      </c>
      <c r="D1950" t="s">
        <v>158</v>
      </c>
      <c r="E1950" s="34">
        <v>6000000</v>
      </c>
      <c r="F1950" s="29">
        <v>0.18479999999999999</v>
      </c>
      <c r="G1950" s="30">
        <v>43883</v>
      </c>
      <c r="H1950">
        <v>72</v>
      </c>
      <c r="I1950">
        <v>0</v>
      </c>
      <c r="J1950" s="34">
        <v>7680000</v>
      </c>
      <c r="K1950" t="s">
        <v>171</v>
      </c>
      <c r="L1950" s="34">
        <f>PMT(Loans[[#This Row],[InterestRate]]/12,Loans[[#This Row],[LoanTenureMonths]],-Loans[[#This Row],[LoanAmount]])</f>
        <v>138479.86189633285</v>
      </c>
      <c r="M1950" s="30">
        <f>EDATE(Loans[[#This Row],[LoanStartDate]],Loans[[#This Row],[LoanTenureMonths]])</f>
        <v>46075</v>
      </c>
      <c r="N1950" s="33">
        <f>IF(Loans[[#This Row],[LoanAmount]]=0,0,Loans[[#This Row],[CollateralValue]]/Loans[[#This Row],[LoanAmount]])</f>
        <v>1.28</v>
      </c>
      <c r="O1950" t="str">
        <f>IF(Loans[[#This Row],[CollateralCoverageRatio]]&lt;1,"Undersecured","Secured")</f>
        <v>Secured</v>
      </c>
      <c r="P1950" t="str">
        <f>_xlfn.XLOOKUP(Loans[[#This Row],[BranchCode]],BranchesTbl[BranchCode],BranchesTbl[BranchName])</f>
        <v>Karen</v>
      </c>
      <c r="Q1950">
        <f>_xlfn.XLOOKUP(Loans[[#This Row],[CustomerID]],CustomerTbl[CustomerID],CustomerTbl[RiskScore])</f>
        <v>681</v>
      </c>
      <c r="R1950" t="str">
        <f>IFERROR(INDEX(RiskTbl[Risk_Category],MATCH(Loans[[#This Row],[RiskScore]],RiskTbl[Score_Min],1)),"Unknown")</f>
        <v>Low Risk</v>
      </c>
      <c r="S1950" t="str">
        <f>IF(OR(Loans[[#This Row],[LoanStatus]]="Default",Loans[[#This Row],[LoanStatus]]="Watchlist",Loans[[#This Row],[CollateralRisk]]="Undersecured",Loans[[#This Row],[RiskCategory]]="High Risk"),"High Risk Exposure","Normal")</f>
        <v>Normal</v>
      </c>
      <c r="T1950" t="str" cm="1">
        <f t="array" ref="T1950">_xlfn.IFS(
Loans[[#This Row],[LoanStatus]]="Default","Critical",
OR(Loans[[#This Row],[LoanStatus]]="Watchlist",Loans[[#This Row],[CollateralRisk]]="Undersecured",Loans[[#This Row],[RiskCategory]]="High Risk"),"High",
TRUE,"Normal"
)</f>
        <v>Normal</v>
      </c>
    </row>
    <row r="1951" spans="1:20" x14ac:dyDescent="0.35">
      <c r="A1951" t="s">
        <v>2786</v>
      </c>
      <c r="B1951" t="s">
        <v>234</v>
      </c>
      <c r="C1951" t="s">
        <v>239</v>
      </c>
      <c r="D1951" t="s">
        <v>157</v>
      </c>
      <c r="E1951" s="34">
        <v>25000000</v>
      </c>
      <c r="F1951" s="29">
        <v>9.8500000000000004E-2</v>
      </c>
      <c r="G1951" s="30">
        <v>44995</v>
      </c>
      <c r="H1951">
        <v>72</v>
      </c>
      <c r="I1951">
        <v>90</v>
      </c>
      <c r="J1951" s="34">
        <v>16750000</v>
      </c>
      <c r="K1951" t="s">
        <v>199</v>
      </c>
      <c r="L1951" s="34">
        <f>PMT(Loans[[#This Row],[InterestRate]]/12,Loans[[#This Row],[LoanTenureMonths]],-Loans[[#This Row],[LoanAmount]])</f>
        <v>461257.12159637728</v>
      </c>
      <c r="M1951" s="30">
        <f>EDATE(Loans[[#This Row],[LoanStartDate]],Loans[[#This Row],[LoanTenureMonths]])</f>
        <v>47187</v>
      </c>
      <c r="N1951" s="33">
        <f>IF(Loans[[#This Row],[LoanAmount]]=0,0,Loans[[#This Row],[CollateralValue]]/Loans[[#This Row],[LoanAmount]])</f>
        <v>0.67</v>
      </c>
      <c r="O1951" t="str">
        <f>IF(Loans[[#This Row],[CollateralCoverageRatio]]&lt;1,"Undersecured","Secured")</f>
        <v>Undersecured</v>
      </c>
      <c r="P1951" t="str">
        <f>_xlfn.XLOOKUP(Loans[[#This Row],[BranchCode]],BranchesTbl[BranchCode],BranchesTbl[BranchName])</f>
        <v>Machakos</v>
      </c>
      <c r="Q1951">
        <f>_xlfn.XLOOKUP(Loans[[#This Row],[CustomerID]],CustomerTbl[CustomerID],CustomerTbl[RiskScore])</f>
        <v>338</v>
      </c>
      <c r="R1951" t="str">
        <f>IFERROR(INDEX(RiskTbl[Risk_Category],MATCH(Loans[[#This Row],[RiskScore]],RiskTbl[Score_Min],1)),"Unknown")</f>
        <v>High Risk</v>
      </c>
      <c r="S1951" t="str">
        <f>IF(OR(Loans[[#This Row],[LoanStatus]]="Default",Loans[[#This Row],[LoanStatus]]="Watchlist",Loans[[#This Row],[CollateralRisk]]="Undersecured",Loans[[#This Row],[RiskCategory]]="High Risk"),"High Risk Exposure","Normal")</f>
        <v>High Risk Exposure</v>
      </c>
      <c r="T1951" t="str" cm="1">
        <f t="array" ref="T1951">_xlfn.IFS(
Loans[[#This Row],[LoanStatus]]="Default","Critical",
OR(Loans[[#This Row],[LoanStatus]]="Watchlist",Loans[[#This Row],[CollateralRisk]]="Undersecured",Loans[[#This Row],[RiskCategory]]="High Risk"),"High",
TRUE,"Normal"
)</f>
        <v>High</v>
      </c>
    </row>
    <row r="1952" spans="1:20" x14ac:dyDescent="0.35">
      <c r="A1952" t="s">
        <v>2787</v>
      </c>
      <c r="B1952" t="s">
        <v>310</v>
      </c>
      <c r="C1952" t="s">
        <v>177</v>
      </c>
      <c r="D1952" t="s">
        <v>158</v>
      </c>
      <c r="E1952" s="34">
        <v>6000000</v>
      </c>
      <c r="F1952" s="29">
        <v>0.16070000000000001</v>
      </c>
      <c r="G1952" s="30">
        <v>45543</v>
      </c>
      <c r="H1952">
        <v>60</v>
      </c>
      <c r="I1952">
        <v>0</v>
      </c>
      <c r="J1952" s="34">
        <v>3840000</v>
      </c>
      <c r="K1952" t="s">
        <v>171</v>
      </c>
      <c r="L1952" s="34">
        <f>PMT(Loans[[#This Row],[InterestRate]]/12,Loans[[#This Row],[LoanTenureMonths]],-Loans[[#This Row],[LoanAmount]])</f>
        <v>146131.59624999407</v>
      </c>
      <c r="M1952" s="30">
        <f>EDATE(Loans[[#This Row],[LoanStartDate]],Loans[[#This Row],[LoanTenureMonths]])</f>
        <v>47369</v>
      </c>
      <c r="N1952" s="33">
        <f>IF(Loans[[#This Row],[LoanAmount]]=0,0,Loans[[#This Row],[CollateralValue]]/Loans[[#This Row],[LoanAmount]])</f>
        <v>0.64</v>
      </c>
      <c r="O1952" t="str">
        <f>IF(Loans[[#This Row],[CollateralCoverageRatio]]&lt;1,"Undersecured","Secured")</f>
        <v>Undersecured</v>
      </c>
      <c r="P1952" t="str">
        <f>_xlfn.XLOOKUP(Loans[[#This Row],[BranchCode]],BranchesTbl[BranchCode],BranchesTbl[BranchName])</f>
        <v>Naivasha</v>
      </c>
      <c r="Q1952">
        <f>_xlfn.XLOOKUP(Loans[[#This Row],[CustomerID]],CustomerTbl[CustomerID],CustomerTbl[RiskScore])</f>
        <v>681</v>
      </c>
      <c r="R1952" t="str">
        <f>IFERROR(INDEX(RiskTbl[Risk_Category],MATCH(Loans[[#This Row],[RiskScore]],RiskTbl[Score_Min],1)),"Unknown")</f>
        <v>Low Risk</v>
      </c>
      <c r="S1952" t="str">
        <f>IF(OR(Loans[[#This Row],[LoanStatus]]="Default",Loans[[#This Row],[LoanStatus]]="Watchlist",Loans[[#This Row],[CollateralRisk]]="Undersecured",Loans[[#This Row],[RiskCategory]]="High Risk"),"High Risk Exposure","Normal")</f>
        <v>High Risk Exposure</v>
      </c>
      <c r="T1952" t="str" cm="1">
        <f t="array" ref="T1952">_xlfn.IFS(
Loans[[#This Row],[LoanStatus]]="Default","Critical",
OR(Loans[[#This Row],[LoanStatus]]="Watchlist",Loans[[#This Row],[CollateralRisk]]="Undersecured",Loans[[#This Row],[RiskCategory]]="High Risk"),"High",
TRUE,"Normal"
)</f>
        <v>High</v>
      </c>
    </row>
    <row r="1953" spans="1:20" x14ac:dyDescent="0.35">
      <c r="A1953" t="s">
        <v>2788</v>
      </c>
      <c r="B1953" t="s">
        <v>1454</v>
      </c>
      <c r="C1953" t="s">
        <v>174</v>
      </c>
      <c r="D1953" t="s">
        <v>157</v>
      </c>
      <c r="E1953" s="34">
        <v>80000000</v>
      </c>
      <c r="F1953" s="29">
        <v>0.1246</v>
      </c>
      <c r="G1953" s="30">
        <v>44570</v>
      </c>
      <c r="H1953">
        <v>12</v>
      </c>
      <c r="I1953">
        <v>0</v>
      </c>
      <c r="J1953" s="34">
        <v>78400000</v>
      </c>
      <c r="K1953" t="s">
        <v>171</v>
      </c>
      <c r="L1953" s="34">
        <f>PMT(Loans[[#This Row],[InterestRate]]/12,Loans[[#This Row],[LoanTenureMonths]],-Loans[[#This Row],[LoanAmount]])</f>
        <v>7125129.9448508387</v>
      </c>
      <c r="M1953" s="30">
        <f>EDATE(Loans[[#This Row],[LoanStartDate]],Loans[[#This Row],[LoanTenureMonths]])</f>
        <v>44935</v>
      </c>
      <c r="N1953" s="33">
        <f>IF(Loans[[#This Row],[LoanAmount]]=0,0,Loans[[#This Row],[CollateralValue]]/Loans[[#This Row],[LoanAmount]])</f>
        <v>0.98</v>
      </c>
      <c r="O1953" t="str">
        <f>IF(Loans[[#This Row],[CollateralCoverageRatio]]&lt;1,"Undersecured","Secured")</f>
        <v>Undersecured</v>
      </c>
      <c r="P1953" t="str">
        <f>_xlfn.XLOOKUP(Loans[[#This Row],[BranchCode]],BranchesTbl[BranchCode],BranchesTbl[BranchName])</f>
        <v>Westlands</v>
      </c>
      <c r="Q1953">
        <f>_xlfn.XLOOKUP(Loans[[#This Row],[CustomerID]],CustomerTbl[CustomerID],CustomerTbl[RiskScore])</f>
        <v>502</v>
      </c>
      <c r="R1953" t="str">
        <f>IFERROR(INDEX(RiskTbl[Risk_Category],MATCH(Loans[[#This Row],[RiskScore]],RiskTbl[Score_Min],1)),"Unknown")</f>
        <v>High Risk</v>
      </c>
      <c r="S1953" t="str">
        <f>IF(OR(Loans[[#This Row],[LoanStatus]]="Default",Loans[[#This Row],[LoanStatus]]="Watchlist",Loans[[#This Row],[CollateralRisk]]="Undersecured",Loans[[#This Row],[RiskCategory]]="High Risk"),"High Risk Exposure","Normal")</f>
        <v>High Risk Exposure</v>
      </c>
      <c r="T1953" t="str" cm="1">
        <f t="array" ref="T1953">_xlfn.IFS(
Loans[[#This Row],[LoanStatus]]="Default","Critical",
OR(Loans[[#This Row],[LoanStatus]]="Watchlist",Loans[[#This Row],[CollateralRisk]]="Undersecured",Loans[[#This Row],[RiskCategory]]="High Risk"),"High",
TRUE,"Normal"
)</f>
        <v>High</v>
      </c>
    </row>
    <row r="1954" spans="1:20" x14ac:dyDescent="0.35">
      <c r="A1954" t="s">
        <v>2789</v>
      </c>
      <c r="B1954" t="s">
        <v>532</v>
      </c>
      <c r="C1954" t="s">
        <v>219</v>
      </c>
      <c r="D1954" t="s">
        <v>155</v>
      </c>
      <c r="E1954" s="34">
        <v>500000</v>
      </c>
      <c r="F1954" s="29">
        <v>0.1603</v>
      </c>
      <c r="G1954" s="30">
        <v>45414</v>
      </c>
      <c r="H1954">
        <v>60</v>
      </c>
      <c r="I1954">
        <v>5</v>
      </c>
      <c r="J1954" s="34">
        <v>0</v>
      </c>
      <c r="K1954" t="s">
        <v>171</v>
      </c>
      <c r="L1954" s="34">
        <f>PMT(Loans[[#This Row],[InterestRate]]/12,Loans[[#This Row],[LoanTenureMonths]],-Loans[[#This Row],[LoanAmount]])</f>
        <v>12166.999982344096</v>
      </c>
      <c r="M1954" s="30">
        <f>EDATE(Loans[[#This Row],[LoanStartDate]],Loans[[#This Row],[LoanTenureMonths]])</f>
        <v>47240</v>
      </c>
      <c r="N1954" s="33">
        <f>IF(Loans[[#This Row],[LoanAmount]]=0,0,Loans[[#This Row],[CollateralValue]]/Loans[[#This Row],[LoanAmount]])</f>
        <v>0</v>
      </c>
      <c r="O1954" t="str">
        <f>IF(Loans[[#This Row],[CollateralCoverageRatio]]&lt;1,"Undersecured","Secured")</f>
        <v>Undersecured</v>
      </c>
      <c r="P1954" t="str">
        <f>_xlfn.XLOOKUP(Loans[[#This Row],[BranchCode]],BranchesTbl[BranchCode],BranchesTbl[BranchName])</f>
        <v>Meru</v>
      </c>
      <c r="Q1954">
        <f>_xlfn.XLOOKUP(Loans[[#This Row],[CustomerID]],CustomerTbl[CustomerID],CustomerTbl[RiskScore])</f>
        <v>502</v>
      </c>
      <c r="R1954" t="str">
        <f>IFERROR(INDEX(RiskTbl[Risk_Category],MATCH(Loans[[#This Row],[RiskScore]],RiskTbl[Score_Min],1)),"Unknown")</f>
        <v>High Risk</v>
      </c>
      <c r="S1954" t="str">
        <f>IF(OR(Loans[[#This Row],[LoanStatus]]="Default",Loans[[#This Row],[LoanStatus]]="Watchlist",Loans[[#This Row],[CollateralRisk]]="Undersecured",Loans[[#This Row],[RiskCategory]]="High Risk"),"High Risk Exposure","Normal")</f>
        <v>High Risk Exposure</v>
      </c>
      <c r="T1954" t="str" cm="1">
        <f t="array" ref="T1954">_xlfn.IFS(
Loans[[#This Row],[LoanStatus]]="Default","Critical",
OR(Loans[[#This Row],[LoanStatus]]="Watchlist",Loans[[#This Row],[CollateralRisk]]="Undersecured",Loans[[#This Row],[RiskCategory]]="High Risk"),"High",
TRUE,"Normal"
)</f>
        <v>High</v>
      </c>
    </row>
    <row r="1955" spans="1:20" x14ac:dyDescent="0.35">
      <c r="A1955" t="s">
        <v>2790</v>
      </c>
      <c r="B1955" t="s">
        <v>1100</v>
      </c>
      <c r="C1955" t="s">
        <v>190</v>
      </c>
      <c r="D1955" t="s">
        <v>156</v>
      </c>
      <c r="E1955" s="34">
        <v>1000000</v>
      </c>
      <c r="F1955" s="29">
        <v>0.21490000000000001</v>
      </c>
      <c r="G1955" s="30">
        <v>44482</v>
      </c>
      <c r="H1955">
        <v>36</v>
      </c>
      <c r="I1955">
        <v>0</v>
      </c>
      <c r="J1955" s="34">
        <v>620000</v>
      </c>
      <c r="K1955" t="s">
        <v>171</v>
      </c>
      <c r="L1955" s="34">
        <f>PMT(Loans[[#This Row],[InterestRate]]/12,Loans[[#This Row],[LoanTenureMonths]],-Loans[[#This Row],[LoanAmount]])</f>
        <v>37927.120047346987</v>
      </c>
      <c r="M1955" s="30">
        <f>EDATE(Loans[[#This Row],[LoanStartDate]],Loans[[#This Row],[LoanTenureMonths]])</f>
        <v>45578</v>
      </c>
      <c r="N1955" s="33">
        <f>IF(Loans[[#This Row],[LoanAmount]]=0,0,Loans[[#This Row],[CollateralValue]]/Loans[[#This Row],[LoanAmount]])</f>
        <v>0.62</v>
      </c>
      <c r="O1955" t="str">
        <f>IF(Loans[[#This Row],[CollateralCoverageRatio]]&lt;1,"Undersecured","Secured")</f>
        <v>Undersecured</v>
      </c>
      <c r="P1955" t="str">
        <f>_xlfn.XLOOKUP(Loans[[#This Row],[BranchCode]],BranchesTbl[BranchCode],BranchesTbl[BranchName])</f>
        <v>Nyeri</v>
      </c>
      <c r="Q1955">
        <f>_xlfn.XLOOKUP(Loans[[#This Row],[CustomerID]],CustomerTbl[CustomerID],CustomerTbl[RiskScore])</f>
        <v>441</v>
      </c>
      <c r="R1955" t="str">
        <f>IFERROR(INDEX(RiskTbl[Risk_Category],MATCH(Loans[[#This Row],[RiskScore]],RiskTbl[Score_Min],1)),"Unknown")</f>
        <v>High Risk</v>
      </c>
      <c r="S1955" t="str">
        <f>IF(OR(Loans[[#This Row],[LoanStatus]]="Default",Loans[[#This Row],[LoanStatus]]="Watchlist",Loans[[#This Row],[CollateralRisk]]="Undersecured",Loans[[#This Row],[RiskCategory]]="High Risk"),"High Risk Exposure","Normal")</f>
        <v>High Risk Exposure</v>
      </c>
      <c r="T1955" t="str" cm="1">
        <f t="array" ref="T1955">_xlfn.IFS(
Loans[[#This Row],[LoanStatus]]="Default","Critical",
OR(Loans[[#This Row],[LoanStatus]]="Watchlist",Loans[[#This Row],[CollateralRisk]]="Undersecured",Loans[[#This Row],[RiskCategory]]="High Risk"),"High",
TRUE,"Normal"
)</f>
        <v>High</v>
      </c>
    </row>
    <row r="1956" spans="1:20" x14ac:dyDescent="0.35">
      <c r="A1956" t="s">
        <v>2791</v>
      </c>
      <c r="B1956" t="s">
        <v>490</v>
      </c>
      <c r="C1956" t="s">
        <v>170</v>
      </c>
      <c r="D1956" t="s">
        <v>155</v>
      </c>
      <c r="E1956" s="34">
        <v>1000000</v>
      </c>
      <c r="F1956" s="29">
        <v>0.17330000000000001</v>
      </c>
      <c r="G1956" s="30">
        <v>45288</v>
      </c>
      <c r="H1956">
        <v>48</v>
      </c>
      <c r="I1956">
        <v>90</v>
      </c>
      <c r="J1956" s="34">
        <v>0</v>
      </c>
      <c r="K1956" t="s">
        <v>199</v>
      </c>
      <c r="L1956" s="34">
        <f>PMT(Loans[[#This Row],[InterestRate]]/12,Loans[[#This Row],[LoanTenureMonths]],-Loans[[#This Row],[LoanAmount]])</f>
        <v>29026.05548488937</v>
      </c>
      <c r="M1956" s="30">
        <f>EDATE(Loans[[#This Row],[LoanStartDate]],Loans[[#This Row],[LoanTenureMonths]])</f>
        <v>46749</v>
      </c>
      <c r="N1956" s="33">
        <f>IF(Loans[[#This Row],[LoanAmount]]=0,0,Loans[[#This Row],[CollateralValue]]/Loans[[#This Row],[LoanAmount]])</f>
        <v>0</v>
      </c>
      <c r="O1956" t="str">
        <f>IF(Loans[[#This Row],[CollateralCoverageRatio]]&lt;1,"Undersecured","Secured")</f>
        <v>Undersecured</v>
      </c>
      <c r="P1956" t="str">
        <f>_xlfn.XLOOKUP(Loans[[#This Row],[BranchCode]],BranchesTbl[BranchCode],BranchesTbl[BranchName])</f>
        <v>Thika</v>
      </c>
      <c r="Q1956">
        <f>_xlfn.XLOOKUP(Loans[[#This Row],[CustomerID]],CustomerTbl[CustomerID],CustomerTbl[RiskScore])</f>
        <v>510</v>
      </c>
      <c r="R1956" t="str">
        <f>IFERROR(INDEX(RiskTbl[Risk_Category],MATCH(Loans[[#This Row],[RiskScore]],RiskTbl[Score_Min],1)),"Unknown")</f>
        <v>High Risk</v>
      </c>
      <c r="S1956" t="str">
        <f>IF(OR(Loans[[#This Row],[LoanStatus]]="Default",Loans[[#This Row],[LoanStatus]]="Watchlist",Loans[[#This Row],[CollateralRisk]]="Undersecured",Loans[[#This Row],[RiskCategory]]="High Risk"),"High Risk Exposure","Normal")</f>
        <v>High Risk Exposure</v>
      </c>
      <c r="T1956" t="str" cm="1">
        <f t="array" ref="T1956">_xlfn.IFS(
Loans[[#This Row],[LoanStatus]]="Default","Critical",
OR(Loans[[#This Row],[LoanStatus]]="Watchlist",Loans[[#This Row],[CollateralRisk]]="Undersecured",Loans[[#This Row],[RiskCategory]]="High Risk"),"High",
TRUE,"Normal"
)</f>
        <v>High</v>
      </c>
    </row>
    <row r="1957" spans="1:20" x14ac:dyDescent="0.35">
      <c r="A1957" t="s">
        <v>2792</v>
      </c>
      <c r="B1957" t="s">
        <v>763</v>
      </c>
      <c r="C1957" t="s">
        <v>187</v>
      </c>
      <c r="D1957" t="s">
        <v>156</v>
      </c>
      <c r="E1957" s="34">
        <v>25000000</v>
      </c>
      <c r="F1957" s="29">
        <v>0.14580000000000001</v>
      </c>
      <c r="G1957" s="30">
        <v>45152</v>
      </c>
      <c r="H1957">
        <v>24</v>
      </c>
      <c r="I1957">
        <v>120</v>
      </c>
      <c r="J1957" s="34">
        <v>17000000</v>
      </c>
      <c r="K1957" t="s">
        <v>178</v>
      </c>
      <c r="L1957" s="34">
        <f>PMT(Loans[[#This Row],[InterestRate]]/12,Loans[[#This Row],[LoanTenureMonths]],-Loans[[#This Row],[LoanAmount]])</f>
        <v>1207183.4471849031</v>
      </c>
      <c r="M1957" s="30">
        <f>EDATE(Loans[[#This Row],[LoanStartDate]],Loans[[#This Row],[LoanTenureMonths]])</f>
        <v>45883</v>
      </c>
      <c r="N1957" s="33">
        <f>IF(Loans[[#This Row],[LoanAmount]]=0,0,Loans[[#This Row],[CollateralValue]]/Loans[[#This Row],[LoanAmount]])</f>
        <v>0.68</v>
      </c>
      <c r="O1957" t="str">
        <f>IF(Loans[[#This Row],[CollateralCoverageRatio]]&lt;1,"Undersecured","Secured")</f>
        <v>Undersecured</v>
      </c>
      <c r="P1957" t="str">
        <f>_xlfn.XLOOKUP(Loans[[#This Row],[BranchCode]],BranchesTbl[BranchCode],BranchesTbl[BranchName])</f>
        <v>Eldoret</v>
      </c>
      <c r="Q1957">
        <f>_xlfn.XLOOKUP(Loans[[#This Row],[CustomerID]],CustomerTbl[CustomerID],CustomerTbl[RiskScore])</f>
        <v>303</v>
      </c>
      <c r="R1957" t="str">
        <f>IFERROR(INDEX(RiskTbl[Risk_Category],MATCH(Loans[[#This Row],[RiskScore]],RiskTbl[Score_Min],1)),"Unknown")</f>
        <v>High Risk</v>
      </c>
      <c r="S1957" t="str">
        <f>IF(OR(Loans[[#This Row],[LoanStatus]]="Default",Loans[[#This Row],[LoanStatus]]="Watchlist",Loans[[#This Row],[CollateralRisk]]="Undersecured",Loans[[#This Row],[RiskCategory]]="High Risk"),"High Risk Exposure","Normal")</f>
        <v>High Risk Exposure</v>
      </c>
      <c r="T1957" t="str" cm="1">
        <f t="array" ref="T1957">_xlfn.IFS(
Loans[[#This Row],[LoanStatus]]="Default","Critical",
OR(Loans[[#This Row],[LoanStatus]]="Watchlist",Loans[[#This Row],[CollateralRisk]]="Undersecured",Loans[[#This Row],[RiskCategory]]="High Risk"),"High",
TRUE,"Normal"
)</f>
        <v>Critical</v>
      </c>
    </row>
    <row r="1958" spans="1:20" x14ac:dyDescent="0.35">
      <c r="A1958" t="s">
        <v>2793</v>
      </c>
      <c r="B1958" t="s">
        <v>834</v>
      </c>
      <c r="C1958" t="s">
        <v>270</v>
      </c>
      <c r="D1958" t="s">
        <v>156</v>
      </c>
      <c r="E1958" s="34">
        <v>3000000</v>
      </c>
      <c r="F1958" s="29">
        <v>0.20710000000000001</v>
      </c>
      <c r="G1958" s="30">
        <v>43967</v>
      </c>
      <c r="H1958">
        <v>24</v>
      </c>
      <c r="I1958">
        <v>0</v>
      </c>
      <c r="J1958" s="34">
        <v>2880000</v>
      </c>
      <c r="K1958" t="s">
        <v>171</v>
      </c>
      <c r="L1958" s="34">
        <f>PMT(Loans[[#This Row],[InterestRate]]/12,Loans[[#This Row],[LoanTenureMonths]],-Loans[[#This Row],[LoanAmount]])</f>
        <v>153729.96372393882</v>
      </c>
      <c r="M1958" s="30">
        <f>EDATE(Loans[[#This Row],[LoanStartDate]],Loans[[#This Row],[LoanTenureMonths]])</f>
        <v>44697</v>
      </c>
      <c r="N1958" s="33">
        <f>IF(Loans[[#This Row],[LoanAmount]]=0,0,Loans[[#This Row],[CollateralValue]]/Loans[[#This Row],[LoanAmount]])</f>
        <v>0.96</v>
      </c>
      <c r="O1958" t="str">
        <f>IF(Loans[[#This Row],[CollateralCoverageRatio]]&lt;1,"Undersecured","Secured")</f>
        <v>Undersecured</v>
      </c>
      <c r="P1958" t="str">
        <f>_xlfn.XLOOKUP(Loans[[#This Row],[BranchCode]],BranchesTbl[BranchCode],BranchesTbl[BranchName])</f>
        <v>Nakuru</v>
      </c>
      <c r="Q1958">
        <f>_xlfn.XLOOKUP(Loans[[#This Row],[CustomerID]],CustomerTbl[CustomerID],CustomerTbl[RiskScore])</f>
        <v>760</v>
      </c>
      <c r="R1958" t="str">
        <f>IFERROR(INDEX(RiskTbl[Risk_Category],MATCH(Loans[[#This Row],[RiskScore]],RiskTbl[Score_Min],1)),"Unknown")</f>
        <v>Very Low Risk</v>
      </c>
      <c r="S1958" t="str">
        <f>IF(OR(Loans[[#This Row],[LoanStatus]]="Default",Loans[[#This Row],[LoanStatus]]="Watchlist",Loans[[#This Row],[CollateralRisk]]="Undersecured",Loans[[#This Row],[RiskCategory]]="High Risk"),"High Risk Exposure","Normal")</f>
        <v>High Risk Exposure</v>
      </c>
      <c r="T1958" t="str" cm="1">
        <f t="array" ref="T1958">_xlfn.IFS(
Loans[[#This Row],[LoanStatus]]="Default","Critical",
OR(Loans[[#This Row],[LoanStatus]]="Watchlist",Loans[[#This Row],[CollateralRisk]]="Undersecured",Loans[[#This Row],[RiskCategory]]="High Risk"),"High",
TRUE,"Normal"
)</f>
        <v>High</v>
      </c>
    </row>
    <row r="1959" spans="1:20" x14ac:dyDescent="0.35">
      <c r="A1959" t="s">
        <v>2794</v>
      </c>
      <c r="B1959" t="s">
        <v>2108</v>
      </c>
      <c r="C1959" t="s">
        <v>170</v>
      </c>
      <c r="D1959" t="s">
        <v>156</v>
      </c>
      <c r="E1959" s="34">
        <v>6000000</v>
      </c>
      <c r="F1959" s="29">
        <v>0.23300000000000001</v>
      </c>
      <c r="G1959" s="30">
        <v>44119</v>
      </c>
      <c r="H1959">
        <v>12</v>
      </c>
      <c r="I1959">
        <v>45</v>
      </c>
      <c r="J1959" s="34">
        <v>6780000</v>
      </c>
      <c r="K1959" t="s">
        <v>199</v>
      </c>
      <c r="L1959" s="34">
        <f>PMT(Loans[[#This Row],[InterestRate]]/12,Loans[[#This Row],[LoanTenureMonths]],-Loans[[#This Row],[LoanAmount]])</f>
        <v>565326.98397603631</v>
      </c>
      <c r="M1959" s="30">
        <f>EDATE(Loans[[#This Row],[LoanStartDate]],Loans[[#This Row],[LoanTenureMonths]])</f>
        <v>44484</v>
      </c>
      <c r="N1959" s="33">
        <f>IF(Loans[[#This Row],[LoanAmount]]=0,0,Loans[[#This Row],[CollateralValue]]/Loans[[#This Row],[LoanAmount]])</f>
        <v>1.1299999999999999</v>
      </c>
      <c r="O1959" t="str">
        <f>IF(Loans[[#This Row],[CollateralCoverageRatio]]&lt;1,"Undersecured","Secured")</f>
        <v>Secured</v>
      </c>
      <c r="P1959" t="str">
        <f>_xlfn.XLOOKUP(Loans[[#This Row],[BranchCode]],BranchesTbl[BranchCode],BranchesTbl[BranchName])</f>
        <v>Thika</v>
      </c>
      <c r="Q1959">
        <f>_xlfn.XLOOKUP(Loans[[#This Row],[CustomerID]],CustomerTbl[CustomerID],CustomerTbl[RiskScore])</f>
        <v>760</v>
      </c>
      <c r="R1959" t="str">
        <f>IFERROR(INDEX(RiskTbl[Risk_Category],MATCH(Loans[[#This Row],[RiskScore]],RiskTbl[Score_Min],1)),"Unknown")</f>
        <v>Very Low Risk</v>
      </c>
      <c r="S1959" t="str">
        <f>IF(OR(Loans[[#This Row],[LoanStatus]]="Default",Loans[[#This Row],[LoanStatus]]="Watchlist",Loans[[#This Row],[CollateralRisk]]="Undersecured",Loans[[#This Row],[RiskCategory]]="High Risk"),"High Risk Exposure","Normal")</f>
        <v>High Risk Exposure</v>
      </c>
      <c r="T1959" t="str" cm="1">
        <f t="array" ref="T1959">_xlfn.IFS(
Loans[[#This Row],[LoanStatus]]="Default","Critical",
OR(Loans[[#This Row],[LoanStatus]]="Watchlist",Loans[[#This Row],[CollateralRisk]]="Undersecured",Loans[[#This Row],[RiskCategory]]="High Risk"),"High",
TRUE,"Normal"
)</f>
        <v>High</v>
      </c>
    </row>
    <row r="1960" spans="1:20" x14ac:dyDescent="0.35">
      <c r="A1960" t="s">
        <v>2795</v>
      </c>
      <c r="B1960" t="s">
        <v>694</v>
      </c>
      <c r="C1960" t="s">
        <v>174</v>
      </c>
      <c r="D1960" t="s">
        <v>157</v>
      </c>
      <c r="E1960" s="34">
        <v>25000000</v>
      </c>
      <c r="F1960" s="29">
        <v>9.7500000000000003E-2</v>
      </c>
      <c r="G1960" s="30">
        <v>44791</v>
      </c>
      <c r="H1960">
        <v>12</v>
      </c>
      <c r="I1960">
        <v>0</v>
      </c>
      <c r="J1960" s="34">
        <v>32750000</v>
      </c>
      <c r="K1960" t="s">
        <v>171</v>
      </c>
      <c r="L1960" s="34">
        <f>PMT(Loans[[#This Row],[InterestRate]]/12,Loans[[#This Row],[LoanTenureMonths]],-Loans[[#This Row],[LoanAmount]])</f>
        <v>2194991.4240177772</v>
      </c>
      <c r="M1960" s="30">
        <f>EDATE(Loans[[#This Row],[LoanStartDate]],Loans[[#This Row],[LoanTenureMonths]])</f>
        <v>45156</v>
      </c>
      <c r="N1960" s="33">
        <f>IF(Loans[[#This Row],[LoanAmount]]=0,0,Loans[[#This Row],[CollateralValue]]/Loans[[#This Row],[LoanAmount]])</f>
        <v>1.31</v>
      </c>
      <c r="O1960" t="str">
        <f>IF(Loans[[#This Row],[CollateralCoverageRatio]]&lt;1,"Undersecured","Secured")</f>
        <v>Secured</v>
      </c>
      <c r="P1960" t="str">
        <f>_xlfn.XLOOKUP(Loans[[#This Row],[BranchCode]],BranchesTbl[BranchCode],BranchesTbl[BranchName])</f>
        <v>Westlands</v>
      </c>
      <c r="Q1960">
        <f>_xlfn.XLOOKUP(Loans[[#This Row],[CustomerID]],CustomerTbl[CustomerID],CustomerTbl[RiskScore])</f>
        <v>828</v>
      </c>
      <c r="R1960" t="str">
        <f>IFERROR(INDEX(RiskTbl[Risk_Category],MATCH(Loans[[#This Row],[RiskScore]],RiskTbl[Score_Min],1)),"Unknown")</f>
        <v>Prime</v>
      </c>
      <c r="S1960" t="str">
        <f>IF(OR(Loans[[#This Row],[LoanStatus]]="Default",Loans[[#This Row],[LoanStatus]]="Watchlist",Loans[[#This Row],[CollateralRisk]]="Undersecured",Loans[[#This Row],[RiskCategory]]="High Risk"),"High Risk Exposure","Normal")</f>
        <v>Normal</v>
      </c>
      <c r="T1960" t="str" cm="1">
        <f t="array" ref="T1960">_xlfn.IFS(
Loans[[#This Row],[LoanStatus]]="Default","Critical",
OR(Loans[[#This Row],[LoanStatus]]="Watchlist",Loans[[#This Row],[CollateralRisk]]="Undersecured",Loans[[#This Row],[RiskCategory]]="High Risk"),"High",
TRUE,"Normal"
)</f>
        <v>Normal</v>
      </c>
    </row>
    <row r="1961" spans="1:20" x14ac:dyDescent="0.35">
      <c r="A1961" t="s">
        <v>2796</v>
      </c>
      <c r="B1961" t="s">
        <v>1988</v>
      </c>
      <c r="C1961" t="s">
        <v>190</v>
      </c>
      <c r="D1961" t="s">
        <v>157</v>
      </c>
      <c r="E1961" s="34">
        <v>6000000</v>
      </c>
      <c r="F1961" s="29">
        <v>0.1215</v>
      </c>
      <c r="G1961" s="30">
        <v>44872</v>
      </c>
      <c r="H1961">
        <v>12</v>
      </c>
      <c r="I1961">
        <v>10</v>
      </c>
      <c r="J1961" s="34">
        <v>6360000</v>
      </c>
      <c r="K1961" t="s">
        <v>171</v>
      </c>
      <c r="L1961" s="34">
        <f>PMT(Loans[[#This Row],[InterestRate]]/12,Loans[[#This Row],[LoanTenureMonths]],-Loans[[#This Row],[LoanAmount]])</f>
        <v>533513.85168808466</v>
      </c>
      <c r="M1961" s="30">
        <f>EDATE(Loans[[#This Row],[LoanStartDate]],Loans[[#This Row],[LoanTenureMonths]])</f>
        <v>45237</v>
      </c>
      <c r="N1961" s="33">
        <f>IF(Loans[[#This Row],[LoanAmount]]=0,0,Loans[[#This Row],[CollateralValue]]/Loans[[#This Row],[LoanAmount]])</f>
        <v>1.06</v>
      </c>
      <c r="O1961" t="str">
        <f>IF(Loans[[#This Row],[CollateralCoverageRatio]]&lt;1,"Undersecured","Secured")</f>
        <v>Secured</v>
      </c>
      <c r="P1961" t="str">
        <f>_xlfn.XLOOKUP(Loans[[#This Row],[BranchCode]],BranchesTbl[BranchCode],BranchesTbl[BranchName])</f>
        <v>Nyeri</v>
      </c>
      <c r="Q1961">
        <f>_xlfn.XLOOKUP(Loans[[#This Row],[CustomerID]],CustomerTbl[CustomerID],CustomerTbl[RiskScore])</f>
        <v>833</v>
      </c>
      <c r="R1961" t="str">
        <f>IFERROR(INDEX(RiskTbl[Risk_Category],MATCH(Loans[[#This Row],[RiskScore]],RiskTbl[Score_Min],1)),"Unknown")</f>
        <v>Prime</v>
      </c>
      <c r="S1961" t="str">
        <f>IF(OR(Loans[[#This Row],[LoanStatus]]="Default",Loans[[#This Row],[LoanStatus]]="Watchlist",Loans[[#This Row],[CollateralRisk]]="Undersecured",Loans[[#This Row],[RiskCategory]]="High Risk"),"High Risk Exposure","Normal")</f>
        <v>Normal</v>
      </c>
      <c r="T1961" t="str" cm="1">
        <f t="array" ref="T1961">_xlfn.IFS(
Loans[[#This Row],[LoanStatus]]="Default","Critical",
OR(Loans[[#This Row],[LoanStatus]]="Watchlist",Loans[[#This Row],[CollateralRisk]]="Undersecured",Loans[[#This Row],[RiskCategory]]="High Risk"),"High",
TRUE,"Normal"
)</f>
        <v>Normal</v>
      </c>
    </row>
    <row r="1962" spans="1:20" x14ac:dyDescent="0.35">
      <c r="A1962" t="s">
        <v>2797</v>
      </c>
      <c r="B1962" t="s">
        <v>1354</v>
      </c>
      <c r="C1962" t="s">
        <v>196</v>
      </c>
      <c r="D1962" t="s">
        <v>157</v>
      </c>
      <c r="E1962" s="34">
        <v>6000000</v>
      </c>
      <c r="F1962" s="29">
        <v>9.3700000000000006E-2</v>
      </c>
      <c r="G1962" s="30">
        <v>44328</v>
      </c>
      <c r="H1962">
        <v>36</v>
      </c>
      <c r="I1962">
        <v>0</v>
      </c>
      <c r="J1962" s="34">
        <v>4260000</v>
      </c>
      <c r="K1962" t="s">
        <v>171</v>
      </c>
      <c r="L1962" s="34">
        <f>PMT(Loans[[#This Row],[InterestRate]]/12,Loans[[#This Row],[LoanTenureMonths]],-Loans[[#This Row],[LoanAmount]])</f>
        <v>191833.29047836812</v>
      </c>
      <c r="M1962" s="30">
        <f>EDATE(Loans[[#This Row],[LoanStartDate]],Loans[[#This Row],[LoanTenureMonths]])</f>
        <v>45424</v>
      </c>
      <c r="N1962" s="33">
        <f>IF(Loans[[#This Row],[LoanAmount]]=0,0,Loans[[#This Row],[CollateralValue]]/Loans[[#This Row],[LoanAmount]])</f>
        <v>0.71</v>
      </c>
      <c r="O1962" t="str">
        <f>IF(Loans[[#This Row],[CollateralCoverageRatio]]&lt;1,"Undersecured","Secured")</f>
        <v>Undersecured</v>
      </c>
      <c r="P1962" t="str">
        <f>_xlfn.XLOOKUP(Loans[[#This Row],[BranchCode]],BranchesTbl[BranchCode],BranchesTbl[BranchName])</f>
        <v>Karen</v>
      </c>
      <c r="Q1962">
        <f>_xlfn.XLOOKUP(Loans[[#This Row],[CustomerID]],CustomerTbl[CustomerID],CustomerTbl[RiskScore])</f>
        <v>708</v>
      </c>
      <c r="R1962" t="str">
        <f>IFERROR(INDEX(RiskTbl[Risk_Category],MATCH(Loans[[#This Row],[RiskScore]],RiskTbl[Score_Min],1)),"Unknown")</f>
        <v>Low Risk</v>
      </c>
      <c r="S1962" t="str">
        <f>IF(OR(Loans[[#This Row],[LoanStatus]]="Default",Loans[[#This Row],[LoanStatus]]="Watchlist",Loans[[#This Row],[CollateralRisk]]="Undersecured",Loans[[#This Row],[RiskCategory]]="High Risk"),"High Risk Exposure","Normal")</f>
        <v>High Risk Exposure</v>
      </c>
      <c r="T1962" t="str" cm="1">
        <f t="array" ref="T1962">_xlfn.IFS(
Loans[[#This Row],[LoanStatus]]="Default","Critical",
OR(Loans[[#This Row],[LoanStatus]]="Watchlist",Loans[[#This Row],[CollateralRisk]]="Undersecured",Loans[[#This Row],[RiskCategory]]="High Risk"),"High",
TRUE,"Normal"
)</f>
        <v>High</v>
      </c>
    </row>
    <row r="1963" spans="1:20" x14ac:dyDescent="0.35">
      <c r="A1963" t="s">
        <v>2798</v>
      </c>
      <c r="B1963" t="s">
        <v>1819</v>
      </c>
      <c r="C1963" t="s">
        <v>184</v>
      </c>
      <c r="D1963" t="s">
        <v>158</v>
      </c>
      <c r="E1963" s="34">
        <v>6000000</v>
      </c>
      <c r="F1963" s="29">
        <v>0.14940000000000001</v>
      </c>
      <c r="G1963" s="30">
        <v>44945</v>
      </c>
      <c r="H1963">
        <v>24</v>
      </c>
      <c r="I1963">
        <v>0</v>
      </c>
      <c r="J1963" s="34">
        <v>5880000</v>
      </c>
      <c r="K1963" t="s">
        <v>171</v>
      </c>
      <c r="L1963" s="34">
        <f>PMT(Loans[[#This Row],[InterestRate]]/12,Loans[[#This Row],[LoanTenureMonths]],-Loans[[#This Row],[LoanAmount]])</f>
        <v>290748.87612342695</v>
      </c>
      <c r="M1963" s="30">
        <f>EDATE(Loans[[#This Row],[LoanStartDate]],Loans[[#This Row],[LoanTenureMonths]])</f>
        <v>45676</v>
      </c>
      <c r="N1963" s="33">
        <f>IF(Loans[[#This Row],[LoanAmount]]=0,0,Loans[[#This Row],[CollateralValue]]/Loans[[#This Row],[LoanAmount]])</f>
        <v>0.98</v>
      </c>
      <c r="O1963" t="str">
        <f>IF(Loans[[#This Row],[CollateralCoverageRatio]]&lt;1,"Undersecured","Secured")</f>
        <v>Undersecured</v>
      </c>
      <c r="P1963" t="str">
        <f>_xlfn.XLOOKUP(Loans[[#This Row],[BranchCode]],BranchesTbl[BranchCode],BranchesTbl[BranchName])</f>
        <v>Kisumu</v>
      </c>
      <c r="Q1963">
        <f>_xlfn.XLOOKUP(Loans[[#This Row],[CustomerID]],CustomerTbl[CustomerID],CustomerTbl[RiskScore])</f>
        <v>447</v>
      </c>
      <c r="R1963" t="str">
        <f>IFERROR(INDEX(RiskTbl[Risk_Category],MATCH(Loans[[#This Row],[RiskScore]],RiskTbl[Score_Min],1)),"Unknown")</f>
        <v>High Risk</v>
      </c>
      <c r="S1963" t="str">
        <f>IF(OR(Loans[[#This Row],[LoanStatus]]="Default",Loans[[#This Row],[LoanStatus]]="Watchlist",Loans[[#This Row],[CollateralRisk]]="Undersecured",Loans[[#This Row],[RiskCategory]]="High Risk"),"High Risk Exposure","Normal")</f>
        <v>High Risk Exposure</v>
      </c>
      <c r="T1963" t="str" cm="1">
        <f t="array" ref="T1963">_xlfn.IFS(
Loans[[#This Row],[LoanStatus]]="Default","Critical",
OR(Loans[[#This Row],[LoanStatus]]="Watchlist",Loans[[#This Row],[CollateralRisk]]="Undersecured",Loans[[#This Row],[RiskCategory]]="High Risk"),"High",
TRUE,"Normal"
)</f>
        <v>High</v>
      </c>
    </row>
    <row r="1964" spans="1:20" x14ac:dyDescent="0.35">
      <c r="A1964" t="s">
        <v>2799</v>
      </c>
      <c r="B1964" t="s">
        <v>2091</v>
      </c>
      <c r="C1964" t="s">
        <v>187</v>
      </c>
      <c r="D1964" t="s">
        <v>156</v>
      </c>
      <c r="E1964" s="34">
        <v>1000000</v>
      </c>
      <c r="F1964" s="29">
        <v>0.19989999999999999</v>
      </c>
      <c r="G1964" s="30">
        <v>44903</v>
      </c>
      <c r="H1964">
        <v>12</v>
      </c>
      <c r="I1964">
        <v>45</v>
      </c>
      <c r="J1964" s="34">
        <v>670000</v>
      </c>
      <c r="K1964" t="s">
        <v>199</v>
      </c>
      <c r="L1964" s="34">
        <f>PMT(Loans[[#This Row],[InterestRate]]/12,Loans[[#This Row],[LoanTenureMonths]],-Loans[[#This Row],[LoanAmount]])</f>
        <v>92629.719982787923</v>
      </c>
      <c r="M1964" s="30">
        <f>EDATE(Loans[[#This Row],[LoanStartDate]],Loans[[#This Row],[LoanTenureMonths]])</f>
        <v>45268</v>
      </c>
      <c r="N1964" s="33">
        <f>IF(Loans[[#This Row],[LoanAmount]]=0,0,Loans[[#This Row],[CollateralValue]]/Loans[[#This Row],[LoanAmount]])</f>
        <v>0.67</v>
      </c>
      <c r="O1964" t="str">
        <f>IF(Loans[[#This Row],[CollateralCoverageRatio]]&lt;1,"Undersecured","Secured")</f>
        <v>Undersecured</v>
      </c>
      <c r="P1964" t="str">
        <f>_xlfn.XLOOKUP(Loans[[#This Row],[BranchCode]],BranchesTbl[BranchCode],BranchesTbl[BranchName])</f>
        <v>Eldoret</v>
      </c>
      <c r="Q1964">
        <f>_xlfn.XLOOKUP(Loans[[#This Row],[CustomerID]],CustomerTbl[CustomerID],CustomerTbl[RiskScore])</f>
        <v>554</v>
      </c>
      <c r="R1964" t="str">
        <f>IFERROR(INDEX(RiskTbl[Risk_Category],MATCH(Loans[[#This Row],[RiskScore]],RiskTbl[Score_Min],1)),"Unknown")</f>
        <v>High Risk</v>
      </c>
      <c r="S1964" t="str">
        <f>IF(OR(Loans[[#This Row],[LoanStatus]]="Default",Loans[[#This Row],[LoanStatus]]="Watchlist",Loans[[#This Row],[CollateralRisk]]="Undersecured",Loans[[#This Row],[RiskCategory]]="High Risk"),"High Risk Exposure","Normal")</f>
        <v>High Risk Exposure</v>
      </c>
      <c r="T1964" t="str" cm="1">
        <f t="array" ref="T1964">_xlfn.IFS(
Loans[[#This Row],[LoanStatus]]="Default","Critical",
OR(Loans[[#This Row],[LoanStatus]]="Watchlist",Loans[[#This Row],[CollateralRisk]]="Undersecured",Loans[[#This Row],[RiskCategory]]="High Risk"),"High",
TRUE,"Normal"
)</f>
        <v>High</v>
      </c>
    </row>
    <row r="1965" spans="1:20" x14ac:dyDescent="0.35">
      <c r="A1965" t="s">
        <v>2800</v>
      </c>
      <c r="B1965" t="s">
        <v>2801</v>
      </c>
      <c r="C1965" t="s">
        <v>239</v>
      </c>
      <c r="D1965" t="s">
        <v>157</v>
      </c>
      <c r="E1965" s="34">
        <v>6000000</v>
      </c>
      <c r="F1965" s="29">
        <v>9.5600000000000004E-2</v>
      </c>
      <c r="G1965" s="30">
        <v>43911</v>
      </c>
      <c r="H1965">
        <v>36</v>
      </c>
      <c r="I1965">
        <v>10</v>
      </c>
      <c r="J1965" s="34">
        <v>5160000</v>
      </c>
      <c r="K1965" t="s">
        <v>171</v>
      </c>
      <c r="L1965" s="34">
        <f>PMT(Loans[[#This Row],[InterestRate]]/12,Loans[[#This Row],[LoanTenureMonths]],-Loans[[#This Row],[LoanAmount]])</f>
        <v>192366.02633374801</v>
      </c>
      <c r="M1965" s="30">
        <f>EDATE(Loans[[#This Row],[LoanStartDate]],Loans[[#This Row],[LoanTenureMonths]])</f>
        <v>45006</v>
      </c>
      <c r="N1965" s="33">
        <f>IF(Loans[[#This Row],[LoanAmount]]=0,0,Loans[[#This Row],[CollateralValue]]/Loans[[#This Row],[LoanAmount]])</f>
        <v>0.86</v>
      </c>
      <c r="O1965" t="str">
        <f>IF(Loans[[#This Row],[CollateralCoverageRatio]]&lt;1,"Undersecured","Secured")</f>
        <v>Undersecured</v>
      </c>
      <c r="P1965" t="str">
        <f>_xlfn.XLOOKUP(Loans[[#This Row],[BranchCode]],BranchesTbl[BranchCode],BranchesTbl[BranchName])</f>
        <v>Machakos</v>
      </c>
      <c r="Q1965">
        <f>_xlfn.XLOOKUP(Loans[[#This Row],[CustomerID]],CustomerTbl[CustomerID],CustomerTbl[RiskScore])</f>
        <v>634</v>
      </c>
      <c r="R1965" t="str">
        <f>IFERROR(INDEX(RiskTbl[Risk_Category],MATCH(Loans[[#This Row],[RiskScore]],RiskTbl[Score_Min],1)),"Unknown")</f>
        <v>Medium Risk</v>
      </c>
      <c r="S1965" t="str">
        <f>IF(OR(Loans[[#This Row],[LoanStatus]]="Default",Loans[[#This Row],[LoanStatus]]="Watchlist",Loans[[#This Row],[CollateralRisk]]="Undersecured",Loans[[#This Row],[RiskCategory]]="High Risk"),"High Risk Exposure","Normal")</f>
        <v>High Risk Exposure</v>
      </c>
      <c r="T1965" t="str" cm="1">
        <f t="array" ref="T1965">_xlfn.IFS(
Loans[[#This Row],[LoanStatus]]="Default","Critical",
OR(Loans[[#This Row],[LoanStatus]]="Watchlist",Loans[[#This Row],[CollateralRisk]]="Undersecured",Loans[[#This Row],[RiskCategory]]="High Risk"),"High",
TRUE,"Normal"
)</f>
        <v>High</v>
      </c>
    </row>
    <row r="1966" spans="1:20" x14ac:dyDescent="0.35">
      <c r="A1966" t="s">
        <v>2802</v>
      </c>
      <c r="B1966" t="s">
        <v>1873</v>
      </c>
      <c r="C1966" t="s">
        <v>184</v>
      </c>
      <c r="D1966" t="s">
        <v>156</v>
      </c>
      <c r="E1966" s="34">
        <v>1000000</v>
      </c>
      <c r="F1966" s="29">
        <v>0.2162</v>
      </c>
      <c r="G1966" s="30">
        <v>44159</v>
      </c>
      <c r="H1966">
        <v>24</v>
      </c>
      <c r="I1966">
        <v>90</v>
      </c>
      <c r="J1966" s="34">
        <v>1310000</v>
      </c>
      <c r="K1966" t="s">
        <v>199</v>
      </c>
      <c r="L1966" s="34">
        <f>PMT(Loans[[#This Row],[InterestRate]]/12,Loans[[#This Row],[LoanTenureMonths]],-Loans[[#This Row],[LoanAmount]])</f>
        <v>51690.690927807227</v>
      </c>
      <c r="M1966" s="30">
        <f>EDATE(Loans[[#This Row],[LoanStartDate]],Loans[[#This Row],[LoanTenureMonths]])</f>
        <v>44889</v>
      </c>
      <c r="N1966" s="33">
        <f>IF(Loans[[#This Row],[LoanAmount]]=0,0,Loans[[#This Row],[CollateralValue]]/Loans[[#This Row],[LoanAmount]])</f>
        <v>1.31</v>
      </c>
      <c r="O1966" t="str">
        <f>IF(Loans[[#This Row],[CollateralCoverageRatio]]&lt;1,"Undersecured","Secured")</f>
        <v>Secured</v>
      </c>
      <c r="P1966" t="str">
        <f>_xlfn.XLOOKUP(Loans[[#This Row],[BranchCode]],BranchesTbl[BranchCode],BranchesTbl[BranchName])</f>
        <v>Kisumu</v>
      </c>
      <c r="Q1966">
        <f>_xlfn.XLOOKUP(Loans[[#This Row],[CustomerID]],CustomerTbl[CustomerID],CustomerTbl[RiskScore])</f>
        <v>389</v>
      </c>
      <c r="R1966" t="str">
        <f>IFERROR(INDEX(RiskTbl[Risk_Category],MATCH(Loans[[#This Row],[RiskScore]],RiskTbl[Score_Min],1)),"Unknown")</f>
        <v>High Risk</v>
      </c>
      <c r="S1966" t="str">
        <f>IF(OR(Loans[[#This Row],[LoanStatus]]="Default",Loans[[#This Row],[LoanStatus]]="Watchlist",Loans[[#This Row],[CollateralRisk]]="Undersecured",Loans[[#This Row],[RiskCategory]]="High Risk"),"High Risk Exposure","Normal")</f>
        <v>High Risk Exposure</v>
      </c>
      <c r="T1966" t="str" cm="1">
        <f t="array" ref="T1966">_xlfn.IFS(
Loans[[#This Row],[LoanStatus]]="Default","Critical",
OR(Loans[[#This Row],[LoanStatus]]="Watchlist",Loans[[#This Row],[CollateralRisk]]="Undersecured",Loans[[#This Row],[RiskCategory]]="High Risk"),"High",
TRUE,"Normal"
)</f>
        <v>High</v>
      </c>
    </row>
    <row r="1967" spans="1:20" x14ac:dyDescent="0.35">
      <c r="A1967" t="s">
        <v>2803</v>
      </c>
      <c r="B1967" t="s">
        <v>1815</v>
      </c>
      <c r="C1967" t="s">
        <v>187</v>
      </c>
      <c r="D1967" t="s">
        <v>157</v>
      </c>
      <c r="E1967" s="34">
        <v>80000000</v>
      </c>
      <c r="F1967" s="29">
        <v>9.1600000000000001E-2</v>
      </c>
      <c r="G1967" s="30">
        <v>44501</v>
      </c>
      <c r="H1967">
        <v>48</v>
      </c>
      <c r="I1967">
        <v>0</v>
      </c>
      <c r="J1967" s="34">
        <v>45600000</v>
      </c>
      <c r="K1967" t="s">
        <v>171</v>
      </c>
      <c r="L1967" s="34">
        <f>PMT(Loans[[#This Row],[InterestRate]]/12,Loans[[#This Row],[LoanTenureMonths]],-Loans[[#This Row],[LoanAmount]])</f>
        <v>1996886.8181664424</v>
      </c>
      <c r="M1967" s="30">
        <f>EDATE(Loans[[#This Row],[LoanStartDate]],Loans[[#This Row],[LoanTenureMonths]])</f>
        <v>45962</v>
      </c>
      <c r="N1967" s="33">
        <f>IF(Loans[[#This Row],[LoanAmount]]=0,0,Loans[[#This Row],[CollateralValue]]/Loans[[#This Row],[LoanAmount]])</f>
        <v>0.56999999999999995</v>
      </c>
      <c r="O1967" t="str">
        <f>IF(Loans[[#This Row],[CollateralCoverageRatio]]&lt;1,"Undersecured","Secured")</f>
        <v>Undersecured</v>
      </c>
      <c r="P1967" t="str">
        <f>_xlfn.XLOOKUP(Loans[[#This Row],[BranchCode]],BranchesTbl[BranchCode],BranchesTbl[BranchName])</f>
        <v>Eldoret</v>
      </c>
      <c r="Q1967">
        <f>_xlfn.XLOOKUP(Loans[[#This Row],[CustomerID]],CustomerTbl[CustomerID],CustomerTbl[RiskScore])</f>
        <v>766</v>
      </c>
      <c r="R1967" t="str">
        <f>IFERROR(INDEX(RiskTbl[Risk_Category],MATCH(Loans[[#This Row],[RiskScore]],RiskTbl[Score_Min],1)),"Unknown")</f>
        <v>Very Low Risk</v>
      </c>
      <c r="S1967" t="str">
        <f>IF(OR(Loans[[#This Row],[LoanStatus]]="Default",Loans[[#This Row],[LoanStatus]]="Watchlist",Loans[[#This Row],[CollateralRisk]]="Undersecured",Loans[[#This Row],[RiskCategory]]="High Risk"),"High Risk Exposure","Normal")</f>
        <v>High Risk Exposure</v>
      </c>
      <c r="T1967" t="str" cm="1">
        <f t="array" ref="T1967">_xlfn.IFS(
Loans[[#This Row],[LoanStatus]]="Default","Critical",
OR(Loans[[#This Row],[LoanStatus]]="Watchlist",Loans[[#This Row],[CollateralRisk]]="Undersecured",Loans[[#This Row],[RiskCategory]]="High Risk"),"High",
TRUE,"Normal"
)</f>
        <v>High</v>
      </c>
    </row>
    <row r="1968" spans="1:20" x14ac:dyDescent="0.35">
      <c r="A1968" t="s">
        <v>2804</v>
      </c>
      <c r="B1968" t="s">
        <v>1415</v>
      </c>
      <c r="C1968" t="s">
        <v>187</v>
      </c>
      <c r="D1968" t="s">
        <v>156</v>
      </c>
      <c r="E1968" s="34">
        <v>3000000</v>
      </c>
      <c r="F1968" s="29">
        <v>0.156</v>
      </c>
      <c r="G1968" s="30">
        <v>43900</v>
      </c>
      <c r="H1968">
        <v>36</v>
      </c>
      <c r="I1968">
        <v>0</v>
      </c>
      <c r="J1968" s="34">
        <v>2640000</v>
      </c>
      <c r="K1968" t="s">
        <v>171</v>
      </c>
      <c r="L1968" s="34">
        <f>PMT(Loans[[#This Row],[InterestRate]]/12,Loans[[#This Row],[LoanTenureMonths]],-Loans[[#This Row],[LoanAmount]])</f>
        <v>104879.61458498264</v>
      </c>
      <c r="M1968" s="30">
        <f>EDATE(Loans[[#This Row],[LoanStartDate]],Loans[[#This Row],[LoanTenureMonths]])</f>
        <v>44995</v>
      </c>
      <c r="N1968" s="33">
        <f>IF(Loans[[#This Row],[LoanAmount]]=0,0,Loans[[#This Row],[CollateralValue]]/Loans[[#This Row],[LoanAmount]])</f>
        <v>0.88</v>
      </c>
      <c r="O1968" t="str">
        <f>IF(Loans[[#This Row],[CollateralCoverageRatio]]&lt;1,"Undersecured","Secured")</f>
        <v>Undersecured</v>
      </c>
      <c r="P1968" t="str">
        <f>_xlfn.XLOOKUP(Loans[[#This Row],[BranchCode]],BranchesTbl[BranchCode],BranchesTbl[BranchName])</f>
        <v>Eldoret</v>
      </c>
      <c r="Q1968">
        <f>_xlfn.XLOOKUP(Loans[[#This Row],[CustomerID]],CustomerTbl[CustomerID],CustomerTbl[RiskScore])</f>
        <v>309</v>
      </c>
      <c r="R1968" t="str">
        <f>IFERROR(INDEX(RiskTbl[Risk_Category],MATCH(Loans[[#This Row],[RiskScore]],RiskTbl[Score_Min],1)),"Unknown")</f>
        <v>High Risk</v>
      </c>
      <c r="S1968" t="str">
        <f>IF(OR(Loans[[#This Row],[LoanStatus]]="Default",Loans[[#This Row],[LoanStatus]]="Watchlist",Loans[[#This Row],[CollateralRisk]]="Undersecured",Loans[[#This Row],[RiskCategory]]="High Risk"),"High Risk Exposure","Normal")</f>
        <v>High Risk Exposure</v>
      </c>
      <c r="T1968" t="str" cm="1">
        <f t="array" ref="T1968">_xlfn.IFS(
Loans[[#This Row],[LoanStatus]]="Default","Critical",
OR(Loans[[#This Row],[LoanStatus]]="Watchlist",Loans[[#This Row],[CollateralRisk]]="Undersecured",Loans[[#This Row],[RiskCategory]]="High Risk"),"High",
TRUE,"Normal"
)</f>
        <v>High</v>
      </c>
    </row>
    <row r="1969" spans="1:20" x14ac:dyDescent="0.35">
      <c r="A1969" t="s">
        <v>2805</v>
      </c>
      <c r="B1969" t="s">
        <v>229</v>
      </c>
      <c r="C1969" t="s">
        <v>177</v>
      </c>
      <c r="D1969" t="s">
        <v>156</v>
      </c>
      <c r="E1969" s="34">
        <v>1000000</v>
      </c>
      <c r="F1969" s="29">
        <v>0.1862</v>
      </c>
      <c r="G1969" s="30">
        <v>44533</v>
      </c>
      <c r="H1969">
        <v>48</v>
      </c>
      <c r="I1969">
        <v>0</v>
      </c>
      <c r="J1969" s="34">
        <v>890000</v>
      </c>
      <c r="K1969" t="s">
        <v>171</v>
      </c>
      <c r="L1969" s="34">
        <f>PMT(Loans[[#This Row],[InterestRate]]/12,Loans[[#This Row],[LoanTenureMonths]],-Loans[[#This Row],[LoanAmount]])</f>
        <v>29699.967390456492</v>
      </c>
      <c r="M1969" s="30">
        <f>EDATE(Loans[[#This Row],[LoanStartDate]],Loans[[#This Row],[LoanTenureMonths]])</f>
        <v>45994</v>
      </c>
      <c r="N1969" s="33">
        <f>IF(Loans[[#This Row],[LoanAmount]]=0,0,Loans[[#This Row],[CollateralValue]]/Loans[[#This Row],[LoanAmount]])</f>
        <v>0.89</v>
      </c>
      <c r="O1969" t="str">
        <f>IF(Loans[[#This Row],[CollateralCoverageRatio]]&lt;1,"Undersecured","Secured")</f>
        <v>Undersecured</v>
      </c>
      <c r="P1969" t="str">
        <f>_xlfn.XLOOKUP(Loans[[#This Row],[BranchCode]],BranchesTbl[BranchCode],BranchesTbl[BranchName])</f>
        <v>Naivasha</v>
      </c>
      <c r="Q1969">
        <f>_xlfn.XLOOKUP(Loans[[#This Row],[CustomerID]],CustomerTbl[CustomerID],CustomerTbl[RiskScore])</f>
        <v>808</v>
      </c>
      <c r="R1969" t="str">
        <f>IFERROR(INDEX(RiskTbl[Risk_Category],MATCH(Loans[[#This Row],[RiskScore]],RiskTbl[Score_Min],1)),"Unknown")</f>
        <v>Prime</v>
      </c>
      <c r="S1969" t="str">
        <f>IF(OR(Loans[[#This Row],[LoanStatus]]="Default",Loans[[#This Row],[LoanStatus]]="Watchlist",Loans[[#This Row],[CollateralRisk]]="Undersecured",Loans[[#This Row],[RiskCategory]]="High Risk"),"High Risk Exposure","Normal")</f>
        <v>High Risk Exposure</v>
      </c>
      <c r="T1969" t="str" cm="1">
        <f t="array" ref="T1969">_xlfn.IFS(
Loans[[#This Row],[LoanStatus]]="Default","Critical",
OR(Loans[[#This Row],[LoanStatus]]="Watchlist",Loans[[#This Row],[CollateralRisk]]="Undersecured",Loans[[#This Row],[RiskCategory]]="High Risk"),"High",
TRUE,"Normal"
)</f>
        <v>High</v>
      </c>
    </row>
    <row r="1970" spans="1:20" x14ac:dyDescent="0.35">
      <c r="A1970" t="s">
        <v>2806</v>
      </c>
      <c r="B1970" t="s">
        <v>503</v>
      </c>
      <c r="C1970" t="s">
        <v>170</v>
      </c>
      <c r="D1970" t="s">
        <v>157</v>
      </c>
      <c r="E1970" s="34">
        <v>6000000</v>
      </c>
      <c r="F1970" s="29">
        <v>0.10440000000000001</v>
      </c>
      <c r="G1970" s="30">
        <v>44262</v>
      </c>
      <c r="H1970">
        <v>60</v>
      </c>
      <c r="I1970">
        <v>5</v>
      </c>
      <c r="J1970" s="34">
        <v>6000000</v>
      </c>
      <c r="K1970" t="s">
        <v>171</v>
      </c>
      <c r="L1970" s="34">
        <f>PMT(Loans[[#This Row],[InterestRate]]/12,Loans[[#This Row],[LoanTenureMonths]],-Loans[[#This Row],[LoanAmount]])</f>
        <v>128785.13744454829</v>
      </c>
      <c r="M1970" s="30">
        <f>EDATE(Loans[[#This Row],[LoanStartDate]],Loans[[#This Row],[LoanTenureMonths]])</f>
        <v>46088</v>
      </c>
      <c r="N1970" s="33">
        <f>IF(Loans[[#This Row],[LoanAmount]]=0,0,Loans[[#This Row],[CollateralValue]]/Loans[[#This Row],[LoanAmount]])</f>
        <v>1</v>
      </c>
      <c r="O1970" t="str">
        <f>IF(Loans[[#This Row],[CollateralCoverageRatio]]&lt;1,"Undersecured","Secured")</f>
        <v>Secured</v>
      </c>
      <c r="P1970" t="str">
        <f>_xlfn.XLOOKUP(Loans[[#This Row],[BranchCode]],BranchesTbl[BranchCode],BranchesTbl[BranchName])</f>
        <v>Thika</v>
      </c>
      <c r="Q1970">
        <f>_xlfn.XLOOKUP(Loans[[#This Row],[CustomerID]],CustomerTbl[CustomerID],CustomerTbl[RiskScore])</f>
        <v>565</v>
      </c>
      <c r="R1970" t="str">
        <f>IFERROR(INDEX(RiskTbl[Risk_Category],MATCH(Loans[[#This Row],[RiskScore]],RiskTbl[Score_Min],1)),"Unknown")</f>
        <v>High Risk</v>
      </c>
      <c r="S1970" t="str">
        <f>IF(OR(Loans[[#This Row],[LoanStatus]]="Default",Loans[[#This Row],[LoanStatus]]="Watchlist",Loans[[#This Row],[CollateralRisk]]="Undersecured",Loans[[#This Row],[RiskCategory]]="High Risk"),"High Risk Exposure","Normal")</f>
        <v>High Risk Exposure</v>
      </c>
      <c r="T1970" t="str" cm="1">
        <f t="array" ref="T1970">_xlfn.IFS(
Loans[[#This Row],[LoanStatus]]="Default","Critical",
OR(Loans[[#This Row],[LoanStatus]]="Watchlist",Loans[[#This Row],[CollateralRisk]]="Undersecured",Loans[[#This Row],[RiskCategory]]="High Risk"),"High",
TRUE,"Normal"
)</f>
        <v>High</v>
      </c>
    </row>
    <row r="1971" spans="1:20" x14ac:dyDescent="0.35">
      <c r="A1971" t="s">
        <v>2807</v>
      </c>
      <c r="B1971" t="s">
        <v>829</v>
      </c>
      <c r="C1971" t="s">
        <v>184</v>
      </c>
      <c r="D1971" t="s">
        <v>156</v>
      </c>
      <c r="E1971" s="34">
        <v>1000000</v>
      </c>
      <c r="F1971" s="29">
        <v>0.20499999999999999</v>
      </c>
      <c r="G1971" s="30">
        <v>43993</v>
      </c>
      <c r="H1971">
        <v>12</v>
      </c>
      <c r="I1971">
        <v>0</v>
      </c>
      <c r="J1971" s="34">
        <v>530000</v>
      </c>
      <c r="K1971" t="s">
        <v>171</v>
      </c>
      <c r="L1971" s="34">
        <f>PMT(Loans[[#This Row],[InterestRate]]/12,Loans[[#This Row],[LoanTenureMonths]],-Loans[[#This Row],[LoanAmount]])</f>
        <v>92873.972441365477</v>
      </c>
      <c r="M1971" s="30">
        <f>EDATE(Loans[[#This Row],[LoanStartDate]],Loans[[#This Row],[LoanTenureMonths]])</f>
        <v>44358</v>
      </c>
      <c r="N1971" s="33">
        <f>IF(Loans[[#This Row],[LoanAmount]]=0,0,Loans[[#This Row],[CollateralValue]]/Loans[[#This Row],[LoanAmount]])</f>
        <v>0.53</v>
      </c>
      <c r="O1971" t="str">
        <f>IF(Loans[[#This Row],[CollateralCoverageRatio]]&lt;1,"Undersecured","Secured")</f>
        <v>Undersecured</v>
      </c>
      <c r="P1971" t="str">
        <f>_xlfn.XLOOKUP(Loans[[#This Row],[BranchCode]],BranchesTbl[BranchCode],BranchesTbl[BranchName])</f>
        <v>Kisumu</v>
      </c>
      <c r="Q1971">
        <f>_xlfn.XLOOKUP(Loans[[#This Row],[CustomerID]],CustomerTbl[CustomerID],CustomerTbl[RiskScore])</f>
        <v>580</v>
      </c>
      <c r="R1971" t="str">
        <f>IFERROR(INDEX(RiskTbl[Risk_Category],MATCH(Loans[[#This Row],[RiskScore]],RiskTbl[Score_Min],1)),"Unknown")</f>
        <v>Medium Risk</v>
      </c>
      <c r="S1971" t="str">
        <f>IF(OR(Loans[[#This Row],[LoanStatus]]="Default",Loans[[#This Row],[LoanStatus]]="Watchlist",Loans[[#This Row],[CollateralRisk]]="Undersecured",Loans[[#This Row],[RiskCategory]]="High Risk"),"High Risk Exposure","Normal")</f>
        <v>High Risk Exposure</v>
      </c>
      <c r="T1971" t="str" cm="1">
        <f t="array" ref="T1971">_xlfn.IFS(
Loans[[#This Row],[LoanStatus]]="Default","Critical",
OR(Loans[[#This Row],[LoanStatus]]="Watchlist",Loans[[#This Row],[CollateralRisk]]="Undersecured",Loans[[#This Row],[RiskCategory]]="High Risk"),"High",
TRUE,"Normal"
)</f>
        <v>High</v>
      </c>
    </row>
    <row r="1972" spans="1:20" x14ac:dyDescent="0.35">
      <c r="A1972" t="s">
        <v>2808</v>
      </c>
      <c r="B1972" t="s">
        <v>186</v>
      </c>
      <c r="C1972" t="s">
        <v>219</v>
      </c>
      <c r="D1972" t="s">
        <v>155</v>
      </c>
      <c r="E1972" s="34">
        <v>250000</v>
      </c>
      <c r="F1972" s="29">
        <v>0.20669999999999999</v>
      </c>
      <c r="G1972" s="30">
        <v>44826</v>
      </c>
      <c r="H1972">
        <v>24</v>
      </c>
      <c r="I1972">
        <v>10</v>
      </c>
      <c r="J1972" s="34">
        <v>0</v>
      </c>
      <c r="K1972" t="s">
        <v>171</v>
      </c>
      <c r="L1972" s="34">
        <f>PMT(Loans[[#This Row],[InterestRate]]/12,Loans[[#This Row],[LoanTenureMonths]],-Loans[[#This Row],[LoanAmount]])</f>
        <v>12805.926772997464</v>
      </c>
      <c r="M1972" s="30">
        <f>EDATE(Loans[[#This Row],[LoanStartDate]],Loans[[#This Row],[LoanTenureMonths]])</f>
        <v>45557</v>
      </c>
      <c r="N1972" s="33">
        <f>IF(Loans[[#This Row],[LoanAmount]]=0,0,Loans[[#This Row],[CollateralValue]]/Loans[[#This Row],[LoanAmount]])</f>
        <v>0</v>
      </c>
      <c r="O1972" t="str">
        <f>IF(Loans[[#This Row],[CollateralCoverageRatio]]&lt;1,"Undersecured","Secured")</f>
        <v>Undersecured</v>
      </c>
      <c r="P1972" t="str">
        <f>_xlfn.XLOOKUP(Loans[[#This Row],[BranchCode]],BranchesTbl[BranchCode],BranchesTbl[BranchName])</f>
        <v>Meru</v>
      </c>
      <c r="Q1972">
        <f>_xlfn.XLOOKUP(Loans[[#This Row],[CustomerID]],CustomerTbl[CustomerID],CustomerTbl[RiskScore])</f>
        <v>587</v>
      </c>
      <c r="R1972" t="str">
        <f>IFERROR(INDEX(RiskTbl[Risk_Category],MATCH(Loans[[#This Row],[RiskScore]],RiskTbl[Score_Min],1)),"Unknown")</f>
        <v>Medium Risk</v>
      </c>
      <c r="S1972" t="str">
        <f>IF(OR(Loans[[#This Row],[LoanStatus]]="Default",Loans[[#This Row],[LoanStatus]]="Watchlist",Loans[[#This Row],[CollateralRisk]]="Undersecured",Loans[[#This Row],[RiskCategory]]="High Risk"),"High Risk Exposure","Normal")</f>
        <v>High Risk Exposure</v>
      </c>
      <c r="T1972" t="str" cm="1">
        <f t="array" ref="T1972">_xlfn.IFS(
Loans[[#This Row],[LoanStatus]]="Default","Critical",
OR(Loans[[#This Row],[LoanStatus]]="Watchlist",Loans[[#This Row],[CollateralRisk]]="Undersecured",Loans[[#This Row],[RiskCategory]]="High Risk"),"High",
TRUE,"Normal"
)</f>
        <v>High</v>
      </c>
    </row>
    <row r="1973" spans="1:20" x14ac:dyDescent="0.35">
      <c r="A1973" t="s">
        <v>2809</v>
      </c>
      <c r="B1973" t="s">
        <v>379</v>
      </c>
      <c r="C1973" t="s">
        <v>174</v>
      </c>
      <c r="D1973" t="s">
        <v>158</v>
      </c>
      <c r="E1973" s="34">
        <v>1000000</v>
      </c>
      <c r="F1973" s="29">
        <v>0.1547</v>
      </c>
      <c r="G1973" s="30">
        <v>45916</v>
      </c>
      <c r="H1973">
        <v>36</v>
      </c>
      <c r="I1973">
        <v>0</v>
      </c>
      <c r="J1973" s="34">
        <v>1060000</v>
      </c>
      <c r="K1973" t="s">
        <v>171</v>
      </c>
      <c r="L1973" s="34">
        <f>PMT(Loans[[#This Row],[InterestRate]]/12,Loans[[#This Row],[LoanTenureMonths]],-Loans[[#This Row],[LoanAmount]])</f>
        <v>34895.931665216085</v>
      </c>
      <c r="M1973" s="30">
        <f>EDATE(Loans[[#This Row],[LoanStartDate]],Loans[[#This Row],[LoanTenureMonths]])</f>
        <v>47012</v>
      </c>
      <c r="N1973" s="33">
        <f>IF(Loans[[#This Row],[LoanAmount]]=0,0,Loans[[#This Row],[CollateralValue]]/Loans[[#This Row],[LoanAmount]])</f>
        <v>1.06</v>
      </c>
      <c r="O1973" t="str">
        <f>IF(Loans[[#This Row],[CollateralCoverageRatio]]&lt;1,"Undersecured","Secured")</f>
        <v>Secured</v>
      </c>
      <c r="P1973" t="str">
        <f>_xlfn.XLOOKUP(Loans[[#This Row],[BranchCode]],BranchesTbl[BranchCode],BranchesTbl[BranchName])</f>
        <v>Westlands</v>
      </c>
      <c r="Q1973">
        <f>_xlfn.XLOOKUP(Loans[[#This Row],[CustomerID]],CustomerTbl[CustomerID],CustomerTbl[RiskScore])</f>
        <v>696</v>
      </c>
      <c r="R1973" t="str">
        <f>IFERROR(INDEX(RiskTbl[Risk_Category],MATCH(Loans[[#This Row],[RiskScore]],RiskTbl[Score_Min],1)),"Unknown")</f>
        <v>Low Risk</v>
      </c>
      <c r="S1973" t="str">
        <f>IF(OR(Loans[[#This Row],[LoanStatus]]="Default",Loans[[#This Row],[LoanStatus]]="Watchlist",Loans[[#This Row],[CollateralRisk]]="Undersecured",Loans[[#This Row],[RiskCategory]]="High Risk"),"High Risk Exposure","Normal")</f>
        <v>Normal</v>
      </c>
      <c r="T1973" t="str" cm="1">
        <f t="array" ref="T1973">_xlfn.IFS(
Loans[[#This Row],[LoanStatus]]="Default","Critical",
OR(Loans[[#This Row],[LoanStatus]]="Watchlist",Loans[[#This Row],[CollateralRisk]]="Undersecured",Loans[[#This Row],[RiskCategory]]="High Risk"),"High",
TRUE,"Normal"
)</f>
        <v>Normal</v>
      </c>
    </row>
    <row r="1974" spans="1:20" x14ac:dyDescent="0.35">
      <c r="A1974" t="s">
        <v>2810</v>
      </c>
      <c r="B1974" t="s">
        <v>1846</v>
      </c>
      <c r="C1974" t="s">
        <v>174</v>
      </c>
      <c r="D1974" t="s">
        <v>157</v>
      </c>
      <c r="E1974" s="34">
        <v>25000000</v>
      </c>
      <c r="F1974" s="29">
        <v>0.13070000000000001</v>
      </c>
      <c r="G1974" s="30">
        <v>44670</v>
      </c>
      <c r="H1974">
        <v>24</v>
      </c>
      <c r="I1974">
        <v>90</v>
      </c>
      <c r="J1974" s="34">
        <v>25000000</v>
      </c>
      <c r="K1974" t="s">
        <v>199</v>
      </c>
      <c r="L1974" s="34">
        <f>PMT(Loans[[#This Row],[InterestRate]]/12,Loans[[#This Row],[LoanTenureMonths]],-Loans[[#This Row],[LoanAmount]])</f>
        <v>1189367.717159858</v>
      </c>
      <c r="M1974" s="30">
        <f>EDATE(Loans[[#This Row],[LoanStartDate]],Loans[[#This Row],[LoanTenureMonths]])</f>
        <v>45401</v>
      </c>
      <c r="N1974" s="33">
        <f>IF(Loans[[#This Row],[LoanAmount]]=0,0,Loans[[#This Row],[CollateralValue]]/Loans[[#This Row],[LoanAmount]])</f>
        <v>1</v>
      </c>
      <c r="O1974" t="str">
        <f>IF(Loans[[#This Row],[CollateralCoverageRatio]]&lt;1,"Undersecured","Secured")</f>
        <v>Secured</v>
      </c>
      <c r="P1974" t="str">
        <f>_xlfn.XLOOKUP(Loans[[#This Row],[BranchCode]],BranchesTbl[BranchCode],BranchesTbl[BranchName])</f>
        <v>Westlands</v>
      </c>
      <c r="Q1974">
        <f>_xlfn.XLOOKUP(Loans[[#This Row],[CustomerID]],CustomerTbl[CustomerID],CustomerTbl[RiskScore])</f>
        <v>354</v>
      </c>
      <c r="R1974" t="str">
        <f>IFERROR(INDEX(RiskTbl[Risk_Category],MATCH(Loans[[#This Row],[RiskScore]],RiskTbl[Score_Min],1)),"Unknown")</f>
        <v>High Risk</v>
      </c>
      <c r="S1974" t="str">
        <f>IF(OR(Loans[[#This Row],[LoanStatus]]="Default",Loans[[#This Row],[LoanStatus]]="Watchlist",Loans[[#This Row],[CollateralRisk]]="Undersecured",Loans[[#This Row],[RiskCategory]]="High Risk"),"High Risk Exposure","Normal")</f>
        <v>High Risk Exposure</v>
      </c>
      <c r="T1974" t="str" cm="1">
        <f t="array" ref="T1974">_xlfn.IFS(
Loans[[#This Row],[LoanStatus]]="Default","Critical",
OR(Loans[[#This Row],[LoanStatus]]="Watchlist",Loans[[#This Row],[CollateralRisk]]="Undersecured",Loans[[#This Row],[RiskCategory]]="High Risk"),"High",
TRUE,"Normal"
)</f>
        <v>High</v>
      </c>
    </row>
    <row r="1975" spans="1:20" x14ac:dyDescent="0.35">
      <c r="A1975" t="s">
        <v>2811</v>
      </c>
      <c r="B1975" t="s">
        <v>425</v>
      </c>
      <c r="C1975" t="s">
        <v>181</v>
      </c>
      <c r="D1975" t="s">
        <v>157</v>
      </c>
      <c r="E1975" s="34">
        <v>80000000</v>
      </c>
      <c r="F1975" s="29">
        <v>0.1162</v>
      </c>
      <c r="G1975" s="30">
        <v>45816</v>
      </c>
      <c r="H1975">
        <v>12</v>
      </c>
      <c r="I1975">
        <v>0</v>
      </c>
      <c r="J1975" s="34">
        <v>102400000</v>
      </c>
      <c r="K1975" t="s">
        <v>171</v>
      </c>
      <c r="L1975" s="34">
        <f>PMT(Loans[[#This Row],[InterestRate]]/12,Loans[[#This Row],[LoanTenureMonths]],-Loans[[#This Row],[LoanAmount]])</f>
        <v>7093689.5416380018</v>
      </c>
      <c r="M1975" s="30">
        <f>EDATE(Loans[[#This Row],[LoanStartDate]],Loans[[#This Row],[LoanTenureMonths]])</f>
        <v>46181</v>
      </c>
      <c r="N1975" s="33">
        <f>IF(Loans[[#This Row],[LoanAmount]]=0,0,Loans[[#This Row],[CollateralValue]]/Loans[[#This Row],[LoanAmount]])</f>
        <v>1.28</v>
      </c>
      <c r="O1975" t="str">
        <f>IF(Loans[[#This Row],[CollateralCoverageRatio]]&lt;1,"Undersecured","Secured")</f>
        <v>Secured</v>
      </c>
      <c r="P1975" t="str">
        <f>_xlfn.XLOOKUP(Loans[[#This Row],[BranchCode]],BranchesTbl[BranchCode],BranchesTbl[BranchName])</f>
        <v>Kitale</v>
      </c>
      <c r="Q1975">
        <f>_xlfn.XLOOKUP(Loans[[#This Row],[CustomerID]],CustomerTbl[CustomerID],CustomerTbl[RiskScore])</f>
        <v>426</v>
      </c>
      <c r="R1975" t="str">
        <f>IFERROR(INDEX(RiskTbl[Risk_Category],MATCH(Loans[[#This Row],[RiskScore]],RiskTbl[Score_Min],1)),"Unknown")</f>
        <v>High Risk</v>
      </c>
      <c r="S1975" t="str">
        <f>IF(OR(Loans[[#This Row],[LoanStatus]]="Default",Loans[[#This Row],[LoanStatus]]="Watchlist",Loans[[#This Row],[CollateralRisk]]="Undersecured",Loans[[#This Row],[RiskCategory]]="High Risk"),"High Risk Exposure","Normal")</f>
        <v>High Risk Exposure</v>
      </c>
      <c r="T1975" t="str" cm="1">
        <f t="array" ref="T1975">_xlfn.IFS(
Loans[[#This Row],[LoanStatus]]="Default","Critical",
OR(Loans[[#This Row],[LoanStatus]]="Watchlist",Loans[[#This Row],[CollateralRisk]]="Undersecured",Loans[[#This Row],[RiskCategory]]="High Risk"),"High",
TRUE,"Normal"
)</f>
        <v>High</v>
      </c>
    </row>
    <row r="1976" spans="1:20" x14ac:dyDescent="0.35">
      <c r="A1976" t="s">
        <v>2812</v>
      </c>
      <c r="B1976" t="s">
        <v>1041</v>
      </c>
      <c r="C1976" t="s">
        <v>170</v>
      </c>
      <c r="D1976" t="s">
        <v>155</v>
      </c>
      <c r="E1976" s="34">
        <v>1000000</v>
      </c>
      <c r="F1976" s="29">
        <v>0.27579999999999999</v>
      </c>
      <c r="G1976" s="30">
        <v>44094</v>
      </c>
      <c r="H1976">
        <v>36</v>
      </c>
      <c r="I1976">
        <v>0</v>
      </c>
      <c r="J1976" s="34">
        <v>0</v>
      </c>
      <c r="K1976" t="s">
        <v>171</v>
      </c>
      <c r="L1976" s="34">
        <f>PMT(Loans[[#This Row],[InterestRate]]/12,Loans[[#This Row],[LoanTenureMonths]],-Loans[[#This Row],[LoanAmount]])</f>
        <v>41137.012459790225</v>
      </c>
      <c r="M1976" s="30">
        <f>EDATE(Loans[[#This Row],[LoanStartDate]],Loans[[#This Row],[LoanTenureMonths]])</f>
        <v>45189</v>
      </c>
      <c r="N1976" s="33">
        <f>IF(Loans[[#This Row],[LoanAmount]]=0,0,Loans[[#This Row],[CollateralValue]]/Loans[[#This Row],[LoanAmount]])</f>
        <v>0</v>
      </c>
      <c r="O1976" t="str">
        <f>IF(Loans[[#This Row],[CollateralCoverageRatio]]&lt;1,"Undersecured","Secured")</f>
        <v>Undersecured</v>
      </c>
      <c r="P1976" t="str">
        <f>_xlfn.XLOOKUP(Loans[[#This Row],[BranchCode]],BranchesTbl[BranchCode],BranchesTbl[BranchName])</f>
        <v>Thika</v>
      </c>
      <c r="Q1976">
        <f>_xlfn.XLOOKUP(Loans[[#This Row],[CustomerID]],CustomerTbl[CustomerID],CustomerTbl[RiskScore])</f>
        <v>424</v>
      </c>
      <c r="R1976" t="str">
        <f>IFERROR(INDEX(RiskTbl[Risk_Category],MATCH(Loans[[#This Row],[RiskScore]],RiskTbl[Score_Min],1)),"Unknown")</f>
        <v>High Risk</v>
      </c>
      <c r="S1976" t="str">
        <f>IF(OR(Loans[[#This Row],[LoanStatus]]="Default",Loans[[#This Row],[LoanStatus]]="Watchlist",Loans[[#This Row],[CollateralRisk]]="Undersecured",Loans[[#This Row],[RiskCategory]]="High Risk"),"High Risk Exposure","Normal")</f>
        <v>High Risk Exposure</v>
      </c>
      <c r="T1976" t="str" cm="1">
        <f t="array" ref="T1976">_xlfn.IFS(
Loans[[#This Row],[LoanStatus]]="Default","Critical",
OR(Loans[[#This Row],[LoanStatus]]="Watchlist",Loans[[#This Row],[CollateralRisk]]="Undersecured",Loans[[#This Row],[RiskCategory]]="High Risk"),"High",
TRUE,"Normal"
)</f>
        <v>High</v>
      </c>
    </row>
    <row r="1977" spans="1:20" x14ac:dyDescent="0.35">
      <c r="A1977" t="s">
        <v>2813</v>
      </c>
      <c r="B1977" t="s">
        <v>807</v>
      </c>
      <c r="C1977" t="s">
        <v>196</v>
      </c>
      <c r="D1977" t="s">
        <v>158</v>
      </c>
      <c r="E1977" s="34">
        <v>500000</v>
      </c>
      <c r="F1977" s="29">
        <v>0.1404</v>
      </c>
      <c r="G1977" s="30">
        <v>45483</v>
      </c>
      <c r="H1977">
        <v>12</v>
      </c>
      <c r="I1977">
        <v>0</v>
      </c>
      <c r="J1977" s="34">
        <v>330000</v>
      </c>
      <c r="K1977" t="s">
        <v>171</v>
      </c>
      <c r="L1977" s="34">
        <f>PMT(Loans[[#This Row],[InterestRate]]/12,Loans[[#This Row],[LoanTenureMonths]],-Loans[[#This Row],[LoanAmount]])</f>
        <v>44902.969719974324</v>
      </c>
      <c r="M1977" s="30">
        <f>EDATE(Loans[[#This Row],[LoanStartDate]],Loans[[#This Row],[LoanTenureMonths]])</f>
        <v>45848</v>
      </c>
      <c r="N1977" s="33">
        <f>IF(Loans[[#This Row],[LoanAmount]]=0,0,Loans[[#This Row],[CollateralValue]]/Loans[[#This Row],[LoanAmount]])</f>
        <v>0.66</v>
      </c>
      <c r="O1977" t="str">
        <f>IF(Loans[[#This Row],[CollateralCoverageRatio]]&lt;1,"Undersecured","Secured")</f>
        <v>Undersecured</v>
      </c>
      <c r="P1977" t="str">
        <f>_xlfn.XLOOKUP(Loans[[#This Row],[BranchCode]],BranchesTbl[BranchCode],BranchesTbl[BranchName])</f>
        <v>Karen</v>
      </c>
      <c r="Q1977">
        <f>_xlfn.XLOOKUP(Loans[[#This Row],[CustomerID]],CustomerTbl[CustomerID],CustomerTbl[RiskScore])</f>
        <v>572</v>
      </c>
      <c r="R1977" t="str">
        <f>IFERROR(INDEX(RiskTbl[Risk_Category],MATCH(Loans[[#This Row],[RiskScore]],RiskTbl[Score_Min],1)),"Unknown")</f>
        <v>High Risk</v>
      </c>
      <c r="S1977" t="str">
        <f>IF(OR(Loans[[#This Row],[LoanStatus]]="Default",Loans[[#This Row],[LoanStatus]]="Watchlist",Loans[[#This Row],[CollateralRisk]]="Undersecured",Loans[[#This Row],[RiskCategory]]="High Risk"),"High Risk Exposure","Normal")</f>
        <v>High Risk Exposure</v>
      </c>
      <c r="T1977" t="str" cm="1">
        <f t="array" ref="T1977">_xlfn.IFS(
Loans[[#This Row],[LoanStatus]]="Default","Critical",
OR(Loans[[#This Row],[LoanStatus]]="Watchlist",Loans[[#This Row],[CollateralRisk]]="Undersecured",Loans[[#This Row],[RiskCategory]]="High Risk"),"High",
TRUE,"Normal"
)</f>
        <v>High</v>
      </c>
    </row>
    <row r="1978" spans="1:20" x14ac:dyDescent="0.35">
      <c r="A1978" t="s">
        <v>2814</v>
      </c>
      <c r="B1978" t="s">
        <v>1013</v>
      </c>
      <c r="C1978" t="s">
        <v>177</v>
      </c>
      <c r="D1978" t="s">
        <v>158</v>
      </c>
      <c r="E1978" s="34">
        <v>1000000</v>
      </c>
      <c r="F1978" s="29">
        <v>0.18720000000000001</v>
      </c>
      <c r="G1978" s="30">
        <v>44396</v>
      </c>
      <c r="H1978">
        <v>48</v>
      </c>
      <c r="I1978">
        <v>20</v>
      </c>
      <c r="J1978" s="34">
        <v>1250000</v>
      </c>
      <c r="K1978" t="s">
        <v>171</v>
      </c>
      <c r="L1978" s="34">
        <f>PMT(Loans[[#This Row],[InterestRate]]/12,Loans[[#This Row],[LoanTenureMonths]],-Loans[[#This Row],[LoanAmount]])</f>
        <v>29752.566789397635</v>
      </c>
      <c r="M1978" s="30">
        <f>EDATE(Loans[[#This Row],[LoanStartDate]],Loans[[#This Row],[LoanTenureMonths]])</f>
        <v>45857</v>
      </c>
      <c r="N1978" s="33">
        <f>IF(Loans[[#This Row],[LoanAmount]]=0,0,Loans[[#This Row],[CollateralValue]]/Loans[[#This Row],[LoanAmount]])</f>
        <v>1.25</v>
      </c>
      <c r="O1978" t="str">
        <f>IF(Loans[[#This Row],[CollateralCoverageRatio]]&lt;1,"Undersecured","Secured")</f>
        <v>Secured</v>
      </c>
      <c r="P1978" t="str">
        <f>_xlfn.XLOOKUP(Loans[[#This Row],[BranchCode]],BranchesTbl[BranchCode],BranchesTbl[BranchName])</f>
        <v>Naivasha</v>
      </c>
      <c r="Q1978">
        <f>_xlfn.XLOOKUP(Loans[[#This Row],[CustomerID]],CustomerTbl[CustomerID],CustomerTbl[RiskScore])</f>
        <v>637</v>
      </c>
      <c r="R1978" t="str">
        <f>IFERROR(INDEX(RiskTbl[Risk_Category],MATCH(Loans[[#This Row],[RiskScore]],RiskTbl[Score_Min],1)),"Unknown")</f>
        <v>Medium Risk</v>
      </c>
      <c r="S1978" t="str">
        <f>IF(OR(Loans[[#This Row],[LoanStatus]]="Default",Loans[[#This Row],[LoanStatus]]="Watchlist",Loans[[#This Row],[CollateralRisk]]="Undersecured",Loans[[#This Row],[RiskCategory]]="High Risk"),"High Risk Exposure","Normal")</f>
        <v>Normal</v>
      </c>
      <c r="T1978" t="str" cm="1">
        <f t="array" ref="T1978">_xlfn.IFS(
Loans[[#This Row],[LoanStatus]]="Default","Critical",
OR(Loans[[#This Row],[LoanStatus]]="Watchlist",Loans[[#This Row],[CollateralRisk]]="Undersecured",Loans[[#This Row],[RiskCategory]]="High Risk"),"High",
TRUE,"Normal"
)</f>
        <v>Normal</v>
      </c>
    </row>
    <row r="1979" spans="1:20" x14ac:dyDescent="0.35">
      <c r="A1979" t="s">
        <v>2815</v>
      </c>
      <c r="B1979" t="s">
        <v>1392</v>
      </c>
      <c r="C1979" t="s">
        <v>206</v>
      </c>
      <c r="D1979" t="s">
        <v>155</v>
      </c>
      <c r="E1979" s="34">
        <v>500000</v>
      </c>
      <c r="F1979" s="29">
        <v>0.22489999999999999</v>
      </c>
      <c r="G1979" s="30">
        <v>44949</v>
      </c>
      <c r="H1979">
        <v>24</v>
      </c>
      <c r="I1979">
        <v>120</v>
      </c>
      <c r="J1979" s="34">
        <v>0</v>
      </c>
      <c r="K1979" t="s">
        <v>178</v>
      </c>
      <c r="L1979" s="34">
        <f>PMT(Loans[[#This Row],[InterestRate]]/12,Loans[[#This Row],[LoanTenureMonths]],-Loans[[#This Row],[LoanAmount]])</f>
        <v>26060.224239476229</v>
      </c>
      <c r="M1979" s="30">
        <f>EDATE(Loans[[#This Row],[LoanStartDate]],Loans[[#This Row],[LoanTenureMonths]])</f>
        <v>45680</v>
      </c>
      <c r="N1979" s="33">
        <f>IF(Loans[[#This Row],[LoanAmount]]=0,0,Loans[[#This Row],[CollateralValue]]/Loans[[#This Row],[LoanAmount]])</f>
        <v>0</v>
      </c>
      <c r="O1979" t="str">
        <f>IF(Loans[[#This Row],[CollateralCoverageRatio]]&lt;1,"Undersecured","Secured")</f>
        <v>Undersecured</v>
      </c>
      <c r="P1979" t="str">
        <f>_xlfn.XLOOKUP(Loans[[#This Row],[BranchCode]],BranchesTbl[BranchCode],BranchesTbl[BranchName])</f>
        <v>Nyahururu</v>
      </c>
      <c r="Q1979">
        <f>_xlfn.XLOOKUP(Loans[[#This Row],[CustomerID]],CustomerTbl[CustomerID],CustomerTbl[RiskScore])</f>
        <v>625</v>
      </c>
      <c r="R1979" t="str">
        <f>IFERROR(INDEX(RiskTbl[Risk_Category],MATCH(Loans[[#This Row],[RiskScore]],RiskTbl[Score_Min],1)),"Unknown")</f>
        <v>Medium Risk</v>
      </c>
      <c r="S1979" t="str">
        <f>IF(OR(Loans[[#This Row],[LoanStatus]]="Default",Loans[[#This Row],[LoanStatus]]="Watchlist",Loans[[#This Row],[CollateralRisk]]="Undersecured",Loans[[#This Row],[RiskCategory]]="High Risk"),"High Risk Exposure","Normal")</f>
        <v>High Risk Exposure</v>
      </c>
      <c r="T1979" t="str" cm="1">
        <f t="array" ref="T1979">_xlfn.IFS(
Loans[[#This Row],[LoanStatus]]="Default","Critical",
OR(Loans[[#This Row],[LoanStatus]]="Watchlist",Loans[[#This Row],[CollateralRisk]]="Undersecured",Loans[[#This Row],[RiskCategory]]="High Risk"),"High",
TRUE,"Normal"
)</f>
        <v>Critical</v>
      </c>
    </row>
    <row r="1980" spans="1:20" x14ac:dyDescent="0.35">
      <c r="A1980" t="s">
        <v>2816</v>
      </c>
      <c r="B1980" t="s">
        <v>1919</v>
      </c>
      <c r="C1980" t="s">
        <v>170</v>
      </c>
      <c r="D1980" t="s">
        <v>157</v>
      </c>
      <c r="E1980" s="34">
        <v>6000000</v>
      </c>
      <c r="F1980" s="29">
        <v>0.112</v>
      </c>
      <c r="G1980" s="30">
        <v>44180</v>
      </c>
      <c r="H1980">
        <v>48</v>
      </c>
      <c r="I1980">
        <v>120</v>
      </c>
      <c r="J1980" s="34">
        <v>7440000</v>
      </c>
      <c r="K1980" t="s">
        <v>178</v>
      </c>
      <c r="L1980" s="34">
        <f>PMT(Loans[[#This Row],[InterestRate]]/12,Loans[[#This Row],[LoanTenureMonths]],-Loans[[#This Row],[LoanAmount]])</f>
        <v>155656.53656566839</v>
      </c>
      <c r="M1980" s="30">
        <f>EDATE(Loans[[#This Row],[LoanStartDate]],Loans[[#This Row],[LoanTenureMonths]])</f>
        <v>45641</v>
      </c>
      <c r="N1980" s="33">
        <f>IF(Loans[[#This Row],[LoanAmount]]=0,0,Loans[[#This Row],[CollateralValue]]/Loans[[#This Row],[LoanAmount]])</f>
        <v>1.24</v>
      </c>
      <c r="O1980" t="str">
        <f>IF(Loans[[#This Row],[CollateralCoverageRatio]]&lt;1,"Undersecured","Secured")</f>
        <v>Secured</v>
      </c>
      <c r="P1980" t="str">
        <f>_xlfn.XLOOKUP(Loans[[#This Row],[BranchCode]],BranchesTbl[BranchCode],BranchesTbl[BranchName])</f>
        <v>Thika</v>
      </c>
      <c r="Q1980">
        <f>_xlfn.XLOOKUP(Loans[[#This Row],[CustomerID]],CustomerTbl[CustomerID],CustomerTbl[RiskScore])</f>
        <v>589</v>
      </c>
      <c r="R1980" t="str">
        <f>IFERROR(INDEX(RiskTbl[Risk_Category],MATCH(Loans[[#This Row],[RiskScore]],RiskTbl[Score_Min],1)),"Unknown")</f>
        <v>Medium Risk</v>
      </c>
      <c r="S1980" t="str">
        <f>IF(OR(Loans[[#This Row],[LoanStatus]]="Default",Loans[[#This Row],[LoanStatus]]="Watchlist",Loans[[#This Row],[CollateralRisk]]="Undersecured",Loans[[#This Row],[RiskCategory]]="High Risk"),"High Risk Exposure","Normal")</f>
        <v>High Risk Exposure</v>
      </c>
      <c r="T1980" t="str" cm="1">
        <f t="array" ref="T1980">_xlfn.IFS(
Loans[[#This Row],[LoanStatus]]="Default","Critical",
OR(Loans[[#This Row],[LoanStatus]]="Watchlist",Loans[[#This Row],[CollateralRisk]]="Undersecured",Loans[[#This Row],[RiskCategory]]="High Risk"),"High",
TRUE,"Normal"
)</f>
        <v>Critical</v>
      </c>
    </row>
    <row r="1981" spans="1:20" x14ac:dyDescent="0.35">
      <c r="A1981" t="s">
        <v>2817</v>
      </c>
      <c r="B1981" t="s">
        <v>375</v>
      </c>
      <c r="C1981" t="s">
        <v>206</v>
      </c>
      <c r="D1981" t="s">
        <v>157</v>
      </c>
      <c r="E1981" s="34">
        <v>25000000</v>
      </c>
      <c r="F1981" s="29">
        <v>0.11849999999999999</v>
      </c>
      <c r="G1981" s="30">
        <v>44169</v>
      </c>
      <c r="H1981">
        <v>12</v>
      </c>
      <c r="I1981">
        <v>120</v>
      </c>
      <c r="J1981" s="34">
        <v>26000000</v>
      </c>
      <c r="K1981" t="s">
        <v>178</v>
      </c>
      <c r="L1981" s="34">
        <f>PMT(Loans[[#This Row],[InterestRate]]/12,Loans[[#This Row],[LoanTenureMonths]],-Loans[[#This Row],[LoanAmount]])</f>
        <v>2219465.8151275315</v>
      </c>
      <c r="M1981" s="30">
        <f>EDATE(Loans[[#This Row],[LoanStartDate]],Loans[[#This Row],[LoanTenureMonths]])</f>
        <v>44534</v>
      </c>
      <c r="N1981" s="33">
        <f>IF(Loans[[#This Row],[LoanAmount]]=0,0,Loans[[#This Row],[CollateralValue]]/Loans[[#This Row],[LoanAmount]])</f>
        <v>1.04</v>
      </c>
      <c r="O1981" t="str">
        <f>IF(Loans[[#This Row],[CollateralCoverageRatio]]&lt;1,"Undersecured","Secured")</f>
        <v>Secured</v>
      </c>
      <c r="P1981" t="str">
        <f>_xlfn.XLOOKUP(Loans[[#This Row],[BranchCode]],BranchesTbl[BranchCode],BranchesTbl[BranchName])</f>
        <v>Nyahururu</v>
      </c>
      <c r="Q1981">
        <f>_xlfn.XLOOKUP(Loans[[#This Row],[CustomerID]],CustomerTbl[CustomerID],CustomerTbl[RiskScore])</f>
        <v>358</v>
      </c>
      <c r="R1981" t="str">
        <f>IFERROR(INDEX(RiskTbl[Risk_Category],MATCH(Loans[[#This Row],[RiskScore]],RiskTbl[Score_Min],1)),"Unknown")</f>
        <v>High Risk</v>
      </c>
      <c r="S1981" t="str">
        <f>IF(OR(Loans[[#This Row],[LoanStatus]]="Default",Loans[[#This Row],[LoanStatus]]="Watchlist",Loans[[#This Row],[CollateralRisk]]="Undersecured",Loans[[#This Row],[RiskCategory]]="High Risk"),"High Risk Exposure","Normal")</f>
        <v>High Risk Exposure</v>
      </c>
      <c r="T1981" t="str" cm="1">
        <f t="array" ref="T1981">_xlfn.IFS(
Loans[[#This Row],[LoanStatus]]="Default","Critical",
OR(Loans[[#This Row],[LoanStatus]]="Watchlist",Loans[[#This Row],[CollateralRisk]]="Undersecured",Loans[[#This Row],[RiskCategory]]="High Risk"),"High",
TRUE,"Normal"
)</f>
        <v>Critical</v>
      </c>
    </row>
    <row r="1982" spans="1:20" x14ac:dyDescent="0.35">
      <c r="A1982" t="s">
        <v>2818</v>
      </c>
      <c r="B1982" t="s">
        <v>1364</v>
      </c>
      <c r="C1982" t="s">
        <v>170</v>
      </c>
      <c r="D1982" t="s">
        <v>155</v>
      </c>
      <c r="E1982" s="34">
        <v>250000</v>
      </c>
      <c r="F1982" s="29">
        <v>0.27400000000000002</v>
      </c>
      <c r="G1982" s="30">
        <v>44881</v>
      </c>
      <c r="H1982">
        <v>48</v>
      </c>
      <c r="I1982">
        <v>0</v>
      </c>
      <c r="J1982" s="34">
        <v>0</v>
      </c>
      <c r="K1982" t="s">
        <v>171</v>
      </c>
      <c r="L1982" s="34">
        <f>PMT(Loans[[#This Row],[InterestRate]]/12,Loans[[#This Row],[LoanTenureMonths]],-Loans[[#This Row],[LoanAmount]])</f>
        <v>8627.4205325981657</v>
      </c>
      <c r="M1982" s="30">
        <f>EDATE(Loans[[#This Row],[LoanStartDate]],Loans[[#This Row],[LoanTenureMonths]])</f>
        <v>46342</v>
      </c>
      <c r="N1982" s="33">
        <f>IF(Loans[[#This Row],[LoanAmount]]=0,0,Loans[[#This Row],[CollateralValue]]/Loans[[#This Row],[LoanAmount]])</f>
        <v>0</v>
      </c>
      <c r="O1982" t="str">
        <f>IF(Loans[[#This Row],[CollateralCoverageRatio]]&lt;1,"Undersecured","Secured")</f>
        <v>Undersecured</v>
      </c>
      <c r="P1982" t="str">
        <f>_xlfn.XLOOKUP(Loans[[#This Row],[BranchCode]],BranchesTbl[BranchCode],BranchesTbl[BranchName])</f>
        <v>Thika</v>
      </c>
      <c r="Q1982">
        <f>_xlfn.XLOOKUP(Loans[[#This Row],[CustomerID]],CustomerTbl[CustomerID],CustomerTbl[RiskScore])</f>
        <v>325</v>
      </c>
      <c r="R1982" t="str">
        <f>IFERROR(INDEX(RiskTbl[Risk_Category],MATCH(Loans[[#This Row],[RiskScore]],RiskTbl[Score_Min],1)),"Unknown")</f>
        <v>High Risk</v>
      </c>
      <c r="S1982" t="str">
        <f>IF(OR(Loans[[#This Row],[LoanStatus]]="Default",Loans[[#This Row],[LoanStatus]]="Watchlist",Loans[[#This Row],[CollateralRisk]]="Undersecured",Loans[[#This Row],[RiskCategory]]="High Risk"),"High Risk Exposure","Normal")</f>
        <v>High Risk Exposure</v>
      </c>
      <c r="T1982" t="str" cm="1">
        <f t="array" ref="T1982">_xlfn.IFS(
Loans[[#This Row],[LoanStatus]]="Default","Critical",
OR(Loans[[#This Row],[LoanStatus]]="Watchlist",Loans[[#This Row],[CollateralRisk]]="Undersecured",Loans[[#This Row],[RiskCategory]]="High Risk"),"High",
TRUE,"Normal"
)</f>
        <v>High</v>
      </c>
    </row>
    <row r="1983" spans="1:20" x14ac:dyDescent="0.35">
      <c r="A1983" t="s">
        <v>2819</v>
      </c>
      <c r="B1983" t="s">
        <v>266</v>
      </c>
      <c r="C1983" t="s">
        <v>206</v>
      </c>
      <c r="D1983" t="s">
        <v>156</v>
      </c>
      <c r="E1983" s="34">
        <v>3000000</v>
      </c>
      <c r="F1983" s="29">
        <v>0.19350000000000001</v>
      </c>
      <c r="G1983" s="30">
        <v>45050</v>
      </c>
      <c r="H1983">
        <v>12</v>
      </c>
      <c r="I1983">
        <v>90</v>
      </c>
      <c r="J1983" s="34">
        <v>2400000</v>
      </c>
      <c r="K1983" t="s">
        <v>199</v>
      </c>
      <c r="L1983" s="34">
        <f>PMT(Loans[[#This Row],[InterestRate]]/12,Loans[[#This Row],[LoanTenureMonths]],-Loans[[#This Row],[LoanAmount]])</f>
        <v>276971.1009835584</v>
      </c>
      <c r="M1983" s="30">
        <f>EDATE(Loans[[#This Row],[LoanStartDate]],Loans[[#This Row],[LoanTenureMonths]])</f>
        <v>45416</v>
      </c>
      <c r="N1983" s="33">
        <f>IF(Loans[[#This Row],[LoanAmount]]=0,0,Loans[[#This Row],[CollateralValue]]/Loans[[#This Row],[LoanAmount]])</f>
        <v>0.8</v>
      </c>
      <c r="O1983" t="str">
        <f>IF(Loans[[#This Row],[CollateralCoverageRatio]]&lt;1,"Undersecured","Secured")</f>
        <v>Undersecured</v>
      </c>
      <c r="P1983" t="str">
        <f>_xlfn.XLOOKUP(Loans[[#This Row],[BranchCode]],BranchesTbl[BranchCode],BranchesTbl[BranchName])</f>
        <v>Nyahururu</v>
      </c>
      <c r="Q1983">
        <f>_xlfn.XLOOKUP(Loans[[#This Row],[CustomerID]],CustomerTbl[CustomerID],CustomerTbl[RiskScore])</f>
        <v>511</v>
      </c>
      <c r="R1983" t="str">
        <f>IFERROR(INDEX(RiskTbl[Risk_Category],MATCH(Loans[[#This Row],[RiskScore]],RiskTbl[Score_Min],1)),"Unknown")</f>
        <v>High Risk</v>
      </c>
      <c r="S1983" t="str">
        <f>IF(OR(Loans[[#This Row],[LoanStatus]]="Default",Loans[[#This Row],[LoanStatus]]="Watchlist",Loans[[#This Row],[CollateralRisk]]="Undersecured",Loans[[#This Row],[RiskCategory]]="High Risk"),"High Risk Exposure","Normal")</f>
        <v>High Risk Exposure</v>
      </c>
      <c r="T1983" t="str" cm="1">
        <f t="array" ref="T1983">_xlfn.IFS(
Loans[[#This Row],[LoanStatus]]="Default","Critical",
OR(Loans[[#This Row],[LoanStatus]]="Watchlist",Loans[[#This Row],[CollateralRisk]]="Undersecured",Loans[[#This Row],[RiskCategory]]="High Risk"),"High",
TRUE,"Normal"
)</f>
        <v>High</v>
      </c>
    </row>
    <row r="1984" spans="1:20" x14ac:dyDescent="0.35">
      <c r="A1984" t="s">
        <v>2820</v>
      </c>
      <c r="B1984" t="s">
        <v>1372</v>
      </c>
      <c r="C1984" t="s">
        <v>177</v>
      </c>
      <c r="D1984" t="s">
        <v>155</v>
      </c>
      <c r="E1984" s="34">
        <v>100000</v>
      </c>
      <c r="F1984" s="29">
        <v>0.2477</v>
      </c>
      <c r="G1984" s="30">
        <v>44565</v>
      </c>
      <c r="H1984">
        <v>12</v>
      </c>
      <c r="I1984">
        <v>0</v>
      </c>
      <c r="J1984" s="34">
        <v>0</v>
      </c>
      <c r="K1984" t="s">
        <v>171</v>
      </c>
      <c r="L1984" s="34">
        <f>PMT(Loans[[#This Row],[InterestRate]]/12,Loans[[#This Row],[LoanTenureMonths]],-Loans[[#This Row],[LoanAmount]])</f>
        <v>9493.2625962883103</v>
      </c>
      <c r="M1984" s="30">
        <f>EDATE(Loans[[#This Row],[LoanStartDate]],Loans[[#This Row],[LoanTenureMonths]])</f>
        <v>44930</v>
      </c>
      <c r="N1984" s="33">
        <f>IF(Loans[[#This Row],[LoanAmount]]=0,0,Loans[[#This Row],[CollateralValue]]/Loans[[#This Row],[LoanAmount]])</f>
        <v>0</v>
      </c>
      <c r="O1984" t="str">
        <f>IF(Loans[[#This Row],[CollateralCoverageRatio]]&lt;1,"Undersecured","Secured")</f>
        <v>Undersecured</v>
      </c>
      <c r="P1984" t="str">
        <f>_xlfn.XLOOKUP(Loans[[#This Row],[BranchCode]],BranchesTbl[BranchCode],BranchesTbl[BranchName])</f>
        <v>Naivasha</v>
      </c>
      <c r="Q1984">
        <f>_xlfn.XLOOKUP(Loans[[#This Row],[CustomerID]],CustomerTbl[CustomerID],CustomerTbl[RiskScore])</f>
        <v>718</v>
      </c>
      <c r="R1984" t="str">
        <f>IFERROR(INDEX(RiskTbl[Risk_Category],MATCH(Loans[[#This Row],[RiskScore]],RiskTbl[Score_Min],1)),"Unknown")</f>
        <v>Low Risk</v>
      </c>
      <c r="S1984" t="str">
        <f>IF(OR(Loans[[#This Row],[LoanStatus]]="Default",Loans[[#This Row],[LoanStatus]]="Watchlist",Loans[[#This Row],[CollateralRisk]]="Undersecured",Loans[[#This Row],[RiskCategory]]="High Risk"),"High Risk Exposure","Normal")</f>
        <v>High Risk Exposure</v>
      </c>
      <c r="T1984" t="str" cm="1">
        <f t="array" ref="T1984">_xlfn.IFS(
Loans[[#This Row],[LoanStatus]]="Default","Critical",
OR(Loans[[#This Row],[LoanStatus]]="Watchlist",Loans[[#This Row],[CollateralRisk]]="Undersecured",Loans[[#This Row],[RiskCategory]]="High Risk"),"High",
TRUE,"Normal"
)</f>
        <v>High</v>
      </c>
    </row>
    <row r="1985" spans="1:20" x14ac:dyDescent="0.35">
      <c r="A1985" t="s">
        <v>2821</v>
      </c>
      <c r="B1985" t="s">
        <v>292</v>
      </c>
      <c r="C1985" t="s">
        <v>196</v>
      </c>
      <c r="D1985" t="s">
        <v>155</v>
      </c>
      <c r="E1985" s="34">
        <v>500000</v>
      </c>
      <c r="F1985" s="29">
        <v>0.19289999999999999</v>
      </c>
      <c r="G1985" s="30">
        <v>45034</v>
      </c>
      <c r="H1985">
        <v>60</v>
      </c>
      <c r="I1985">
        <v>0</v>
      </c>
      <c r="J1985" s="34">
        <v>0</v>
      </c>
      <c r="K1985" t="s">
        <v>171</v>
      </c>
      <c r="L1985" s="34">
        <f>PMT(Loans[[#This Row],[InterestRate]]/12,Loans[[#This Row],[LoanTenureMonths]],-Loans[[#This Row],[LoanAmount]])</f>
        <v>13050.190619629318</v>
      </c>
      <c r="M1985" s="30">
        <f>EDATE(Loans[[#This Row],[LoanStartDate]],Loans[[#This Row],[LoanTenureMonths]])</f>
        <v>46861</v>
      </c>
      <c r="N1985" s="33">
        <f>IF(Loans[[#This Row],[LoanAmount]]=0,0,Loans[[#This Row],[CollateralValue]]/Loans[[#This Row],[LoanAmount]])</f>
        <v>0</v>
      </c>
      <c r="O1985" t="str">
        <f>IF(Loans[[#This Row],[CollateralCoverageRatio]]&lt;1,"Undersecured","Secured")</f>
        <v>Undersecured</v>
      </c>
      <c r="P1985" t="str">
        <f>_xlfn.XLOOKUP(Loans[[#This Row],[BranchCode]],BranchesTbl[BranchCode],BranchesTbl[BranchName])</f>
        <v>Karen</v>
      </c>
      <c r="Q1985">
        <f>_xlfn.XLOOKUP(Loans[[#This Row],[CustomerID]],CustomerTbl[CustomerID],CustomerTbl[RiskScore])</f>
        <v>831</v>
      </c>
      <c r="R1985" t="str">
        <f>IFERROR(INDEX(RiskTbl[Risk_Category],MATCH(Loans[[#This Row],[RiskScore]],RiskTbl[Score_Min],1)),"Unknown")</f>
        <v>Prime</v>
      </c>
      <c r="S1985" t="str">
        <f>IF(OR(Loans[[#This Row],[LoanStatus]]="Default",Loans[[#This Row],[LoanStatus]]="Watchlist",Loans[[#This Row],[CollateralRisk]]="Undersecured",Loans[[#This Row],[RiskCategory]]="High Risk"),"High Risk Exposure","Normal")</f>
        <v>High Risk Exposure</v>
      </c>
      <c r="T1985" t="str" cm="1">
        <f t="array" ref="T1985">_xlfn.IFS(
Loans[[#This Row],[LoanStatus]]="Default","Critical",
OR(Loans[[#This Row],[LoanStatus]]="Watchlist",Loans[[#This Row],[CollateralRisk]]="Undersecured",Loans[[#This Row],[RiskCategory]]="High Risk"),"High",
TRUE,"Normal"
)</f>
        <v>High</v>
      </c>
    </row>
    <row r="1986" spans="1:20" x14ac:dyDescent="0.35">
      <c r="A1986" t="s">
        <v>2822</v>
      </c>
      <c r="B1986" t="s">
        <v>1333</v>
      </c>
      <c r="C1986" t="s">
        <v>170</v>
      </c>
      <c r="D1986" t="s">
        <v>155</v>
      </c>
      <c r="E1986" s="34">
        <v>100000</v>
      </c>
      <c r="F1986" s="29">
        <v>0.25319999999999998</v>
      </c>
      <c r="G1986" s="30">
        <v>44679</v>
      </c>
      <c r="H1986">
        <v>72</v>
      </c>
      <c r="I1986">
        <v>45</v>
      </c>
      <c r="J1986" s="34">
        <v>0</v>
      </c>
      <c r="K1986" t="s">
        <v>199</v>
      </c>
      <c r="L1986" s="34">
        <f>PMT(Loans[[#This Row],[InterestRate]]/12,Loans[[#This Row],[LoanTenureMonths]],-Loans[[#This Row],[LoanAmount]])</f>
        <v>2713.3868303627678</v>
      </c>
      <c r="M1986" s="30">
        <f>EDATE(Loans[[#This Row],[LoanStartDate]],Loans[[#This Row],[LoanTenureMonths]])</f>
        <v>46871</v>
      </c>
      <c r="N1986" s="33">
        <f>IF(Loans[[#This Row],[LoanAmount]]=0,0,Loans[[#This Row],[CollateralValue]]/Loans[[#This Row],[LoanAmount]])</f>
        <v>0</v>
      </c>
      <c r="O1986" t="str">
        <f>IF(Loans[[#This Row],[CollateralCoverageRatio]]&lt;1,"Undersecured","Secured")</f>
        <v>Undersecured</v>
      </c>
      <c r="P1986" t="str">
        <f>_xlfn.XLOOKUP(Loans[[#This Row],[BranchCode]],BranchesTbl[BranchCode],BranchesTbl[BranchName])</f>
        <v>Thika</v>
      </c>
      <c r="Q1986">
        <f>_xlfn.XLOOKUP(Loans[[#This Row],[CustomerID]],CustomerTbl[CustomerID],CustomerTbl[RiskScore])</f>
        <v>734</v>
      </c>
      <c r="R1986" t="str">
        <f>IFERROR(INDEX(RiskTbl[Risk_Category],MATCH(Loans[[#This Row],[RiskScore]],RiskTbl[Score_Min],1)),"Unknown")</f>
        <v>Low Risk</v>
      </c>
      <c r="S1986" t="str">
        <f>IF(OR(Loans[[#This Row],[LoanStatus]]="Default",Loans[[#This Row],[LoanStatus]]="Watchlist",Loans[[#This Row],[CollateralRisk]]="Undersecured",Loans[[#This Row],[RiskCategory]]="High Risk"),"High Risk Exposure","Normal")</f>
        <v>High Risk Exposure</v>
      </c>
      <c r="T1986" t="str" cm="1">
        <f t="array" ref="T1986">_xlfn.IFS(
Loans[[#This Row],[LoanStatus]]="Default","Critical",
OR(Loans[[#This Row],[LoanStatus]]="Watchlist",Loans[[#This Row],[CollateralRisk]]="Undersecured",Loans[[#This Row],[RiskCategory]]="High Risk"),"High",
TRUE,"Normal"
)</f>
        <v>High</v>
      </c>
    </row>
    <row r="1987" spans="1:20" x14ac:dyDescent="0.35">
      <c r="A1987" t="s">
        <v>2823</v>
      </c>
      <c r="B1987" t="s">
        <v>859</v>
      </c>
      <c r="C1987" t="s">
        <v>193</v>
      </c>
      <c r="D1987" t="s">
        <v>155</v>
      </c>
      <c r="E1987" s="34">
        <v>100000</v>
      </c>
      <c r="F1987" s="29">
        <v>0.1958</v>
      </c>
      <c r="G1987" s="30">
        <v>44015</v>
      </c>
      <c r="H1987">
        <v>36</v>
      </c>
      <c r="I1987">
        <v>5</v>
      </c>
      <c r="J1987" s="34">
        <v>0</v>
      </c>
      <c r="K1987" t="s">
        <v>171</v>
      </c>
      <c r="L1987" s="34">
        <f>PMT(Loans[[#This Row],[InterestRate]]/12,Loans[[#This Row],[LoanTenureMonths]],-Loans[[#This Row],[LoanAmount]])</f>
        <v>3694.9928161790162</v>
      </c>
      <c r="M1987" s="30">
        <f>EDATE(Loans[[#This Row],[LoanStartDate]],Loans[[#This Row],[LoanTenureMonths]])</f>
        <v>45110</v>
      </c>
      <c r="N1987" s="33">
        <f>IF(Loans[[#This Row],[LoanAmount]]=0,0,Loans[[#This Row],[CollateralValue]]/Loans[[#This Row],[LoanAmount]])</f>
        <v>0</v>
      </c>
      <c r="O1987" t="str">
        <f>IF(Loans[[#This Row],[CollateralCoverageRatio]]&lt;1,"Undersecured","Secured")</f>
        <v>Undersecured</v>
      </c>
      <c r="P1987" t="str">
        <f>_xlfn.XLOOKUP(Loans[[#This Row],[BranchCode]],BranchesTbl[BranchCode],BranchesTbl[BranchName])</f>
        <v>Mombasa</v>
      </c>
      <c r="Q1987">
        <f>_xlfn.XLOOKUP(Loans[[#This Row],[CustomerID]],CustomerTbl[CustomerID],CustomerTbl[RiskScore])</f>
        <v>816</v>
      </c>
      <c r="R1987" t="str">
        <f>IFERROR(INDEX(RiskTbl[Risk_Category],MATCH(Loans[[#This Row],[RiskScore]],RiskTbl[Score_Min],1)),"Unknown")</f>
        <v>Prime</v>
      </c>
      <c r="S1987" t="str">
        <f>IF(OR(Loans[[#This Row],[LoanStatus]]="Default",Loans[[#This Row],[LoanStatus]]="Watchlist",Loans[[#This Row],[CollateralRisk]]="Undersecured",Loans[[#This Row],[RiskCategory]]="High Risk"),"High Risk Exposure","Normal")</f>
        <v>High Risk Exposure</v>
      </c>
      <c r="T1987" t="str" cm="1">
        <f t="array" ref="T1987">_xlfn.IFS(
Loans[[#This Row],[LoanStatus]]="Default","Critical",
OR(Loans[[#This Row],[LoanStatus]]="Watchlist",Loans[[#This Row],[CollateralRisk]]="Undersecured",Loans[[#This Row],[RiskCategory]]="High Risk"),"High",
TRUE,"Normal"
)</f>
        <v>High</v>
      </c>
    </row>
    <row r="1988" spans="1:20" x14ac:dyDescent="0.35">
      <c r="A1988" t="s">
        <v>2824</v>
      </c>
      <c r="B1988" t="s">
        <v>1246</v>
      </c>
      <c r="C1988" t="s">
        <v>187</v>
      </c>
      <c r="D1988" t="s">
        <v>156</v>
      </c>
      <c r="E1988" s="34">
        <v>3000000</v>
      </c>
      <c r="F1988" s="29">
        <v>0.22789999999999999</v>
      </c>
      <c r="G1988" s="30">
        <v>44939</v>
      </c>
      <c r="H1988">
        <v>60</v>
      </c>
      <c r="I1988">
        <v>20</v>
      </c>
      <c r="J1988" s="34">
        <v>1560000</v>
      </c>
      <c r="K1988" t="s">
        <v>171</v>
      </c>
      <c r="L1988" s="34">
        <f>PMT(Loans[[#This Row],[InterestRate]]/12,Loans[[#This Row],[LoanTenureMonths]],-Loans[[#This Row],[LoanAmount]])</f>
        <v>84209.846750864934</v>
      </c>
      <c r="M1988" s="30">
        <f>EDATE(Loans[[#This Row],[LoanStartDate]],Loans[[#This Row],[LoanTenureMonths]])</f>
        <v>46765</v>
      </c>
      <c r="N1988" s="33">
        <f>IF(Loans[[#This Row],[LoanAmount]]=0,0,Loans[[#This Row],[CollateralValue]]/Loans[[#This Row],[LoanAmount]])</f>
        <v>0.52</v>
      </c>
      <c r="O1988" t="str">
        <f>IF(Loans[[#This Row],[CollateralCoverageRatio]]&lt;1,"Undersecured","Secured")</f>
        <v>Undersecured</v>
      </c>
      <c r="P1988" t="str">
        <f>_xlfn.XLOOKUP(Loans[[#This Row],[BranchCode]],BranchesTbl[BranchCode],BranchesTbl[BranchName])</f>
        <v>Eldoret</v>
      </c>
      <c r="Q1988">
        <f>_xlfn.XLOOKUP(Loans[[#This Row],[CustomerID]],CustomerTbl[CustomerID],CustomerTbl[RiskScore])</f>
        <v>309</v>
      </c>
      <c r="R1988" t="str">
        <f>IFERROR(INDEX(RiskTbl[Risk_Category],MATCH(Loans[[#This Row],[RiskScore]],RiskTbl[Score_Min],1)),"Unknown")</f>
        <v>High Risk</v>
      </c>
      <c r="S1988" t="str">
        <f>IF(OR(Loans[[#This Row],[LoanStatus]]="Default",Loans[[#This Row],[LoanStatus]]="Watchlist",Loans[[#This Row],[CollateralRisk]]="Undersecured",Loans[[#This Row],[RiskCategory]]="High Risk"),"High Risk Exposure","Normal")</f>
        <v>High Risk Exposure</v>
      </c>
      <c r="T1988" t="str" cm="1">
        <f t="array" ref="T1988">_xlfn.IFS(
Loans[[#This Row],[LoanStatus]]="Default","Critical",
OR(Loans[[#This Row],[LoanStatus]]="Watchlist",Loans[[#This Row],[CollateralRisk]]="Undersecured",Loans[[#This Row],[RiskCategory]]="High Risk"),"High",
TRUE,"Normal"
)</f>
        <v>High</v>
      </c>
    </row>
    <row r="1989" spans="1:20" x14ac:dyDescent="0.35">
      <c r="A1989" t="s">
        <v>2825</v>
      </c>
      <c r="B1989" t="s">
        <v>2826</v>
      </c>
      <c r="C1989" t="s">
        <v>184</v>
      </c>
      <c r="D1989" t="s">
        <v>157</v>
      </c>
      <c r="E1989" s="34">
        <v>6000000</v>
      </c>
      <c r="F1989" s="29">
        <v>0.1191</v>
      </c>
      <c r="G1989" s="30">
        <v>44147</v>
      </c>
      <c r="H1989">
        <v>24</v>
      </c>
      <c r="I1989">
        <v>5</v>
      </c>
      <c r="J1989" s="34">
        <v>4920000</v>
      </c>
      <c r="K1989" t="s">
        <v>171</v>
      </c>
      <c r="L1989" s="34">
        <f>PMT(Loans[[#This Row],[InterestRate]]/12,Loans[[#This Row],[LoanTenureMonths]],-Loans[[#This Row],[LoanAmount]])</f>
        <v>282188.72303208435</v>
      </c>
      <c r="M1989" s="30">
        <f>EDATE(Loans[[#This Row],[LoanStartDate]],Loans[[#This Row],[LoanTenureMonths]])</f>
        <v>44877</v>
      </c>
      <c r="N1989" s="33">
        <f>IF(Loans[[#This Row],[LoanAmount]]=0,0,Loans[[#This Row],[CollateralValue]]/Loans[[#This Row],[LoanAmount]])</f>
        <v>0.82</v>
      </c>
      <c r="O1989" t="str">
        <f>IF(Loans[[#This Row],[CollateralCoverageRatio]]&lt;1,"Undersecured","Secured")</f>
        <v>Undersecured</v>
      </c>
      <c r="P1989" t="str">
        <f>_xlfn.XLOOKUP(Loans[[#This Row],[BranchCode]],BranchesTbl[BranchCode],BranchesTbl[BranchName])</f>
        <v>Kisumu</v>
      </c>
      <c r="Q1989">
        <f>_xlfn.XLOOKUP(Loans[[#This Row],[CustomerID]],CustomerTbl[CustomerID],CustomerTbl[RiskScore])</f>
        <v>610</v>
      </c>
      <c r="R1989" t="str">
        <f>IFERROR(INDEX(RiskTbl[Risk_Category],MATCH(Loans[[#This Row],[RiskScore]],RiskTbl[Score_Min],1)),"Unknown")</f>
        <v>Medium Risk</v>
      </c>
      <c r="S1989" t="str">
        <f>IF(OR(Loans[[#This Row],[LoanStatus]]="Default",Loans[[#This Row],[LoanStatus]]="Watchlist",Loans[[#This Row],[CollateralRisk]]="Undersecured",Loans[[#This Row],[RiskCategory]]="High Risk"),"High Risk Exposure","Normal")</f>
        <v>High Risk Exposure</v>
      </c>
      <c r="T1989" t="str" cm="1">
        <f t="array" ref="T1989">_xlfn.IFS(
Loans[[#This Row],[LoanStatus]]="Default","Critical",
OR(Loans[[#This Row],[LoanStatus]]="Watchlist",Loans[[#This Row],[CollateralRisk]]="Undersecured",Loans[[#This Row],[RiskCategory]]="High Risk"),"High",
TRUE,"Normal"
)</f>
        <v>High</v>
      </c>
    </row>
    <row r="1990" spans="1:20" x14ac:dyDescent="0.35">
      <c r="A1990" t="s">
        <v>2827</v>
      </c>
      <c r="B1990" t="s">
        <v>389</v>
      </c>
      <c r="C1990" t="s">
        <v>267</v>
      </c>
      <c r="D1990" t="s">
        <v>156</v>
      </c>
      <c r="E1990" s="34">
        <v>25000000</v>
      </c>
      <c r="F1990" s="29">
        <v>0.15440000000000001</v>
      </c>
      <c r="G1990" s="30">
        <v>45304</v>
      </c>
      <c r="H1990">
        <v>72</v>
      </c>
      <c r="I1990">
        <v>0</v>
      </c>
      <c r="J1990" s="34">
        <v>16500000</v>
      </c>
      <c r="K1990" t="s">
        <v>171</v>
      </c>
      <c r="L1990" s="34">
        <f>PMT(Loans[[#This Row],[InterestRate]]/12,Loans[[#This Row],[LoanTenureMonths]],-Loans[[#This Row],[LoanAmount]])</f>
        <v>534617.29981865746</v>
      </c>
      <c r="M1990" s="30">
        <f>EDATE(Loans[[#This Row],[LoanStartDate]],Loans[[#This Row],[LoanTenureMonths]])</f>
        <v>47496</v>
      </c>
      <c r="N1990" s="33">
        <f>IF(Loans[[#This Row],[LoanAmount]]=0,0,Loans[[#This Row],[CollateralValue]]/Loans[[#This Row],[LoanAmount]])</f>
        <v>0.66</v>
      </c>
      <c r="O1990" t="str">
        <f>IF(Loans[[#This Row],[CollateralCoverageRatio]]&lt;1,"Undersecured","Secured")</f>
        <v>Undersecured</v>
      </c>
      <c r="P1990" t="str">
        <f>_xlfn.XLOOKUP(Loans[[#This Row],[BranchCode]],BranchesTbl[BranchCode],BranchesTbl[BranchName])</f>
        <v>Malindi</v>
      </c>
      <c r="Q1990">
        <f>_xlfn.XLOOKUP(Loans[[#This Row],[CustomerID]],CustomerTbl[CustomerID],CustomerTbl[RiskScore])</f>
        <v>488</v>
      </c>
      <c r="R1990" t="str">
        <f>IFERROR(INDEX(RiskTbl[Risk_Category],MATCH(Loans[[#This Row],[RiskScore]],RiskTbl[Score_Min],1)),"Unknown")</f>
        <v>High Risk</v>
      </c>
      <c r="S1990" t="str">
        <f>IF(OR(Loans[[#This Row],[LoanStatus]]="Default",Loans[[#This Row],[LoanStatus]]="Watchlist",Loans[[#This Row],[CollateralRisk]]="Undersecured",Loans[[#This Row],[RiskCategory]]="High Risk"),"High Risk Exposure","Normal")</f>
        <v>High Risk Exposure</v>
      </c>
      <c r="T1990" t="str" cm="1">
        <f t="array" ref="T1990">_xlfn.IFS(
Loans[[#This Row],[LoanStatus]]="Default","Critical",
OR(Loans[[#This Row],[LoanStatus]]="Watchlist",Loans[[#This Row],[CollateralRisk]]="Undersecured",Loans[[#This Row],[RiskCategory]]="High Risk"),"High",
TRUE,"Normal"
)</f>
        <v>High</v>
      </c>
    </row>
    <row r="1991" spans="1:20" x14ac:dyDescent="0.35">
      <c r="A1991" t="s">
        <v>2828</v>
      </c>
      <c r="B1991" t="s">
        <v>281</v>
      </c>
      <c r="C1991" t="s">
        <v>196</v>
      </c>
      <c r="D1991" t="s">
        <v>157</v>
      </c>
      <c r="E1991" s="34">
        <v>6000000</v>
      </c>
      <c r="F1991" s="29">
        <v>0.1308</v>
      </c>
      <c r="G1991" s="30">
        <v>45415</v>
      </c>
      <c r="H1991">
        <v>60</v>
      </c>
      <c r="I1991">
        <v>10</v>
      </c>
      <c r="J1991" s="34">
        <v>3540000</v>
      </c>
      <c r="K1991" t="s">
        <v>171</v>
      </c>
      <c r="L1991" s="34">
        <f>PMT(Loans[[#This Row],[InterestRate]]/12,Loans[[#This Row],[LoanTenureMonths]],-Loans[[#This Row],[LoanAmount]])</f>
        <v>136764.28078465106</v>
      </c>
      <c r="M1991" s="30">
        <f>EDATE(Loans[[#This Row],[LoanStartDate]],Loans[[#This Row],[LoanTenureMonths]])</f>
        <v>47241</v>
      </c>
      <c r="N1991" s="33">
        <f>IF(Loans[[#This Row],[LoanAmount]]=0,0,Loans[[#This Row],[CollateralValue]]/Loans[[#This Row],[LoanAmount]])</f>
        <v>0.59</v>
      </c>
      <c r="O1991" t="str">
        <f>IF(Loans[[#This Row],[CollateralCoverageRatio]]&lt;1,"Undersecured","Secured")</f>
        <v>Undersecured</v>
      </c>
      <c r="P1991" t="str">
        <f>_xlfn.XLOOKUP(Loans[[#This Row],[BranchCode]],BranchesTbl[BranchCode],BranchesTbl[BranchName])</f>
        <v>Karen</v>
      </c>
      <c r="Q1991">
        <f>_xlfn.XLOOKUP(Loans[[#This Row],[CustomerID]],CustomerTbl[CustomerID],CustomerTbl[RiskScore])</f>
        <v>499</v>
      </c>
      <c r="R1991" t="str">
        <f>IFERROR(INDEX(RiskTbl[Risk_Category],MATCH(Loans[[#This Row],[RiskScore]],RiskTbl[Score_Min],1)),"Unknown")</f>
        <v>High Risk</v>
      </c>
      <c r="S1991" t="str">
        <f>IF(OR(Loans[[#This Row],[LoanStatus]]="Default",Loans[[#This Row],[LoanStatus]]="Watchlist",Loans[[#This Row],[CollateralRisk]]="Undersecured",Loans[[#This Row],[RiskCategory]]="High Risk"),"High Risk Exposure","Normal")</f>
        <v>High Risk Exposure</v>
      </c>
      <c r="T1991" t="str" cm="1">
        <f t="array" ref="T1991">_xlfn.IFS(
Loans[[#This Row],[LoanStatus]]="Default","Critical",
OR(Loans[[#This Row],[LoanStatus]]="Watchlist",Loans[[#This Row],[CollateralRisk]]="Undersecured",Loans[[#This Row],[RiskCategory]]="High Risk"),"High",
TRUE,"Normal"
)</f>
        <v>High</v>
      </c>
    </row>
    <row r="1992" spans="1:20" x14ac:dyDescent="0.35">
      <c r="A1992" t="s">
        <v>2829</v>
      </c>
      <c r="B1992" t="s">
        <v>2680</v>
      </c>
      <c r="C1992" t="s">
        <v>267</v>
      </c>
      <c r="D1992" t="s">
        <v>156</v>
      </c>
      <c r="E1992" s="34">
        <v>6000000</v>
      </c>
      <c r="F1992" s="29">
        <v>0.2203</v>
      </c>
      <c r="G1992" s="30">
        <v>45004</v>
      </c>
      <c r="H1992">
        <v>12</v>
      </c>
      <c r="I1992">
        <v>90</v>
      </c>
      <c r="J1992" s="34">
        <v>7740000</v>
      </c>
      <c r="K1992" t="s">
        <v>199</v>
      </c>
      <c r="L1992" s="34">
        <f>PMT(Loans[[#This Row],[InterestRate]]/12,Loans[[#This Row],[LoanTenureMonths]],-Loans[[#This Row],[LoanAmount]])</f>
        <v>561652.9108070347</v>
      </c>
      <c r="M1992" s="30">
        <f>EDATE(Loans[[#This Row],[LoanStartDate]],Loans[[#This Row],[LoanTenureMonths]])</f>
        <v>45370</v>
      </c>
      <c r="N1992" s="33">
        <f>IF(Loans[[#This Row],[LoanAmount]]=0,0,Loans[[#This Row],[CollateralValue]]/Loans[[#This Row],[LoanAmount]])</f>
        <v>1.29</v>
      </c>
      <c r="O1992" t="str">
        <f>IF(Loans[[#This Row],[CollateralCoverageRatio]]&lt;1,"Undersecured","Secured")</f>
        <v>Secured</v>
      </c>
      <c r="P1992" t="str">
        <f>_xlfn.XLOOKUP(Loans[[#This Row],[BranchCode]],BranchesTbl[BranchCode],BranchesTbl[BranchName])</f>
        <v>Malindi</v>
      </c>
      <c r="Q1992">
        <f>_xlfn.XLOOKUP(Loans[[#This Row],[CustomerID]],CustomerTbl[CustomerID],CustomerTbl[RiskScore])</f>
        <v>541</v>
      </c>
      <c r="R1992" t="str">
        <f>IFERROR(INDEX(RiskTbl[Risk_Category],MATCH(Loans[[#This Row],[RiskScore]],RiskTbl[Score_Min],1)),"Unknown")</f>
        <v>High Risk</v>
      </c>
      <c r="S1992" t="str">
        <f>IF(OR(Loans[[#This Row],[LoanStatus]]="Default",Loans[[#This Row],[LoanStatus]]="Watchlist",Loans[[#This Row],[CollateralRisk]]="Undersecured",Loans[[#This Row],[RiskCategory]]="High Risk"),"High Risk Exposure","Normal")</f>
        <v>High Risk Exposure</v>
      </c>
      <c r="T1992" t="str" cm="1">
        <f t="array" ref="T1992">_xlfn.IFS(
Loans[[#This Row],[LoanStatus]]="Default","Critical",
OR(Loans[[#This Row],[LoanStatus]]="Watchlist",Loans[[#This Row],[CollateralRisk]]="Undersecured",Loans[[#This Row],[RiskCategory]]="High Risk"),"High",
TRUE,"Normal"
)</f>
        <v>High</v>
      </c>
    </row>
    <row r="1993" spans="1:20" x14ac:dyDescent="0.35">
      <c r="A1993" t="s">
        <v>2830</v>
      </c>
      <c r="B1993" t="s">
        <v>1878</v>
      </c>
      <c r="C1993" t="s">
        <v>174</v>
      </c>
      <c r="D1993" t="s">
        <v>155</v>
      </c>
      <c r="E1993" s="34">
        <v>250000</v>
      </c>
      <c r="F1993" s="29">
        <v>0.17730000000000001</v>
      </c>
      <c r="G1993" s="30">
        <v>43995</v>
      </c>
      <c r="H1993">
        <v>72</v>
      </c>
      <c r="I1993">
        <v>90</v>
      </c>
      <c r="J1993" s="34">
        <v>0</v>
      </c>
      <c r="K1993" t="s">
        <v>199</v>
      </c>
      <c r="L1993" s="34">
        <f>PMT(Loans[[#This Row],[InterestRate]]/12,Loans[[#This Row],[LoanTenureMonths]],-Loans[[#This Row],[LoanAmount]])</f>
        <v>5663.8555311765595</v>
      </c>
      <c r="M1993" s="30">
        <f>EDATE(Loans[[#This Row],[LoanStartDate]],Loans[[#This Row],[LoanTenureMonths]])</f>
        <v>46186</v>
      </c>
      <c r="N1993" s="33">
        <f>IF(Loans[[#This Row],[LoanAmount]]=0,0,Loans[[#This Row],[CollateralValue]]/Loans[[#This Row],[LoanAmount]])</f>
        <v>0</v>
      </c>
      <c r="O1993" t="str">
        <f>IF(Loans[[#This Row],[CollateralCoverageRatio]]&lt;1,"Undersecured","Secured")</f>
        <v>Undersecured</v>
      </c>
      <c r="P1993" t="str">
        <f>_xlfn.XLOOKUP(Loans[[#This Row],[BranchCode]],BranchesTbl[BranchCode],BranchesTbl[BranchName])</f>
        <v>Westlands</v>
      </c>
      <c r="Q1993">
        <f>_xlfn.XLOOKUP(Loans[[#This Row],[CustomerID]],CustomerTbl[CustomerID],CustomerTbl[RiskScore])</f>
        <v>444</v>
      </c>
      <c r="R1993" t="str">
        <f>IFERROR(INDEX(RiskTbl[Risk_Category],MATCH(Loans[[#This Row],[RiskScore]],RiskTbl[Score_Min],1)),"Unknown")</f>
        <v>High Risk</v>
      </c>
      <c r="S1993" t="str">
        <f>IF(OR(Loans[[#This Row],[LoanStatus]]="Default",Loans[[#This Row],[LoanStatus]]="Watchlist",Loans[[#This Row],[CollateralRisk]]="Undersecured",Loans[[#This Row],[RiskCategory]]="High Risk"),"High Risk Exposure","Normal")</f>
        <v>High Risk Exposure</v>
      </c>
      <c r="T1993" t="str" cm="1">
        <f t="array" ref="T1993">_xlfn.IFS(
Loans[[#This Row],[LoanStatus]]="Default","Critical",
OR(Loans[[#This Row],[LoanStatus]]="Watchlist",Loans[[#This Row],[CollateralRisk]]="Undersecured",Loans[[#This Row],[RiskCategory]]="High Risk"),"High",
TRUE,"Normal"
)</f>
        <v>High</v>
      </c>
    </row>
    <row r="1994" spans="1:20" x14ac:dyDescent="0.35">
      <c r="A1994" t="s">
        <v>2831</v>
      </c>
      <c r="B1994" t="s">
        <v>1484</v>
      </c>
      <c r="C1994" t="s">
        <v>181</v>
      </c>
      <c r="D1994" t="s">
        <v>157</v>
      </c>
      <c r="E1994" s="34">
        <v>25000000</v>
      </c>
      <c r="F1994" s="29">
        <v>0.12230000000000001</v>
      </c>
      <c r="G1994" s="30">
        <v>45191</v>
      </c>
      <c r="H1994">
        <v>12</v>
      </c>
      <c r="I1994">
        <v>5</v>
      </c>
      <c r="J1994" s="34">
        <v>34000000</v>
      </c>
      <c r="K1994" t="s">
        <v>171</v>
      </c>
      <c r="L1994" s="34">
        <f>PMT(Loans[[#This Row],[InterestRate]]/12,Loans[[#This Row],[LoanTenureMonths]],-Loans[[#This Row],[LoanAmount]])</f>
        <v>2223910.5154308523</v>
      </c>
      <c r="M1994" s="30">
        <f>EDATE(Loans[[#This Row],[LoanStartDate]],Loans[[#This Row],[LoanTenureMonths]])</f>
        <v>45557</v>
      </c>
      <c r="N1994" s="33">
        <f>IF(Loans[[#This Row],[LoanAmount]]=0,0,Loans[[#This Row],[CollateralValue]]/Loans[[#This Row],[LoanAmount]])</f>
        <v>1.36</v>
      </c>
      <c r="O1994" t="str">
        <f>IF(Loans[[#This Row],[CollateralCoverageRatio]]&lt;1,"Undersecured","Secured")</f>
        <v>Secured</v>
      </c>
      <c r="P1994" t="str">
        <f>_xlfn.XLOOKUP(Loans[[#This Row],[BranchCode]],BranchesTbl[BranchCode],BranchesTbl[BranchName])</f>
        <v>Kitale</v>
      </c>
      <c r="Q1994">
        <f>_xlfn.XLOOKUP(Loans[[#This Row],[CustomerID]],CustomerTbl[CustomerID],CustomerTbl[RiskScore])</f>
        <v>554</v>
      </c>
      <c r="R1994" t="str">
        <f>IFERROR(INDEX(RiskTbl[Risk_Category],MATCH(Loans[[#This Row],[RiskScore]],RiskTbl[Score_Min],1)),"Unknown")</f>
        <v>High Risk</v>
      </c>
      <c r="S1994" t="str">
        <f>IF(OR(Loans[[#This Row],[LoanStatus]]="Default",Loans[[#This Row],[LoanStatus]]="Watchlist",Loans[[#This Row],[CollateralRisk]]="Undersecured",Loans[[#This Row],[RiskCategory]]="High Risk"),"High Risk Exposure","Normal")</f>
        <v>High Risk Exposure</v>
      </c>
      <c r="T1994" t="str" cm="1">
        <f t="array" ref="T1994">_xlfn.IFS(
Loans[[#This Row],[LoanStatus]]="Default","Critical",
OR(Loans[[#This Row],[LoanStatus]]="Watchlist",Loans[[#This Row],[CollateralRisk]]="Undersecured",Loans[[#This Row],[RiskCategory]]="High Risk"),"High",
TRUE,"Normal"
)</f>
        <v>High</v>
      </c>
    </row>
    <row r="1995" spans="1:20" x14ac:dyDescent="0.35">
      <c r="A1995" t="s">
        <v>2832</v>
      </c>
      <c r="B1995" t="s">
        <v>1127</v>
      </c>
      <c r="C1995" t="s">
        <v>270</v>
      </c>
      <c r="D1995" t="s">
        <v>155</v>
      </c>
      <c r="E1995" s="34">
        <v>1000000</v>
      </c>
      <c r="F1995" s="29">
        <v>0.27329999999999999</v>
      </c>
      <c r="G1995" s="30">
        <v>45964</v>
      </c>
      <c r="H1995">
        <v>24</v>
      </c>
      <c r="I1995">
        <v>0</v>
      </c>
      <c r="J1995" s="34">
        <v>0</v>
      </c>
      <c r="K1995" t="s">
        <v>171</v>
      </c>
      <c r="L1995" s="34">
        <f>PMT(Loans[[#This Row],[InterestRate]]/12,Loans[[#This Row],[LoanTenureMonths]],-Loans[[#This Row],[LoanAmount]])</f>
        <v>54547.669820710747</v>
      </c>
      <c r="M1995" s="30">
        <f>EDATE(Loans[[#This Row],[LoanStartDate]],Loans[[#This Row],[LoanTenureMonths]])</f>
        <v>46694</v>
      </c>
      <c r="N1995" s="33">
        <f>IF(Loans[[#This Row],[LoanAmount]]=0,0,Loans[[#This Row],[CollateralValue]]/Loans[[#This Row],[LoanAmount]])</f>
        <v>0</v>
      </c>
      <c r="O1995" t="str">
        <f>IF(Loans[[#This Row],[CollateralCoverageRatio]]&lt;1,"Undersecured","Secured")</f>
        <v>Undersecured</v>
      </c>
      <c r="P1995" t="str">
        <f>_xlfn.XLOOKUP(Loans[[#This Row],[BranchCode]],BranchesTbl[BranchCode],BranchesTbl[BranchName])</f>
        <v>Nakuru</v>
      </c>
      <c r="Q1995">
        <f>_xlfn.XLOOKUP(Loans[[#This Row],[CustomerID]],CustomerTbl[CustomerID],CustomerTbl[RiskScore])</f>
        <v>466</v>
      </c>
      <c r="R1995" t="str">
        <f>IFERROR(INDEX(RiskTbl[Risk_Category],MATCH(Loans[[#This Row],[RiskScore]],RiskTbl[Score_Min],1)),"Unknown")</f>
        <v>High Risk</v>
      </c>
      <c r="S1995" t="str">
        <f>IF(OR(Loans[[#This Row],[LoanStatus]]="Default",Loans[[#This Row],[LoanStatus]]="Watchlist",Loans[[#This Row],[CollateralRisk]]="Undersecured",Loans[[#This Row],[RiskCategory]]="High Risk"),"High Risk Exposure","Normal")</f>
        <v>High Risk Exposure</v>
      </c>
      <c r="T1995" t="str" cm="1">
        <f t="array" ref="T1995">_xlfn.IFS(
Loans[[#This Row],[LoanStatus]]="Default","Critical",
OR(Loans[[#This Row],[LoanStatus]]="Watchlist",Loans[[#This Row],[CollateralRisk]]="Undersecured",Loans[[#This Row],[RiskCategory]]="High Risk"),"High",
TRUE,"Normal"
)</f>
        <v>High</v>
      </c>
    </row>
    <row r="1996" spans="1:20" x14ac:dyDescent="0.35">
      <c r="A1996" t="s">
        <v>2833</v>
      </c>
      <c r="B1996" t="s">
        <v>1419</v>
      </c>
      <c r="C1996" t="s">
        <v>232</v>
      </c>
      <c r="D1996" t="s">
        <v>156</v>
      </c>
      <c r="E1996" s="34">
        <v>6000000</v>
      </c>
      <c r="F1996" s="29">
        <v>0.19089999999999999</v>
      </c>
      <c r="G1996" s="30">
        <v>44100</v>
      </c>
      <c r="H1996">
        <v>60</v>
      </c>
      <c r="I1996">
        <v>0</v>
      </c>
      <c r="J1996" s="34">
        <v>4140000</v>
      </c>
      <c r="K1996" t="s">
        <v>171</v>
      </c>
      <c r="L1996" s="34">
        <f>PMT(Loans[[#This Row],[InterestRate]]/12,Loans[[#This Row],[LoanTenureMonths]],-Loans[[#This Row],[LoanAmount]])</f>
        <v>155940.58666971273</v>
      </c>
      <c r="M1996" s="30">
        <f>EDATE(Loans[[#This Row],[LoanStartDate]],Loans[[#This Row],[LoanTenureMonths]])</f>
        <v>45926</v>
      </c>
      <c r="N1996" s="33">
        <f>IF(Loans[[#This Row],[LoanAmount]]=0,0,Loans[[#This Row],[CollateralValue]]/Loans[[#This Row],[LoanAmount]])</f>
        <v>0.69</v>
      </c>
      <c r="O1996" t="str">
        <f>IF(Loans[[#This Row],[CollateralCoverageRatio]]&lt;1,"Undersecured","Secured")</f>
        <v>Undersecured</v>
      </c>
      <c r="P1996" t="str">
        <f>_xlfn.XLOOKUP(Loans[[#This Row],[BranchCode]],BranchesTbl[BranchCode],BranchesTbl[BranchName])</f>
        <v>Upper Hill</v>
      </c>
      <c r="Q1996">
        <f>_xlfn.XLOOKUP(Loans[[#This Row],[CustomerID]],CustomerTbl[CustomerID],CustomerTbl[RiskScore])</f>
        <v>459</v>
      </c>
      <c r="R1996" t="str">
        <f>IFERROR(INDEX(RiskTbl[Risk_Category],MATCH(Loans[[#This Row],[RiskScore]],RiskTbl[Score_Min],1)),"Unknown")</f>
        <v>High Risk</v>
      </c>
      <c r="S1996" t="str">
        <f>IF(OR(Loans[[#This Row],[LoanStatus]]="Default",Loans[[#This Row],[LoanStatus]]="Watchlist",Loans[[#This Row],[CollateralRisk]]="Undersecured",Loans[[#This Row],[RiskCategory]]="High Risk"),"High Risk Exposure","Normal")</f>
        <v>High Risk Exposure</v>
      </c>
      <c r="T1996" t="str" cm="1">
        <f t="array" ref="T1996">_xlfn.IFS(
Loans[[#This Row],[LoanStatus]]="Default","Critical",
OR(Loans[[#This Row],[LoanStatus]]="Watchlist",Loans[[#This Row],[CollateralRisk]]="Undersecured",Loans[[#This Row],[RiskCategory]]="High Risk"),"High",
TRUE,"Normal"
)</f>
        <v>High</v>
      </c>
    </row>
    <row r="1997" spans="1:20" x14ac:dyDescent="0.35">
      <c r="A1997" t="s">
        <v>2834</v>
      </c>
      <c r="B1997" t="s">
        <v>1227</v>
      </c>
      <c r="C1997" t="s">
        <v>174</v>
      </c>
      <c r="D1997" t="s">
        <v>157</v>
      </c>
      <c r="E1997" s="34">
        <v>25000000</v>
      </c>
      <c r="F1997" s="29">
        <v>0.1203</v>
      </c>
      <c r="G1997" s="30">
        <v>45065</v>
      </c>
      <c r="H1997">
        <v>48</v>
      </c>
      <c r="I1997">
        <v>0</v>
      </c>
      <c r="J1997" s="34">
        <v>35250000</v>
      </c>
      <c r="K1997" t="s">
        <v>171</v>
      </c>
      <c r="L1997" s="34">
        <f>PMT(Loans[[#This Row],[InterestRate]]/12,Loans[[#This Row],[LoanTenureMonths]],-Loans[[#This Row],[LoanAmount]])</f>
        <v>658714.18928322778</v>
      </c>
      <c r="M1997" s="30">
        <f>EDATE(Loans[[#This Row],[LoanStartDate]],Loans[[#This Row],[LoanTenureMonths]])</f>
        <v>46526</v>
      </c>
      <c r="N1997" s="33">
        <f>IF(Loans[[#This Row],[LoanAmount]]=0,0,Loans[[#This Row],[CollateralValue]]/Loans[[#This Row],[LoanAmount]])</f>
        <v>1.41</v>
      </c>
      <c r="O1997" t="str">
        <f>IF(Loans[[#This Row],[CollateralCoverageRatio]]&lt;1,"Undersecured","Secured")</f>
        <v>Secured</v>
      </c>
      <c r="P1997" t="str">
        <f>_xlfn.XLOOKUP(Loans[[#This Row],[BranchCode]],BranchesTbl[BranchCode],BranchesTbl[BranchName])</f>
        <v>Westlands</v>
      </c>
      <c r="Q1997">
        <f>_xlfn.XLOOKUP(Loans[[#This Row],[CustomerID]],CustomerTbl[CustomerID],CustomerTbl[RiskScore])</f>
        <v>430</v>
      </c>
      <c r="R1997" t="str">
        <f>IFERROR(INDEX(RiskTbl[Risk_Category],MATCH(Loans[[#This Row],[RiskScore]],RiskTbl[Score_Min],1)),"Unknown")</f>
        <v>High Risk</v>
      </c>
      <c r="S1997" t="str">
        <f>IF(OR(Loans[[#This Row],[LoanStatus]]="Default",Loans[[#This Row],[LoanStatus]]="Watchlist",Loans[[#This Row],[CollateralRisk]]="Undersecured",Loans[[#This Row],[RiskCategory]]="High Risk"),"High Risk Exposure","Normal")</f>
        <v>High Risk Exposure</v>
      </c>
      <c r="T1997" t="str" cm="1">
        <f t="array" ref="T1997">_xlfn.IFS(
Loans[[#This Row],[LoanStatus]]="Default","Critical",
OR(Loans[[#This Row],[LoanStatus]]="Watchlist",Loans[[#This Row],[CollateralRisk]]="Undersecured",Loans[[#This Row],[RiskCategory]]="High Risk"),"High",
TRUE,"Normal"
)</f>
        <v>High</v>
      </c>
    </row>
    <row r="1998" spans="1:20" x14ac:dyDescent="0.35">
      <c r="A1998" t="s">
        <v>2835</v>
      </c>
      <c r="B1998" t="s">
        <v>964</v>
      </c>
      <c r="C1998" t="s">
        <v>267</v>
      </c>
      <c r="D1998" t="s">
        <v>156</v>
      </c>
      <c r="E1998" s="34">
        <v>3000000</v>
      </c>
      <c r="F1998" s="29">
        <v>0.23380000000000001</v>
      </c>
      <c r="G1998" s="30">
        <v>44090</v>
      </c>
      <c r="H1998">
        <v>12</v>
      </c>
      <c r="I1998">
        <v>90</v>
      </c>
      <c r="J1998" s="34">
        <v>3510000</v>
      </c>
      <c r="K1998" t="s">
        <v>199</v>
      </c>
      <c r="L1998" s="34">
        <f>PMT(Loans[[#This Row],[InterestRate]]/12,Loans[[#This Row],[LoanTenureMonths]],-Loans[[#This Row],[LoanAmount]])</f>
        <v>282779.4269052103</v>
      </c>
      <c r="M1998" s="30">
        <f>EDATE(Loans[[#This Row],[LoanStartDate]],Loans[[#This Row],[LoanTenureMonths]])</f>
        <v>44455</v>
      </c>
      <c r="N1998" s="33">
        <f>IF(Loans[[#This Row],[LoanAmount]]=0,0,Loans[[#This Row],[CollateralValue]]/Loans[[#This Row],[LoanAmount]])</f>
        <v>1.17</v>
      </c>
      <c r="O1998" t="str">
        <f>IF(Loans[[#This Row],[CollateralCoverageRatio]]&lt;1,"Undersecured","Secured")</f>
        <v>Secured</v>
      </c>
      <c r="P1998" t="str">
        <f>_xlfn.XLOOKUP(Loans[[#This Row],[BranchCode]],BranchesTbl[BranchCode],BranchesTbl[BranchName])</f>
        <v>Malindi</v>
      </c>
      <c r="Q1998">
        <f>_xlfn.XLOOKUP(Loans[[#This Row],[CustomerID]],CustomerTbl[CustomerID],CustomerTbl[RiskScore])</f>
        <v>718</v>
      </c>
      <c r="R1998" t="str">
        <f>IFERROR(INDEX(RiskTbl[Risk_Category],MATCH(Loans[[#This Row],[RiskScore]],RiskTbl[Score_Min],1)),"Unknown")</f>
        <v>Low Risk</v>
      </c>
      <c r="S1998" t="str">
        <f>IF(OR(Loans[[#This Row],[LoanStatus]]="Default",Loans[[#This Row],[LoanStatus]]="Watchlist",Loans[[#This Row],[CollateralRisk]]="Undersecured",Loans[[#This Row],[RiskCategory]]="High Risk"),"High Risk Exposure","Normal")</f>
        <v>High Risk Exposure</v>
      </c>
      <c r="T1998" t="str" cm="1">
        <f t="array" ref="T1998">_xlfn.IFS(
Loans[[#This Row],[LoanStatus]]="Default","Critical",
OR(Loans[[#This Row],[LoanStatus]]="Watchlist",Loans[[#This Row],[CollateralRisk]]="Undersecured",Loans[[#This Row],[RiskCategory]]="High Risk"),"High",
TRUE,"Normal"
)</f>
        <v>High</v>
      </c>
    </row>
    <row r="1999" spans="1:20" x14ac:dyDescent="0.35">
      <c r="A1999" t="s">
        <v>2836</v>
      </c>
      <c r="B1999" t="s">
        <v>404</v>
      </c>
      <c r="C1999" t="s">
        <v>170</v>
      </c>
      <c r="D1999" t="s">
        <v>158</v>
      </c>
      <c r="E1999" s="34">
        <v>3000000</v>
      </c>
      <c r="F1999" s="29">
        <v>0.1527</v>
      </c>
      <c r="G1999" s="30">
        <v>45674</v>
      </c>
      <c r="H1999">
        <v>72</v>
      </c>
      <c r="I1999">
        <v>90</v>
      </c>
      <c r="J1999" s="34">
        <v>2760000</v>
      </c>
      <c r="K1999" t="s">
        <v>199</v>
      </c>
      <c r="L1999" s="34">
        <f>PMT(Loans[[#This Row],[InterestRate]]/12,Loans[[#This Row],[LoanTenureMonths]],-Loans[[#This Row],[LoanAmount]])</f>
        <v>63875.747996106424</v>
      </c>
      <c r="M1999" s="30">
        <f>EDATE(Loans[[#This Row],[LoanStartDate]],Loans[[#This Row],[LoanTenureMonths]])</f>
        <v>47865</v>
      </c>
      <c r="N1999" s="33">
        <f>IF(Loans[[#This Row],[LoanAmount]]=0,0,Loans[[#This Row],[CollateralValue]]/Loans[[#This Row],[LoanAmount]])</f>
        <v>0.92</v>
      </c>
      <c r="O1999" t="str">
        <f>IF(Loans[[#This Row],[CollateralCoverageRatio]]&lt;1,"Undersecured","Secured")</f>
        <v>Undersecured</v>
      </c>
      <c r="P1999" t="str">
        <f>_xlfn.XLOOKUP(Loans[[#This Row],[BranchCode]],BranchesTbl[BranchCode],BranchesTbl[BranchName])</f>
        <v>Thika</v>
      </c>
      <c r="Q1999">
        <f>_xlfn.XLOOKUP(Loans[[#This Row],[CustomerID]],CustomerTbl[CustomerID],CustomerTbl[RiskScore])</f>
        <v>764</v>
      </c>
      <c r="R1999" t="str">
        <f>IFERROR(INDEX(RiskTbl[Risk_Category],MATCH(Loans[[#This Row],[RiskScore]],RiskTbl[Score_Min],1)),"Unknown")</f>
        <v>Very Low Risk</v>
      </c>
      <c r="S1999" t="str">
        <f>IF(OR(Loans[[#This Row],[LoanStatus]]="Default",Loans[[#This Row],[LoanStatus]]="Watchlist",Loans[[#This Row],[CollateralRisk]]="Undersecured",Loans[[#This Row],[RiskCategory]]="High Risk"),"High Risk Exposure","Normal")</f>
        <v>High Risk Exposure</v>
      </c>
      <c r="T1999" t="str" cm="1">
        <f t="array" ref="T1999">_xlfn.IFS(
Loans[[#This Row],[LoanStatus]]="Default","Critical",
OR(Loans[[#This Row],[LoanStatus]]="Watchlist",Loans[[#This Row],[CollateralRisk]]="Undersecured",Loans[[#This Row],[RiskCategory]]="High Risk"),"High",
TRUE,"Normal"
)</f>
        <v>High</v>
      </c>
    </row>
    <row r="2000" spans="1:20" x14ac:dyDescent="0.35">
      <c r="A2000" t="s">
        <v>2837</v>
      </c>
      <c r="B2000" t="s">
        <v>1030</v>
      </c>
      <c r="C2000" t="s">
        <v>239</v>
      </c>
      <c r="D2000" t="s">
        <v>157</v>
      </c>
      <c r="E2000" s="34">
        <v>80000000</v>
      </c>
      <c r="F2000" s="29">
        <v>0.1216</v>
      </c>
      <c r="G2000" s="30">
        <v>45244</v>
      </c>
      <c r="H2000">
        <v>12</v>
      </c>
      <c r="I2000">
        <v>10</v>
      </c>
      <c r="J2000" s="34">
        <v>113600000</v>
      </c>
      <c r="K2000" t="s">
        <v>171</v>
      </c>
      <c r="L2000" s="34">
        <f>PMT(Loans[[#This Row],[InterestRate]]/12,Loans[[#This Row],[LoanTenureMonths]],-Loans[[#This Row],[LoanAmount]])</f>
        <v>7113892.4378841519</v>
      </c>
      <c r="M2000" s="30">
        <f>EDATE(Loans[[#This Row],[LoanStartDate]],Loans[[#This Row],[LoanTenureMonths]])</f>
        <v>45610</v>
      </c>
      <c r="N2000" s="33">
        <f>IF(Loans[[#This Row],[LoanAmount]]=0,0,Loans[[#This Row],[CollateralValue]]/Loans[[#This Row],[LoanAmount]])</f>
        <v>1.42</v>
      </c>
      <c r="O2000" t="str">
        <f>IF(Loans[[#This Row],[CollateralCoverageRatio]]&lt;1,"Undersecured","Secured")</f>
        <v>Secured</v>
      </c>
      <c r="P2000" t="str">
        <f>_xlfn.XLOOKUP(Loans[[#This Row],[BranchCode]],BranchesTbl[BranchCode],BranchesTbl[BranchName])</f>
        <v>Machakos</v>
      </c>
      <c r="Q2000">
        <f>_xlfn.XLOOKUP(Loans[[#This Row],[CustomerID]],CustomerTbl[CustomerID],CustomerTbl[RiskScore])</f>
        <v>343</v>
      </c>
      <c r="R2000" t="str">
        <f>IFERROR(INDEX(RiskTbl[Risk_Category],MATCH(Loans[[#This Row],[RiskScore]],RiskTbl[Score_Min],1)),"Unknown")</f>
        <v>High Risk</v>
      </c>
      <c r="S2000" t="str">
        <f>IF(OR(Loans[[#This Row],[LoanStatus]]="Default",Loans[[#This Row],[LoanStatus]]="Watchlist",Loans[[#This Row],[CollateralRisk]]="Undersecured",Loans[[#This Row],[RiskCategory]]="High Risk"),"High Risk Exposure","Normal")</f>
        <v>High Risk Exposure</v>
      </c>
      <c r="T2000" t="str" cm="1">
        <f t="array" ref="T2000">_xlfn.IFS(
Loans[[#This Row],[LoanStatus]]="Default","Critical",
OR(Loans[[#This Row],[LoanStatus]]="Watchlist",Loans[[#This Row],[CollateralRisk]]="Undersecured",Loans[[#This Row],[RiskCategory]]="High Risk"),"High",
TRUE,"Normal"
)</f>
        <v>High</v>
      </c>
    </row>
    <row r="2001" spans="1:20" x14ac:dyDescent="0.35">
      <c r="A2001" t="s">
        <v>2838</v>
      </c>
      <c r="B2001" t="s">
        <v>2114</v>
      </c>
      <c r="C2001" t="s">
        <v>190</v>
      </c>
      <c r="D2001" t="s">
        <v>158</v>
      </c>
      <c r="E2001" s="34">
        <v>6000000</v>
      </c>
      <c r="F2001" s="29">
        <v>0.19389999999999999</v>
      </c>
      <c r="G2001" s="30">
        <v>44607</v>
      </c>
      <c r="H2001">
        <v>72</v>
      </c>
      <c r="I2001">
        <v>5</v>
      </c>
      <c r="J2001" s="34">
        <v>5280000</v>
      </c>
      <c r="K2001" t="s">
        <v>171</v>
      </c>
      <c r="L2001" s="34">
        <f>PMT(Loans[[#This Row],[InterestRate]]/12,Loans[[#This Row],[LoanTenureMonths]],-Loans[[#This Row],[LoanAmount]])</f>
        <v>141603.33494610581</v>
      </c>
      <c r="M2001" s="30">
        <f>EDATE(Loans[[#This Row],[LoanStartDate]],Loans[[#This Row],[LoanTenureMonths]])</f>
        <v>46798</v>
      </c>
      <c r="N2001" s="33">
        <f>IF(Loans[[#This Row],[LoanAmount]]=0,0,Loans[[#This Row],[CollateralValue]]/Loans[[#This Row],[LoanAmount]])</f>
        <v>0.88</v>
      </c>
      <c r="O2001" t="str">
        <f>IF(Loans[[#This Row],[CollateralCoverageRatio]]&lt;1,"Undersecured","Secured")</f>
        <v>Undersecured</v>
      </c>
      <c r="P2001" t="str">
        <f>_xlfn.XLOOKUP(Loans[[#This Row],[BranchCode]],BranchesTbl[BranchCode],BranchesTbl[BranchName])</f>
        <v>Nyeri</v>
      </c>
      <c r="Q2001">
        <f>_xlfn.XLOOKUP(Loans[[#This Row],[CustomerID]],CustomerTbl[CustomerID],CustomerTbl[RiskScore])</f>
        <v>601</v>
      </c>
      <c r="R2001" t="str">
        <f>IFERROR(INDEX(RiskTbl[Risk_Category],MATCH(Loans[[#This Row],[RiskScore]],RiskTbl[Score_Min],1)),"Unknown")</f>
        <v>Medium Risk</v>
      </c>
      <c r="S2001" t="str">
        <f>IF(OR(Loans[[#This Row],[LoanStatus]]="Default",Loans[[#This Row],[LoanStatus]]="Watchlist",Loans[[#This Row],[CollateralRisk]]="Undersecured",Loans[[#This Row],[RiskCategory]]="High Risk"),"High Risk Exposure","Normal")</f>
        <v>High Risk Exposure</v>
      </c>
      <c r="T2001" t="str" cm="1">
        <f t="array" ref="T2001">_xlfn.IFS(
Loans[[#This Row],[LoanStatus]]="Default","Critical",
OR(Loans[[#This Row],[LoanStatus]]="Watchlist",Loans[[#This Row],[CollateralRisk]]="Undersecured",Loans[[#This Row],[RiskCategory]]="High Risk"),"High",
TRUE,"Normal"
)</f>
        <v>High</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D9F31-8AAF-4CCE-A8EC-60938C0A05CD}">
  <dimension ref="A1:G74"/>
  <sheetViews>
    <sheetView workbookViewId="0">
      <selection activeCell="H68" sqref="H68"/>
    </sheetView>
  </sheetViews>
  <sheetFormatPr defaultRowHeight="14.5" x14ac:dyDescent="0.35"/>
  <cols>
    <col min="1" max="1" width="12.08984375" bestFit="1" customWidth="1"/>
    <col min="2" max="2" width="17" bestFit="1" customWidth="1"/>
    <col min="3" max="3" width="17.1796875" customWidth="1"/>
    <col min="4" max="4" width="14.26953125" bestFit="1" customWidth="1"/>
    <col min="5" max="6" width="17.08984375" bestFit="1" customWidth="1"/>
    <col min="7" max="7" width="17.90625" bestFit="1" customWidth="1"/>
  </cols>
  <sheetData>
    <row r="1" spans="1:7" x14ac:dyDescent="0.35">
      <c r="A1" s="45" t="s">
        <v>2842</v>
      </c>
      <c r="B1" s="47">
        <f>SUM(Loans[LoanAmount])</f>
        <v>23004100000</v>
      </c>
    </row>
    <row r="2" spans="1:7" x14ac:dyDescent="0.35">
      <c r="A2" s="45" t="s">
        <v>2843</v>
      </c>
      <c r="B2" s="44">
        <f>COUNTA(Loans[LoanID])</f>
        <v>2000</v>
      </c>
    </row>
    <row r="3" spans="1:7" x14ac:dyDescent="0.35">
      <c r="A3" s="45" t="s">
        <v>2844</v>
      </c>
      <c r="B3" s="47">
        <f>SUMIFS(Loans[LoanAmount],Loans[LoanStatus],"Default")</f>
        <v>2073150000</v>
      </c>
    </row>
    <row r="4" spans="1:7" x14ac:dyDescent="0.35">
      <c r="A4" s="45" t="s">
        <v>2845</v>
      </c>
      <c r="B4" s="48">
        <f>COUNTIFS(Loans[LoanStatus],"Default")/COUNTA(Loans[LoanID])</f>
        <v>0.09</v>
      </c>
    </row>
    <row r="5" spans="1:7" x14ac:dyDescent="0.35">
      <c r="A5" s="45" t="s">
        <v>2847</v>
      </c>
      <c r="B5" s="47">
        <f>SUMIFS(Loans[LoanAmount],Loans[ExposureRiskFlag],"High Risk Exposure")</f>
        <v>19161100000</v>
      </c>
    </row>
    <row r="6" spans="1:7" x14ac:dyDescent="0.35">
      <c r="A6" s="45" t="s">
        <v>2848</v>
      </c>
      <c r="B6" s="44">
        <f>COUNTIFS(Loans[ExposureRiskFlag],"High Risk Exposure")</f>
        <v>1729</v>
      </c>
    </row>
    <row r="9" spans="1:7" x14ac:dyDescent="0.35">
      <c r="A9" s="8" t="s">
        <v>2851</v>
      </c>
      <c r="B9" s="8" t="s">
        <v>2852</v>
      </c>
      <c r="C9" s="3" t="s">
        <v>2844</v>
      </c>
      <c r="D9" s="3" t="s">
        <v>2845</v>
      </c>
      <c r="F9" s="40" t="s">
        <v>2851</v>
      </c>
      <c r="G9" s="41" t="s">
        <v>2844</v>
      </c>
    </row>
    <row r="10" spans="1:7" x14ac:dyDescent="0.35">
      <c r="A10" t="s">
        <v>132</v>
      </c>
      <c r="B10" s="37">
        <f>SUMIFS(Loans[LoanAmount],Loans[BranchName],A10)</f>
        <v>1365650000</v>
      </c>
      <c r="C10" s="34">
        <f>SUMIFS(Loans[LoanAmount],Loans[BranchName],A10,Loans[LoanStatus],"Default")</f>
        <v>56100000</v>
      </c>
      <c r="D10" s="29">
        <f>COUNTIFS(Loans[BranchName],A10,Loans[LoanStatus],"Default")/
COUNTIFS(Loans[BranchName],A10)</f>
        <v>7.3770491803278687E-2</v>
      </c>
      <c r="F10" s="39" t="s">
        <v>132</v>
      </c>
      <c r="G10" s="42">
        <f>SUMIFS(Loans[LoanAmount],Loans[BranchName],A10,Loans[LoanStatus],"Default")</f>
        <v>56100000</v>
      </c>
    </row>
    <row r="11" spans="1:7" x14ac:dyDescent="0.35">
      <c r="A11" t="s">
        <v>133</v>
      </c>
      <c r="B11" s="37">
        <f>SUMIFS(Loans[LoanAmount],Loans[BranchName],A11)</f>
        <v>1633300000</v>
      </c>
      <c r="C11" s="34">
        <f>SUMIFS(Loans[LoanAmount],Loans[BranchName],A11,Loans[LoanStatus],"Default")</f>
        <v>26450000</v>
      </c>
      <c r="D11" s="29">
        <f>COUNTIFS(Loans[BranchName],A11,Loans[LoanStatus],"Default")/
COUNTIFS(Loans[BranchName],A11)</f>
        <v>4.065040650406504E-2</v>
      </c>
      <c r="F11" s="38" t="s">
        <v>133</v>
      </c>
      <c r="G11" s="42">
        <f>SUMIFS(Loans[LoanAmount],Loans[BranchName],A11,Loans[LoanStatus],"Default")</f>
        <v>26450000</v>
      </c>
    </row>
    <row r="12" spans="1:7" x14ac:dyDescent="0.35">
      <c r="A12" t="s">
        <v>146</v>
      </c>
      <c r="B12" s="37">
        <f>SUMIFS(Loans[LoanAmount],Loans[BranchName],A12)</f>
        <v>1613350000</v>
      </c>
      <c r="C12" s="34">
        <f>SUMIFS(Loans[LoanAmount],Loans[BranchName],A12,Loans[LoanStatus],"Default")</f>
        <v>14600000</v>
      </c>
      <c r="D12" s="29">
        <f>COUNTIFS(Loans[BranchName],A12,Loans[LoanStatus],"Default")/
COUNTIFS(Loans[BranchName],A12)</f>
        <v>5.9322033898305086E-2</v>
      </c>
      <c r="F12" s="39" t="s">
        <v>146</v>
      </c>
      <c r="G12" s="42">
        <f>SUMIFS(Loans[LoanAmount],Loans[BranchName],A12,Loans[LoanStatus],"Default")</f>
        <v>14600000</v>
      </c>
    </row>
    <row r="13" spans="1:7" x14ac:dyDescent="0.35">
      <c r="A13" t="s">
        <v>134</v>
      </c>
      <c r="B13" s="37">
        <f>SUMIFS(Loans[LoanAmount],Loans[BranchName],A13)</f>
        <v>1254250000</v>
      </c>
      <c r="C13" s="34">
        <f>SUMIFS(Loans[LoanAmount],Loans[BranchName],A13,Loans[LoanStatus],"Default")</f>
        <v>107250000</v>
      </c>
      <c r="D13" s="29">
        <f>COUNTIFS(Loans[BranchName],A13,Loans[LoanStatus],"Default")/
COUNTIFS(Loans[BranchName],A13)</f>
        <v>9.1603053435114504E-2</v>
      </c>
      <c r="F13" s="38" t="s">
        <v>134</v>
      </c>
      <c r="G13" s="42">
        <f>SUMIFS(Loans[LoanAmount],Loans[BranchName],A13,Loans[LoanStatus],"Default")</f>
        <v>107250000</v>
      </c>
    </row>
    <row r="14" spans="1:7" x14ac:dyDescent="0.35">
      <c r="A14" t="s">
        <v>135</v>
      </c>
      <c r="B14" s="37">
        <f>SUMIFS(Loans[LoanAmount],Loans[BranchName],A14)</f>
        <v>1771600000</v>
      </c>
      <c r="C14" s="34">
        <f>SUMIFS(Loans[LoanAmount],Loans[BranchName],A14,Loans[LoanStatus],"Default")</f>
        <v>163100000</v>
      </c>
      <c r="D14" s="29">
        <f>COUNTIFS(Loans[BranchName],A14,Loans[LoanStatus],"Default")/
COUNTIFS(Loans[BranchName],A14)</f>
        <v>5.6962025316455694E-2</v>
      </c>
      <c r="F14" s="39" t="s">
        <v>135</v>
      </c>
      <c r="G14" s="42">
        <f>SUMIFS(Loans[LoanAmount],Loans[BranchName],A14,Loans[LoanStatus],"Default")</f>
        <v>163100000</v>
      </c>
    </row>
    <row r="15" spans="1:7" x14ac:dyDescent="0.35">
      <c r="A15" t="s">
        <v>136</v>
      </c>
      <c r="B15" s="37">
        <f>SUMIFS(Loans[LoanAmount],Loans[BranchName],A15)</f>
        <v>1932750000</v>
      </c>
      <c r="C15" s="34">
        <f>SUMIFS(Loans[LoanAmount],Loans[BranchName],A15,Loans[LoanStatus],"Default")</f>
        <v>227350000</v>
      </c>
      <c r="D15" s="29">
        <f>COUNTIFS(Loans[BranchName],A15,Loans[LoanStatus],"Default")/
COUNTIFS(Loans[BranchName],A15)</f>
        <v>9.9236641221374045E-2</v>
      </c>
      <c r="F15" s="38" t="s">
        <v>136</v>
      </c>
      <c r="G15" s="42">
        <f>SUMIFS(Loans[LoanAmount],Loans[BranchName],A15,Loans[LoanStatus],"Default")</f>
        <v>227350000</v>
      </c>
    </row>
    <row r="16" spans="1:7" x14ac:dyDescent="0.35">
      <c r="A16" t="s">
        <v>137</v>
      </c>
      <c r="B16" s="37">
        <f>SUMIFS(Loans[LoanAmount],Loans[BranchName],A16)</f>
        <v>1404450000</v>
      </c>
      <c r="C16" s="34">
        <f>SUMIFS(Loans[LoanAmount],Loans[BranchName],A16,Loans[LoanStatus],"Default")</f>
        <v>62350000</v>
      </c>
      <c r="D16" s="29">
        <f>COUNTIFS(Loans[BranchName],A16,Loans[LoanStatus],"Default")/
COUNTIFS(Loans[BranchName],A16)</f>
        <v>9.9337748344370855E-2</v>
      </c>
      <c r="F16" s="39" t="s">
        <v>137</v>
      </c>
      <c r="G16" s="42">
        <f>SUMIFS(Loans[LoanAmount],Loans[BranchName],A16,Loans[LoanStatus],"Default")</f>
        <v>62350000</v>
      </c>
    </row>
    <row r="17" spans="1:7" x14ac:dyDescent="0.35">
      <c r="A17" t="s">
        <v>138</v>
      </c>
      <c r="B17" s="37">
        <f>SUMIFS(Loans[LoanAmount],Loans[BranchName],A17)</f>
        <v>1621000000</v>
      </c>
      <c r="C17" s="34">
        <f>SUMIFS(Loans[LoanAmount],Loans[BranchName],A17,Loans[LoanStatus],"Default")</f>
        <v>130500000</v>
      </c>
      <c r="D17" s="29">
        <f>COUNTIFS(Loans[BranchName],A17,Loans[LoanStatus],"Default")/
COUNTIFS(Loans[BranchName],A17)</f>
        <v>7.3170731707317069E-2</v>
      </c>
      <c r="F17" s="38" t="s">
        <v>138</v>
      </c>
      <c r="G17" s="42">
        <f>SUMIFS(Loans[LoanAmount],Loans[BranchName],A17,Loans[LoanStatus],"Default")</f>
        <v>130500000</v>
      </c>
    </row>
    <row r="18" spans="1:7" x14ac:dyDescent="0.35">
      <c r="A18" t="s">
        <v>139</v>
      </c>
      <c r="B18" s="37">
        <f>SUMIFS(Loans[LoanAmount],Loans[BranchName],A18)</f>
        <v>1720500000</v>
      </c>
      <c r="C18" s="34">
        <f>SUMIFS(Loans[LoanAmount],Loans[BranchName],A18,Loans[LoanStatus],"Default")</f>
        <v>114200000</v>
      </c>
      <c r="D18" s="29">
        <f>COUNTIFS(Loans[BranchName],A18,Loans[LoanStatus],"Default")/
COUNTIFS(Loans[BranchName],A18)</f>
        <v>5.9602649006622516E-2</v>
      </c>
      <c r="F18" s="39" t="s">
        <v>139</v>
      </c>
      <c r="G18" s="42">
        <f>SUMIFS(Loans[LoanAmount],Loans[BranchName],A18,Loans[LoanStatus],"Default")</f>
        <v>114200000</v>
      </c>
    </row>
    <row r="19" spans="1:7" x14ac:dyDescent="0.35">
      <c r="A19" t="s">
        <v>140</v>
      </c>
      <c r="B19" s="37">
        <f>SUMIFS(Loans[LoanAmount],Loans[BranchName],A19)</f>
        <v>1809000000</v>
      </c>
      <c r="C19" s="34">
        <f>SUMIFS(Loans[LoanAmount],Loans[BranchName],A19,Loans[LoanStatus],"Default")</f>
        <v>219850000</v>
      </c>
      <c r="D19" s="29">
        <f>COUNTIFS(Loans[BranchName],A19,Loans[LoanStatus],"Default")/
COUNTIFS(Loans[BranchName],A19)</f>
        <v>0.12408759124087591</v>
      </c>
      <c r="F19" s="38" t="s">
        <v>140</v>
      </c>
      <c r="G19" s="42">
        <f>SUMIFS(Loans[LoanAmount],Loans[BranchName],A19,Loans[LoanStatus],"Default")</f>
        <v>219850000</v>
      </c>
    </row>
    <row r="20" spans="1:7" x14ac:dyDescent="0.35">
      <c r="A20" t="s">
        <v>141</v>
      </c>
      <c r="B20" s="37">
        <f>SUMIFS(Loans[LoanAmount],Loans[BranchName],A20)</f>
        <v>1357000000</v>
      </c>
      <c r="C20" s="34">
        <f>SUMIFS(Loans[LoanAmount],Loans[BranchName],A20,Loans[LoanStatus],"Default")</f>
        <v>206600000</v>
      </c>
      <c r="D20" s="29">
        <f>COUNTIFS(Loans[BranchName],A20,Loans[LoanStatus],"Default")/
COUNTIFS(Loans[BranchName],A20)</f>
        <v>0.11363636363636363</v>
      </c>
      <c r="F20" s="39" t="s">
        <v>141</v>
      </c>
      <c r="G20" s="42">
        <f>SUMIFS(Loans[LoanAmount],Loans[BranchName],A20,Loans[LoanStatus],"Default")</f>
        <v>206600000</v>
      </c>
    </row>
    <row r="21" spans="1:7" x14ac:dyDescent="0.35">
      <c r="A21" t="s">
        <v>142</v>
      </c>
      <c r="B21" s="37">
        <f>SUMIFS(Loans[LoanAmount],Loans[BranchName],A21)</f>
        <v>1655200000</v>
      </c>
      <c r="C21" s="34">
        <f>SUMIFS(Loans[LoanAmount],Loans[BranchName],A21,Loans[LoanStatus],"Default")</f>
        <v>206700000</v>
      </c>
      <c r="D21" s="29">
        <f>COUNTIFS(Loans[BranchName],A21,Loans[LoanStatus],"Default")/
COUNTIFS(Loans[BranchName],A21)</f>
        <v>9.9337748344370855E-2</v>
      </c>
      <c r="F21" s="38" t="s">
        <v>142</v>
      </c>
      <c r="G21" s="42">
        <f>SUMIFS(Loans[LoanAmount],Loans[BranchName],A21,Loans[LoanStatus],"Default")</f>
        <v>206700000</v>
      </c>
    </row>
    <row r="22" spans="1:7" x14ac:dyDescent="0.35">
      <c r="A22" t="s">
        <v>143</v>
      </c>
      <c r="B22" s="37">
        <f>SUMIFS(Loans[LoanAmount],Loans[BranchName],A22)</f>
        <v>1199750000</v>
      </c>
      <c r="C22" s="34">
        <f>SUMIFS(Loans[LoanAmount],Loans[BranchName],A22,Loans[LoanStatus],"Default")</f>
        <v>222500000</v>
      </c>
      <c r="D22" s="29">
        <f>COUNTIFS(Loans[BranchName],A22,Loans[LoanStatus],"Default")/
COUNTIFS(Loans[BranchName],A22)</f>
        <v>0.11578947368421053</v>
      </c>
      <c r="F22" s="39" t="s">
        <v>143</v>
      </c>
      <c r="G22" s="42">
        <f>SUMIFS(Loans[LoanAmount],Loans[BranchName],A22,Loans[LoanStatus],"Default")</f>
        <v>222500000</v>
      </c>
    </row>
    <row r="23" spans="1:7" x14ac:dyDescent="0.35">
      <c r="A23" t="s">
        <v>144</v>
      </c>
      <c r="B23" s="37">
        <f>SUMIFS(Loans[LoanAmount],Loans[BranchName],A23)</f>
        <v>1010400000</v>
      </c>
      <c r="C23" s="34">
        <f>SUMIFS(Loans[LoanAmount],Loans[BranchName],A23,Loans[LoanStatus],"Default")</f>
        <v>102000000</v>
      </c>
      <c r="D23" s="29">
        <f>COUNTIFS(Loans[BranchName],A23,Loans[LoanStatus],"Default")/
COUNTIFS(Loans[BranchName],A23)</f>
        <v>0.13114754098360656</v>
      </c>
      <c r="F23" s="38" t="s">
        <v>144</v>
      </c>
      <c r="G23" s="42">
        <f>SUMIFS(Loans[LoanAmount],Loans[BranchName],A23,Loans[LoanStatus],"Default")</f>
        <v>102000000</v>
      </c>
    </row>
    <row r="24" spans="1:7" x14ac:dyDescent="0.35">
      <c r="A24" t="s">
        <v>145</v>
      </c>
      <c r="B24" s="37">
        <f>SUMIFS(Loans[LoanAmount],Loans[BranchName],A24)</f>
        <v>1655900000</v>
      </c>
      <c r="C24" s="34">
        <f>SUMIFS(Loans[LoanAmount],Loans[BranchName],A24,Loans[LoanStatus],"Default")</f>
        <v>213600000</v>
      </c>
      <c r="D24" s="29">
        <f>COUNTIFS(Loans[BranchName],A24,Loans[LoanStatus],"Default")/
COUNTIFS(Loans[BranchName],A24)</f>
        <v>0.11612903225806452</v>
      </c>
      <c r="F24" s="39" t="s">
        <v>145</v>
      </c>
      <c r="G24" s="42">
        <f>SUMIFS(Loans[LoanAmount],Loans[BranchName],A24,Loans[LoanStatus],"Default")</f>
        <v>213600000</v>
      </c>
    </row>
    <row r="27" spans="1:7" x14ac:dyDescent="0.35">
      <c r="A27" s="8" t="s">
        <v>2855</v>
      </c>
      <c r="B27" s="8" t="s">
        <v>2852</v>
      </c>
    </row>
    <row r="28" spans="1:7" x14ac:dyDescent="0.35">
      <c r="A28" s="9" t="s">
        <v>156</v>
      </c>
      <c r="B28" s="43">
        <f>SUMIFS(Loans[LoanAmount],Loans[LoanType],A28)</f>
        <v>4651000000</v>
      </c>
    </row>
    <row r="29" spans="1:7" x14ac:dyDescent="0.35">
      <c r="A29" s="9" t="s">
        <v>155</v>
      </c>
      <c r="B29" s="43">
        <f>SUMIFS(Loans[LoanAmount],Loans[LoanType],A29)</f>
        <v>236100000</v>
      </c>
    </row>
    <row r="30" spans="1:7" x14ac:dyDescent="0.35">
      <c r="A30" s="9" t="s">
        <v>157</v>
      </c>
      <c r="B30" s="43">
        <f>SUMIFS(Loans[LoanAmount],Loans[LoanType],A30)</f>
        <v>16797000000</v>
      </c>
    </row>
    <row r="31" spans="1:7" x14ac:dyDescent="0.35">
      <c r="A31" s="9" t="s">
        <v>158</v>
      </c>
      <c r="B31" s="43">
        <f>SUMIFS(Loans[LoanAmount],Loans[LoanType],A31)</f>
        <v>1320000000</v>
      </c>
    </row>
    <row r="35" spans="1:5" x14ac:dyDescent="0.35">
      <c r="A35" s="3" t="s">
        <v>2859</v>
      </c>
    </row>
    <row r="36" spans="1:5" x14ac:dyDescent="0.35">
      <c r="A36" s="46" t="s">
        <v>2856</v>
      </c>
      <c r="B36" s="46" t="s">
        <v>2851</v>
      </c>
      <c r="C36" s="46" t="s">
        <v>2855</v>
      </c>
      <c r="D36" s="46" t="s">
        <v>2857</v>
      </c>
      <c r="E36" s="46" t="s">
        <v>2858</v>
      </c>
    </row>
    <row r="37" spans="1:5" x14ac:dyDescent="0.35">
      <c r="A37" s="44" t="str" cm="1">
        <f t="array" ref="A37:D46">INDEX(
_xlfn._xlws.SORT(
_xlfn._xlws.FILTER(Loans[[CustomerID]:[LoanAmount]],Loans[RiskCategory]="High Risk"),
4,-1
),
_xlfn.SEQUENCE(10),
{1,2,3,4}
)</f>
        <v>C0189</v>
      </c>
      <c r="B37" s="44" t="str">
        <v>B13</v>
      </c>
      <c r="C37" s="44" t="str">
        <v>Mortgage</v>
      </c>
      <c r="D37" s="49">
        <v>80000000</v>
      </c>
      <c r="E37" s="44" t="str">
        <f>_xlfn.XLOOKUP(B37,BranchesTbl[BranchCode],BranchesTbl[BranchName])</f>
        <v>Naivasha</v>
      </c>
    </row>
    <row r="38" spans="1:5" x14ac:dyDescent="0.35">
      <c r="A38" s="44" t="str">
        <v>C0172</v>
      </c>
      <c r="B38" s="44" t="str">
        <v>B05</v>
      </c>
      <c r="C38" s="44" t="str">
        <v>Mortgage</v>
      </c>
      <c r="D38" s="49">
        <v>80000000</v>
      </c>
      <c r="E38" s="44" t="str">
        <f>_xlfn.XLOOKUP(B38,BranchesTbl[BranchCode],BranchesTbl[BranchName])</f>
        <v>Kisumu</v>
      </c>
    </row>
    <row r="39" spans="1:5" x14ac:dyDescent="0.35">
      <c r="A39" s="44" t="str">
        <v>C0408</v>
      </c>
      <c r="B39" s="44" t="str">
        <v>B15</v>
      </c>
      <c r="C39" s="44" t="str">
        <v>Mortgage</v>
      </c>
      <c r="D39" s="49">
        <v>80000000</v>
      </c>
      <c r="E39" s="44" t="str">
        <f>_xlfn.XLOOKUP(B39,BranchesTbl[BranchCode],BranchesTbl[BranchName])</f>
        <v>Nyahururu</v>
      </c>
    </row>
    <row r="40" spans="1:5" x14ac:dyDescent="0.35">
      <c r="A40" s="44" t="str">
        <v>C0083</v>
      </c>
      <c r="B40" s="44" t="str">
        <v>B01</v>
      </c>
      <c r="C40" s="44" t="str">
        <v>Mortgage</v>
      </c>
      <c r="D40" s="49">
        <v>80000000</v>
      </c>
      <c r="E40" s="44" t="str">
        <f>_xlfn.XLOOKUP(B40,BranchesTbl[BranchCode],BranchesTbl[BranchName])</f>
        <v>Westlands</v>
      </c>
    </row>
    <row r="41" spans="1:5" x14ac:dyDescent="0.35">
      <c r="A41" s="44" t="str">
        <v>C0274</v>
      </c>
      <c r="B41" s="44" t="str">
        <v>B08</v>
      </c>
      <c r="C41" s="44" t="str">
        <v>Mortgage</v>
      </c>
      <c r="D41" s="49">
        <v>80000000</v>
      </c>
      <c r="E41" s="44" t="str">
        <f>_xlfn.XLOOKUP(B41,BranchesTbl[BranchCode],BranchesTbl[BranchName])</f>
        <v>Eldoret</v>
      </c>
    </row>
    <row r="42" spans="1:5" x14ac:dyDescent="0.35">
      <c r="A42" s="44" t="str">
        <v>C0497</v>
      </c>
      <c r="B42" s="44" t="str">
        <v>B15</v>
      </c>
      <c r="C42" s="44" t="str">
        <v>Mortgage</v>
      </c>
      <c r="D42" s="49">
        <v>80000000</v>
      </c>
      <c r="E42" s="44" t="str">
        <f>_xlfn.XLOOKUP(B42,BranchesTbl[BranchCode],BranchesTbl[BranchName])</f>
        <v>Nyahururu</v>
      </c>
    </row>
    <row r="43" spans="1:5" x14ac:dyDescent="0.35">
      <c r="A43" s="44" t="str">
        <v>C0490</v>
      </c>
      <c r="B43" s="44" t="str">
        <v>B03</v>
      </c>
      <c r="C43" s="44" t="str">
        <v>Mortgage</v>
      </c>
      <c r="D43" s="49">
        <v>80000000</v>
      </c>
      <c r="E43" s="44" t="str">
        <f>_xlfn.XLOOKUP(B43,BranchesTbl[BranchCode],BranchesTbl[BranchName])</f>
        <v>Mombasa</v>
      </c>
    </row>
    <row r="44" spans="1:5" x14ac:dyDescent="0.35">
      <c r="A44" s="44" t="str">
        <v>C0581</v>
      </c>
      <c r="B44" s="44" t="str">
        <v>B11</v>
      </c>
      <c r="C44" s="44" t="str">
        <v>Mortgage</v>
      </c>
      <c r="D44" s="49">
        <v>80000000</v>
      </c>
      <c r="E44" s="44" t="str">
        <f>_xlfn.XLOOKUP(B44,BranchesTbl[BranchCode],BranchesTbl[BranchName])</f>
        <v>Meru</v>
      </c>
    </row>
    <row r="45" spans="1:5" x14ac:dyDescent="0.35">
      <c r="A45" s="44" t="str">
        <v>C0439</v>
      </c>
      <c r="B45" s="44" t="str">
        <v>B03</v>
      </c>
      <c r="C45" s="44" t="str">
        <v>Mortgage</v>
      </c>
      <c r="D45" s="49">
        <v>80000000</v>
      </c>
      <c r="E45" s="44" t="str">
        <f>_xlfn.XLOOKUP(B45,BranchesTbl[BranchCode],BranchesTbl[BranchName])</f>
        <v>Mombasa</v>
      </c>
    </row>
    <row r="46" spans="1:5" x14ac:dyDescent="0.35">
      <c r="A46" s="44" t="str">
        <v>C0061</v>
      </c>
      <c r="B46" s="44" t="str">
        <v>B08</v>
      </c>
      <c r="C46" s="44" t="str">
        <v>Mortgage</v>
      </c>
      <c r="D46" s="49">
        <v>80000000</v>
      </c>
      <c r="E46" s="44" t="str">
        <f>_xlfn.XLOOKUP(B46,BranchesTbl[BranchCode],BranchesTbl[BranchName])</f>
        <v>Eldoret</v>
      </c>
    </row>
    <row r="48" spans="1:5" x14ac:dyDescent="0.35">
      <c r="A48" s="50" t="s">
        <v>2858</v>
      </c>
      <c r="B48" t="s">
        <v>2861</v>
      </c>
      <c r="D48" s="50" t="s">
        <v>167</v>
      </c>
      <c r="E48" t="s">
        <v>171</v>
      </c>
    </row>
    <row r="49" spans="1:5" x14ac:dyDescent="0.35">
      <c r="A49" s="51" t="s">
        <v>136</v>
      </c>
      <c r="B49" s="34">
        <v>1932750000</v>
      </c>
    </row>
    <row r="50" spans="1:5" x14ac:dyDescent="0.35">
      <c r="A50" s="51" t="s">
        <v>140</v>
      </c>
      <c r="B50" s="34">
        <v>1809000000</v>
      </c>
      <c r="D50" s="50" t="s">
        <v>2858</v>
      </c>
      <c r="E50" t="s">
        <v>2844</v>
      </c>
    </row>
    <row r="51" spans="1:5" x14ac:dyDescent="0.35">
      <c r="A51" s="51" t="s">
        <v>135</v>
      </c>
      <c r="B51" s="34">
        <v>1771600000</v>
      </c>
      <c r="D51" s="51" t="s">
        <v>139</v>
      </c>
      <c r="E51" s="34">
        <v>1368450000</v>
      </c>
    </row>
    <row r="52" spans="1:5" x14ac:dyDescent="0.35">
      <c r="A52" s="51" t="s">
        <v>139</v>
      </c>
      <c r="B52" s="34">
        <v>1720500000</v>
      </c>
      <c r="D52" s="51" t="s">
        <v>135</v>
      </c>
      <c r="E52" s="34">
        <v>1364300000</v>
      </c>
    </row>
    <row r="53" spans="1:5" x14ac:dyDescent="0.35">
      <c r="A53" s="51" t="s">
        <v>145</v>
      </c>
      <c r="B53" s="34">
        <v>1655900000</v>
      </c>
      <c r="D53" s="51" t="s">
        <v>138</v>
      </c>
      <c r="E53" s="34">
        <v>1350550000</v>
      </c>
    </row>
    <row r="54" spans="1:5" x14ac:dyDescent="0.35">
      <c r="A54" s="51" t="s">
        <v>142</v>
      </c>
      <c r="B54" s="34">
        <v>1655200000</v>
      </c>
      <c r="D54" s="51" t="s">
        <v>136</v>
      </c>
      <c r="E54" s="34">
        <v>1268350000</v>
      </c>
    </row>
    <row r="55" spans="1:5" x14ac:dyDescent="0.35">
      <c r="A55" s="51" t="s">
        <v>133</v>
      </c>
      <c r="B55" s="34">
        <v>1633300000</v>
      </c>
      <c r="D55" s="51" t="s">
        <v>146</v>
      </c>
      <c r="E55" s="34">
        <v>1186300000</v>
      </c>
    </row>
    <row r="56" spans="1:5" x14ac:dyDescent="0.35">
      <c r="A56" s="51" t="s">
        <v>138</v>
      </c>
      <c r="B56" s="34">
        <v>1621000000</v>
      </c>
      <c r="D56" s="51" t="s">
        <v>133</v>
      </c>
      <c r="E56" s="34">
        <v>1165050000</v>
      </c>
    </row>
    <row r="57" spans="1:5" x14ac:dyDescent="0.35">
      <c r="A57" s="51" t="s">
        <v>146</v>
      </c>
      <c r="B57" s="34">
        <v>1613350000</v>
      </c>
      <c r="D57" s="51" t="s">
        <v>140</v>
      </c>
      <c r="E57" s="34">
        <v>1126200000</v>
      </c>
    </row>
    <row r="58" spans="1:5" x14ac:dyDescent="0.35">
      <c r="A58" s="51" t="s">
        <v>137</v>
      </c>
      <c r="B58" s="34">
        <v>1404450000</v>
      </c>
      <c r="D58" s="51" t="s">
        <v>137</v>
      </c>
      <c r="E58" s="34">
        <v>1114050000</v>
      </c>
    </row>
    <row r="59" spans="1:5" x14ac:dyDescent="0.35">
      <c r="A59" s="51" t="s">
        <v>132</v>
      </c>
      <c r="B59" s="34">
        <v>1365650000</v>
      </c>
      <c r="D59" s="51" t="s">
        <v>142</v>
      </c>
      <c r="E59" s="34">
        <v>1097150000</v>
      </c>
    </row>
    <row r="60" spans="1:5" x14ac:dyDescent="0.35">
      <c r="A60" s="51" t="s">
        <v>141</v>
      </c>
      <c r="B60" s="34">
        <v>1357000000</v>
      </c>
      <c r="D60" s="51" t="s">
        <v>145</v>
      </c>
      <c r="E60" s="34">
        <v>999000000</v>
      </c>
    </row>
    <row r="61" spans="1:5" x14ac:dyDescent="0.35">
      <c r="A61" s="51" t="s">
        <v>134</v>
      </c>
      <c r="B61" s="34">
        <v>1254250000</v>
      </c>
      <c r="D61" s="51" t="s">
        <v>132</v>
      </c>
      <c r="E61" s="34">
        <v>995900000</v>
      </c>
    </row>
    <row r="62" spans="1:5" x14ac:dyDescent="0.35">
      <c r="A62" s="51" t="s">
        <v>143</v>
      </c>
      <c r="B62" s="34">
        <v>1199750000</v>
      </c>
      <c r="D62" s="51" t="s">
        <v>134</v>
      </c>
      <c r="E62" s="34">
        <v>880900000</v>
      </c>
    </row>
    <row r="63" spans="1:5" x14ac:dyDescent="0.35">
      <c r="A63" s="51" t="s">
        <v>144</v>
      </c>
      <c r="B63" s="34">
        <v>1010400000</v>
      </c>
      <c r="D63" s="51" t="s">
        <v>141</v>
      </c>
      <c r="E63" s="34">
        <v>875450000</v>
      </c>
    </row>
    <row r="64" spans="1:5" x14ac:dyDescent="0.35">
      <c r="A64" s="51" t="s">
        <v>2860</v>
      </c>
      <c r="B64" s="34">
        <v>23004100000</v>
      </c>
      <c r="D64" s="51" t="s">
        <v>143</v>
      </c>
      <c r="E64" s="34">
        <v>801050000</v>
      </c>
    </row>
    <row r="65" spans="1:5" x14ac:dyDescent="0.35">
      <c r="D65" s="51" t="s">
        <v>144</v>
      </c>
      <c r="E65" s="34">
        <v>663550000</v>
      </c>
    </row>
    <row r="66" spans="1:5" x14ac:dyDescent="0.35">
      <c r="D66" s="51" t="s">
        <v>2860</v>
      </c>
      <c r="E66" s="34">
        <v>16256250000</v>
      </c>
    </row>
    <row r="69" spans="1:5" x14ac:dyDescent="0.35">
      <c r="A69" s="50" t="s">
        <v>2855</v>
      </c>
      <c r="B69" t="s">
        <v>2862</v>
      </c>
    </row>
    <row r="70" spans="1:5" x14ac:dyDescent="0.35">
      <c r="A70" s="51" t="s">
        <v>157</v>
      </c>
      <c r="B70" s="52">
        <v>16797000000</v>
      </c>
    </row>
    <row r="71" spans="1:5" x14ac:dyDescent="0.35">
      <c r="A71" s="51" t="s">
        <v>156</v>
      </c>
      <c r="B71" s="52">
        <v>4651000000</v>
      </c>
    </row>
    <row r="72" spans="1:5" x14ac:dyDescent="0.35">
      <c r="A72" s="51" t="s">
        <v>158</v>
      </c>
      <c r="B72" s="52">
        <v>1320000000</v>
      </c>
    </row>
    <row r="73" spans="1:5" x14ac:dyDescent="0.35">
      <c r="A73" s="51" t="s">
        <v>155</v>
      </c>
      <c r="B73" s="52">
        <v>236100000</v>
      </c>
    </row>
    <row r="74" spans="1:5" x14ac:dyDescent="0.35">
      <c r="A74" s="51" t="s">
        <v>2860</v>
      </c>
      <c r="B74" s="52">
        <v>23004100000</v>
      </c>
    </row>
  </sheetData>
  <pageMargins left="0.7" right="0.7" top="0.75" bottom="0.75" header="0.3" footer="0.3"/>
  <drawing r:id="rId4"/>
  <tableParts count="2">
    <tablePart r:id="rId5"/>
    <tablePart r:id="rId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39B1B-3896-4601-AE49-DE09E677A547}">
  <dimension ref="A1:P5"/>
  <sheetViews>
    <sheetView showGridLines="0" topLeftCell="A29" workbookViewId="0">
      <selection activeCell="G12" sqref="G12"/>
    </sheetView>
  </sheetViews>
  <sheetFormatPr defaultRowHeight="14.5" x14ac:dyDescent="0.35"/>
  <cols>
    <col min="1" max="16" width="12.6328125" customWidth="1"/>
  </cols>
  <sheetData>
    <row r="1" spans="1:16" ht="28.5" x14ac:dyDescent="0.35">
      <c r="A1" s="83" t="s">
        <v>2853</v>
      </c>
      <c r="B1" s="83"/>
      <c r="C1" s="83"/>
      <c r="D1" s="83"/>
      <c r="E1" s="83"/>
      <c r="F1" s="83"/>
      <c r="G1" s="83"/>
      <c r="H1" s="83"/>
      <c r="I1" s="83"/>
      <c r="J1" s="83"/>
      <c r="K1" s="83"/>
      <c r="L1" s="83"/>
      <c r="M1" s="83"/>
      <c r="N1" s="53"/>
      <c r="O1" s="54"/>
      <c r="P1" s="54"/>
    </row>
    <row r="3" spans="1:16" ht="15.5" x14ac:dyDescent="0.35">
      <c r="A3" s="56" t="s">
        <v>2842</v>
      </c>
      <c r="B3" s="57"/>
      <c r="C3" s="58"/>
      <c r="F3" s="65" t="s">
        <v>2850</v>
      </c>
      <c r="G3" s="66"/>
      <c r="H3" s="67"/>
      <c r="K3" s="74" t="s">
        <v>2854</v>
      </c>
      <c r="L3" s="75"/>
      <c r="M3" s="76"/>
    </row>
    <row r="4" spans="1:16" x14ac:dyDescent="0.35">
      <c r="A4" s="59">
        <f>SUM(Loans[LoanAmount])</f>
        <v>23004100000</v>
      </c>
      <c r="B4" s="60"/>
      <c r="C4" s="61"/>
      <c r="F4" s="68">
        <f>SUMIFS(Loans[LoanAmount],Loans[RiskCategory],"High Risk")</f>
        <v>11966100000</v>
      </c>
      <c r="G4" s="69"/>
      <c r="H4" s="70"/>
      <c r="K4" s="77">
        <f>SUMPRODUCT(Loans[LoanAmount],Loans[InterestRate]) / SUM(Loans[LoanAmount])</f>
        <v>0.13439006720541122</v>
      </c>
      <c r="L4" s="78"/>
      <c r="M4" s="79"/>
    </row>
    <row r="5" spans="1:16" x14ac:dyDescent="0.35">
      <c r="A5" s="62"/>
      <c r="B5" s="63"/>
      <c r="C5" s="64"/>
      <c r="F5" s="71"/>
      <c r="G5" s="72"/>
      <c r="H5" s="73"/>
      <c r="K5" s="80"/>
      <c r="L5" s="81"/>
      <c r="M5" s="82"/>
    </row>
  </sheetData>
  <mergeCells count="7">
    <mergeCell ref="A1:M1"/>
    <mergeCell ref="A3:C3"/>
    <mergeCell ref="A4:C5"/>
    <mergeCell ref="F3:H3"/>
    <mergeCell ref="F4:H5"/>
    <mergeCell ref="K3:M3"/>
    <mergeCell ref="K4:M5"/>
  </mergeCells>
  <pageMargins left="0.7" right="0.7" top="0.75" bottom="0.75" header="0.3" footer="0.3"/>
  <drawing r:id="rId1"/>
  <extLst>
    <ext xmlns:x14="http://schemas.microsoft.com/office/spreadsheetml/2009/9/main" uri="{A8765BA9-456A-4dab-B4F3-ACF838C121DE}">
      <x14:slicerList>
        <x14:slicer r:id="rId2"/>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Project_Overview</vt:lpstr>
      <vt:lpstr>Data_Model</vt:lpstr>
      <vt:lpstr>Customers</vt:lpstr>
      <vt:lpstr>Branches</vt:lpstr>
      <vt:lpstr>Rate_Table</vt:lpstr>
      <vt:lpstr>Risk_Thresholds</vt:lpstr>
      <vt:lpstr>Loans_Data</vt:lpstr>
      <vt:lpstr>Portfolio_KPIs</vt:lpstr>
      <vt:lpstr>Executive_Dashboard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Moreen Gatwiri</dc:creator>
  <cp:lastModifiedBy>Moreen Gatwiri</cp:lastModifiedBy>
  <dcterms:created xsi:type="dcterms:W3CDTF">2026-03-05T07:48:53Z</dcterms:created>
  <dcterms:modified xsi:type="dcterms:W3CDTF">2026-03-06T14:23:35Z</dcterms:modified>
</cp:coreProperties>
</file>